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15837\Box\【02_課所共有】06_06_障害者支援課\R08年度\07 施設支援担当\34_施設指定\34_01_指定申請（総合支援）\HP掲載用\20260801shitei\"/>
    </mc:Choice>
  </mc:AlternateContent>
  <xr:revisionPtr revIDLastSave="0" documentId="13_ncr:1_{1048D914-407E-40B3-85C2-FEE011CAE34B}" xr6:coauthVersionLast="47" xr6:coauthVersionMax="47" xr10:uidLastSave="{00000000-0000-0000-0000-000000000000}"/>
  <bookViews>
    <workbookView xWindow="-120" yWindow="-120" windowWidth="29040" windowHeight="15720" tabRatio="596" xr2:uid="{00000000-000D-0000-FFFF-FFFF00000000}"/>
  </bookViews>
  <sheets>
    <sheet name="事業所・施設 一覧" sheetId="12" r:id="rId1"/>
    <sheet name="市町村別一覧" sheetId="14" r:id="rId2"/>
    <sheet name="短期入所市町村別一覧 " sheetId="16" r:id="rId3"/>
    <sheet name="Sheet1" sheetId="15" r:id="rId4"/>
  </sheets>
  <definedNames>
    <definedName name="_xlnm._FilterDatabase" localSheetId="1" hidden="1">市町村別一覧!$A$4:$U$67</definedName>
    <definedName name="_xlnm._FilterDatabase" localSheetId="0" hidden="1">'事業所・施設 一覧'!$A$3:$AE$2032</definedName>
    <definedName name="_xlnm._FilterDatabase" localSheetId="2" hidden="1">'短期入所市町村別一覧 '!$A$4:$I$67</definedName>
    <definedName name="OLE_LINK2" localSheetId="0">'事業所・施設 一覧'!#REF!</definedName>
    <definedName name="_xlnm.Print_Area" localSheetId="0">'事業所・施設 一覧'!$A$1:$AE$2031</definedName>
    <definedName name="_xlnm.Print_Titles" localSheetId="0">'事業所・施設 一覧'!$1:$2</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 i="14" l="1"/>
  <c r="Y67" i="14"/>
  <c r="X67" i="14"/>
  <c r="Y66" i="14"/>
  <c r="X66" i="14"/>
  <c r="Y65" i="14"/>
  <c r="X65" i="14"/>
  <c r="Y64" i="14"/>
  <c r="X64" i="14"/>
  <c r="Y63" i="14"/>
  <c r="X63" i="14"/>
  <c r="Y62" i="14"/>
  <c r="X62" i="14"/>
  <c r="Y61" i="14"/>
  <c r="X61" i="14"/>
  <c r="Y60" i="14"/>
  <c r="X60" i="14"/>
  <c r="Y59" i="14"/>
  <c r="X59" i="14"/>
  <c r="Y58" i="14"/>
  <c r="X58" i="14"/>
  <c r="Y57" i="14"/>
  <c r="X57" i="14"/>
  <c r="Y56" i="14"/>
  <c r="X56" i="14"/>
  <c r="Y55" i="14"/>
  <c r="X55" i="14"/>
  <c r="Y54" i="14"/>
  <c r="X54" i="14"/>
  <c r="Y53" i="14"/>
  <c r="X53" i="14"/>
  <c r="Y52" i="14"/>
  <c r="X52" i="14"/>
  <c r="Y51" i="14"/>
  <c r="X51" i="14"/>
  <c r="Y50" i="14"/>
  <c r="X50" i="14"/>
  <c r="Y49" i="14"/>
  <c r="X49" i="14"/>
  <c r="Y48" i="14"/>
  <c r="X48" i="14"/>
  <c r="Y47" i="14"/>
  <c r="X47" i="14"/>
  <c r="Y46" i="14"/>
  <c r="X46" i="14"/>
  <c r="Y45" i="14"/>
  <c r="X45" i="14"/>
  <c r="Y44" i="14"/>
  <c r="X44" i="14"/>
  <c r="Y43" i="14"/>
  <c r="X43" i="14"/>
  <c r="Y42" i="14"/>
  <c r="X42" i="14"/>
  <c r="Y41" i="14"/>
  <c r="X41" i="14"/>
  <c r="Y40" i="14"/>
  <c r="X40" i="14"/>
  <c r="Y39" i="14"/>
  <c r="X39" i="14"/>
  <c r="Y38" i="14"/>
  <c r="X38" i="14"/>
  <c r="Y37" i="14"/>
  <c r="X37" i="14"/>
  <c r="Y36" i="14"/>
  <c r="X36" i="14"/>
  <c r="Y35" i="14"/>
  <c r="X35" i="14"/>
  <c r="Y34" i="14"/>
  <c r="X34" i="14"/>
  <c r="Y33" i="14"/>
  <c r="X33" i="14"/>
  <c r="Y32" i="14"/>
  <c r="X32" i="14"/>
  <c r="Y31" i="14"/>
  <c r="X31" i="14"/>
  <c r="Y30" i="14"/>
  <c r="X30" i="14"/>
  <c r="Y29" i="14"/>
  <c r="X29" i="14"/>
  <c r="Y28" i="14"/>
  <c r="X28" i="14"/>
  <c r="Y27" i="14"/>
  <c r="X27" i="14"/>
  <c r="Y26" i="14"/>
  <c r="X26" i="14"/>
  <c r="Y25" i="14"/>
  <c r="X25" i="14"/>
  <c r="Y24" i="14"/>
  <c r="X24" i="14"/>
  <c r="Y23" i="14"/>
  <c r="X23" i="14"/>
  <c r="Y22" i="14"/>
  <c r="X22" i="14"/>
  <c r="Y21" i="14"/>
  <c r="X21" i="14"/>
  <c r="Y20" i="14"/>
  <c r="X20" i="14"/>
  <c r="Y19" i="14"/>
  <c r="X19" i="14"/>
  <c r="Y18" i="14"/>
  <c r="X18" i="14"/>
  <c r="Y17" i="14"/>
  <c r="X17" i="14"/>
  <c r="Y16" i="14"/>
  <c r="X16" i="14"/>
  <c r="Y15" i="14"/>
  <c r="X15" i="14"/>
  <c r="Y14" i="14"/>
  <c r="X14" i="14"/>
  <c r="Y13" i="14"/>
  <c r="X13" i="14"/>
  <c r="Y12" i="14"/>
  <c r="X12" i="14"/>
  <c r="Y11" i="14"/>
  <c r="X11" i="14"/>
  <c r="Y10" i="14"/>
  <c r="X10" i="14"/>
  <c r="Y9" i="14"/>
  <c r="X9" i="14"/>
  <c r="Y8" i="14"/>
  <c r="X8" i="14"/>
  <c r="Y7" i="14"/>
  <c r="X7" i="14"/>
  <c r="Y6" i="14"/>
  <c r="X6" i="14"/>
  <c r="Y5" i="14"/>
  <c r="X5" i="14"/>
  <c r="W67" i="14"/>
  <c r="V67" i="14"/>
  <c r="W66" i="14"/>
  <c r="V66" i="14"/>
  <c r="W65" i="14"/>
  <c r="V65" i="14"/>
  <c r="W64" i="14"/>
  <c r="V64" i="14"/>
  <c r="W63" i="14"/>
  <c r="V63" i="14"/>
  <c r="W62" i="14"/>
  <c r="V62" i="14"/>
  <c r="W61" i="14"/>
  <c r="V61" i="14"/>
  <c r="W60" i="14"/>
  <c r="V60" i="14"/>
  <c r="W59" i="14"/>
  <c r="V59" i="14"/>
  <c r="W58" i="14"/>
  <c r="V58" i="14"/>
  <c r="W57" i="14"/>
  <c r="V57" i="14"/>
  <c r="W56" i="14"/>
  <c r="V56" i="14"/>
  <c r="W55" i="14"/>
  <c r="V55" i="14"/>
  <c r="W54" i="14"/>
  <c r="V54" i="14"/>
  <c r="W53" i="14"/>
  <c r="V53" i="14"/>
  <c r="W52" i="14"/>
  <c r="V52" i="14"/>
  <c r="W51" i="14"/>
  <c r="V51" i="14"/>
  <c r="W50" i="14"/>
  <c r="V50" i="14"/>
  <c r="W49" i="14"/>
  <c r="V49" i="14"/>
  <c r="W48" i="14"/>
  <c r="V48" i="14"/>
  <c r="W47" i="14"/>
  <c r="V47" i="14"/>
  <c r="W46" i="14"/>
  <c r="V46" i="14"/>
  <c r="W45" i="14"/>
  <c r="V45" i="14"/>
  <c r="W44" i="14"/>
  <c r="V44" i="14"/>
  <c r="W43" i="14"/>
  <c r="V43" i="14"/>
  <c r="W42" i="14"/>
  <c r="V42" i="14"/>
  <c r="W41" i="14"/>
  <c r="V41" i="14"/>
  <c r="W40" i="14"/>
  <c r="V40" i="14"/>
  <c r="W39" i="14"/>
  <c r="V39" i="14"/>
  <c r="W38" i="14"/>
  <c r="V38" i="14"/>
  <c r="W37" i="14"/>
  <c r="V37" i="14"/>
  <c r="W36" i="14"/>
  <c r="V36" i="14"/>
  <c r="W35" i="14"/>
  <c r="V35" i="14"/>
  <c r="W34" i="14"/>
  <c r="V34" i="14"/>
  <c r="W33" i="14"/>
  <c r="V33" i="14"/>
  <c r="W32" i="14"/>
  <c r="V32" i="14"/>
  <c r="W31" i="14"/>
  <c r="V31" i="14"/>
  <c r="W30" i="14"/>
  <c r="V30" i="14"/>
  <c r="W29" i="14"/>
  <c r="V29" i="14"/>
  <c r="W28" i="14"/>
  <c r="V28" i="14"/>
  <c r="W27" i="14"/>
  <c r="V27" i="14"/>
  <c r="W26" i="14"/>
  <c r="V26" i="14"/>
  <c r="W25" i="14"/>
  <c r="V25" i="14"/>
  <c r="W24" i="14"/>
  <c r="V24" i="14"/>
  <c r="W23" i="14"/>
  <c r="V23" i="14"/>
  <c r="W22" i="14"/>
  <c r="V22" i="14"/>
  <c r="W21" i="14"/>
  <c r="V21" i="14"/>
  <c r="W20" i="14"/>
  <c r="V20" i="14"/>
  <c r="W19" i="14"/>
  <c r="V19" i="14"/>
  <c r="W18" i="14"/>
  <c r="V18" i="14"/>
  <c r="W17" i="14"/>
  <c r="V17" i="14"/>
  <c r="W16" i="14"/>
  <c r="V16" i="14"/>
  <c r="W15" i="14"/>
  <c r="V15" i="14"/>
  <c r="W14" i="14"/>
  <c r="V14" i="14"/>
  <c r="W13" i="14"/>
  <c r="V13" i="14"/>
  <c r="W12" i="14"/>
  <c r="V12" i="14"/>
  <c r="W11" i="14"/>
  <c r="V11" i="14"/>
  <c r="W10" i="14"/>
  <c r="V10" i="14"/>
  <c r="W9" i="14"/>
  <c r="V9" i="14"/>
  <c r="W8" i="14"/>
  <c r="V8" i="14"/>
  <c r="W7" i="14"/>
  <c r="V7" i="14"/>
  <c r="W6" i="14"/>
  <c r="V6" i="14"/>
  <c r="W5" i="14"/>
  <c r="V5" i="14"/>
  <c r="V68" i="14" l="1"/>
  <c r="W68" i="14"/>
  <c r="Y68" i="14"/>
  <c r="X68" i="14"/>
  <c r="AC3" i="12" l="1"/>
  <c r="G2" i="16" l="1"/>
  <c r="I67" i="16" l="1"/>
  <c r="H67" i="16"/>
  <c r="G67" i="16"/>
  <c r="F67" i="16"/>
  <c r="E67" i="16"/>
  <c r="I66" i="16"/>
  <c r="H66" i="16"/>
  <c r="G66" i="16"/>
  <c r="F66" i="16"/>
  <c r="E66" i="16"/>
  <c r="I65" i="16"/>
  <c r="H65" i="16"/>
  <c r="G65" i="16"/>
  <c r="F65" i="16"/>
  <c r="E65" i="16"/>
  <c r="I64" i="16"/>
  <c r="H64" i="16"/>
  <c r="G64" i="16"/>
  <c r="F64" i="16"/>
  <c r="E64" i="16"/>
  <c r="I63" i="16"/>
  <c r="H63" i="16"/>
  <c r="G63" i="16"/>
  <c r="F63" i="16"/>
  <c r="E63" i="16"/>
  <c r="I62" i="16"/>
  <c r="H62" i="16"/>
  <c r="G62" i="16"/>
  <c r="F62" i="16"/>
  <c r="E62" i="16"/>
  <c r="I61" i="16"/>
  <c r="H61" i="16"/>
  <c r="G61" i="16"/>
  <c r="F61" i="16"/>
  <c r="E61" i="16"/>
  <c r="I60" i="16"/>
  <c r="H60" i="16"/>
  <c r="G60" i="16"/>
  <c r="F60" i="16"/>
  <c r="E60" i="16"/>
  <c r="I59" i="16"/>
  <c r="H59" i="16"/>
  <c r="G59" i="16"/>
  <c r="F59" i="16"/>
  <c r="E59" i="16"/>
  <c r="I58" i="16"/>
  <c r="H58" i="16"/>
  <c r="G58" i="16"/>
  <c r="F58" i="16"/>
  <c r="E58" i="16"/>
  <c r="I57" i="16"/>
  <c r="H57" i="16"/>
  <c r="G57" i="16"/>
  <c r="F57" i="16"/>
  <c r="E57" i="16"/>
  <c r="I56" i="16"/>
  <c r="H56" i="16"/>
  <c r="G56" i="16"/>
  <c r="F56" i="16"/>
  <c r="E56" i="16"/>
  <c r="I55" i="16"/>
  <c r="H55" i="16"/>
  <c r="G55" i="16"/>
  <c r="F55" i="16"/>
  <c r="E55" i="16"/>
  <c r="I54" i="16"/>
  <c r="H54" i="16"/>
  <c r="G54" i="16"/>
  <c r="F54" i="16"/>
  <c r="E54" i="16"/>
  <c r="I53" i="16"/>
  <c r="H53" i="16"/>
  <c r="G53" i="16"/>
  <c r="F53" i="16"/>
  <c r="E53" i="16"/>
  <c r="I52" i="16"/>
  <c r="H52" i="16"/>
  <c r="G52" i="16"/>
  <c r="F52" i="16"/>
  <c r="E52" i="16"/>
  <c r="I51" i="16"/>
  <c r="H51" i="16"/>
  <c r="G51" i="16"/>
  <c r="F51" i="16"/>
  <c r="E51" i="16"/>
  <c r="I50" i="16"/>
  <c r="H50" i="16"/>
  <c r="G50" i="16"/>
  <c r="F50" i="16"/>
  <c r="E50" i="16"/>
  <c r="I49" i="16"/>
  <c r="H49" i="16"/>
  <c r="G49" i="16"/>
  <c r="F49" i="16"/>
  <c r="E49" i="16"/>
  <c r="I48" i="16"/>
  <c r="H48" i="16"/>
  <c r="G48" i="16"/>
  <c r="F48" i="16"/>
  <c r="E48" i="16"/>
  <c r="I47" i="16"/>
  <c r="H47" i="16"/>
  <c r="G47" i="16"/>
  <c r="F47" i="16"/>
  <c r="E47" i="16"/>
  <c r="I46" i="16"/>
  <c r="H46" i="16"/>
  <c r="G46" i="16"/>
  <c r="F46" i="16"/>
  <c r="E46" i="16"/>
  <c r="I45" i="16"/>
  <c r="H45" i="16"/>
  <c r="G45" i="16"/>
  <c r="F45" i="16"/>
  <c r="E45" i="16"/>
  <c r="I44" i="16"/>
  <c r="H44" i="16"/>
  <c r="G44" i="16"/>
  <c r="F44" i="16"/>
  <c r="E44" i="16"/>
  <c r="I43" i="16"/>
  <c r="H43" i="16"/>
  <c r="G43" i="16"/>
  <c r="F43" i="16"/>
  <c r="E43" i="16"/>
  <c r="I42" i="16"/>
  <c r="H42" i="16"/>
  <c r="G42" i="16"/>
  <c r="F42" i="16"/>
  <c r="E42" i="16"/>
  <c r="I41" i="16"/>
  <c r="H41" i="16"/>
  <c r="G41" i="16"/>
  <c r="F41" i="16"/>
  <c r="E41" i="16"/>
  <c r="I40" i="16"/>
  <c r="H40" i="16"/>
  <c r="G40" i="16"/>
  <c r="F40" i="16"/>
  <c r="E40" i="16"/>
  <c r="I39" i="16"/>
  <c r="H39" i="16"/>
  <c r="G39" i="16"/>
  <c r="F39" i="16"/>
  <c r="E39" i="16"/>
  <c r="I38" i="16"/>
  <c r="H38" i="16"/>
  <c r="G38" i="16"/>
  <c r="F38" i="16"/>
  <c r="E38" i="16"/>
  <c r="I37" i="16"/>
  <c r="H37" i="16"/>
  <c r="G37" i="16"/>
  <c r="F37" i="16"/>
  <c r="E37" i="16"/>
  <c r="I36" i="16"/>
  <c r="H36" i="16"/>
  <c r="G36" i="16"/>
  <c r="F36" i="16"/>
  <c r="E36" i="16"/>
  <c r="I35" i="16"/>
  <c r="H35" i="16"/>
  <c r="G35" i="16"/>
  <c r="F35" i="16"/>
  <c r="E35" i="16"/>
  <c r="I34" i="16"/>
  <c r="H34" i="16"/>
  <c r="G34" i="16"/>
  <c r="F34" i="16"/>
  <c r="E34" i="16"/>
  <c r="I33" i="16"/>
  <c r="H33" i="16"/>
  <c r="G33" i="16"/>
  <c r="F33" i="16"/>
  <c r="E33" i="16"/>
  <c r="I32" i="16"/>
  <c r="H32" i="16"/>
  <c r="G32" i="16"/>
  <c r="F32" i="16"/>
  <c r="E32" i="16"/>
  <c r="I31" i="16"/>
  <c r="H31" i="16"/>
  <c r="G31" i="16"/>
  <c r="F31" i="16"/>
  <c r="E31" i="16"/>
  <c r="I30" i="16"/>
  <c r="H30" i="16"/>
  <c r="G30" i="16"/>
  <c r="F30" i="16"/>
  <c r="E30" i="16"/>
  <c r="I29" i="16"/>
  <c r="H29" i="16"/>
  <c r="G29" i="16"/>
  <c r="F29" i="16"/>
  <c r="E29" i="16"/>
  <c r="I28" i="16"/>
  <c r="H28" i="16"/>
  <c r="G28" i="16"/>
  <c r="F28" i="16"/>
  <c r="E28" i="16"/>
  <c r="I27" i="16"/>
  <c r="H27" i="16"/>
  <c r="G27" i="16"/>
  <c r="F27" i="16"/>
  <c r="E27" i="16"/>
  <c r="I26" i="16"/>
  <c r="H26" i="16"/>
  <c r="G26" i="16"/>
  <c r="F26" i="16"/>
  <c r="E26" i="16"/>
  <c r="I25" i="16"/>
  <c r="H25" i="16"/>
  <c r="G25" i="16"/>
  <c r="F25" i="16"/>
  <c r="E25" i="16"/>
  <c r="I24" i="16"/>
  <c r="H24" i="16"/>
  <c r="G24" i="16"/>
  <c r="F24" i="16"/>
  <c r="E24" i="16"/>
  <c r="I23" i="16"/>
  <c r="H23" i="16"/>
  <c r="G23" i="16"/>
  <c r="F23" i="16"/>
  <c r="E23" i="16"/>
  <c r="I22" i="16"/>
  <c r="H22" i="16"/>
  <c r="G22" i="16"/>
  <c r="F22" i="16"/>
  <c r="E22" i="16"/>
  <c r="I21" i="16"/>
  <c r="H21" i="16"/>
  <c r="G21" i="16"/>
  <c r="F21" i="16"/>
  <c r="E21" i="16"/>
  <c r="I20" i="16"/>
  <c r="H20" i="16"/>
  <c r="G20" i="16"/>
  <c r="F20" i="16"/>
  <c r="E20" i="16"/>
  <c r="I19" i="16"/>
  <c r="H19" i="16"/>
  <c r="G19" i="16"/>
  <c r="F19" i="16"/>
  <c r="E19" i="16"/>
  <c r="I18" i="16"/>
  <c r="H18" i="16"/>
  <c r="G18" i="16"/>
  <c r="F18" i="16"/>
  <c r="E18" i="16"/>
  <c r="I17" i="16"/>
  <c r="H17" i="16"/>
  <c r="G17" i="16"/>
  <c r="F17" i="16"/>
  <c r="E17" i="16"/>
  <c r="I16" i="16"/>
  <c r="H16" i="16"/>
  <c r="G16" i="16"/>
  <c r="F16" i="16"/>
  <c r="E16" i="16"/>
  <c r="I15" i="16"/>
  <c r="H15" i="16"/>
  <c r="G15" i="16"/>
  <c r="F15" i="16"/>
  <c r="E15" i="16"/>
  <c r="I14" i="16"/>
  <c r="H14" i="16"/>
  <c r="G14" i="16"/>
  <c r="F14" i="16"/>
  <c r="E14" i="16"/>
  <c r="I13" i="16"/>
  <c r="H13" i="16"/>
  <c r="G13" i="16"/>
  <c r="F13" i="16"/>
  <c r="E13" i="16"/>
  <c r="I12" i="16"/>
  <c r="H12" i="16"/>
  <c r="G12" i="16"/>
  <c r="F12" i="16"/>
  <c r="E12" i="16"/>
  <c r="I11" i="16"/>
  <c r="H11" i="16"/>
  <c r="G11" i="16"/>
  <c r="F11" i="16"/>
  <c r="E11" i="16"/>
  <c r="I10" i="16"/>
  <c r="H10" i="16"/>
  <c r="G10" i="16"/>
  <c r="F10" i="16"/>
  <c r="E10" i="16"/>
  <c r="I9" i="16"/>
  <c r="H9" i="16"/>
  <c r="G9" i="16"/>
  <c r="F9" i="16"/>
  <c r="E9" i="16"/>
  <c r="I8" i="16"/>
  <c r="H8" i="16"/>
  <c r="G8" i="16"/>
  <c r="F8" i="16"/>
  <c r="E8" i="16"/>
  <c r="I7" i="16"/>
  <c r="H7" i="16"/>
  <c r="G7" i="16"/>
  <c r="F7" i="16"/>
  <c r="E7" i="16"/>
  <c r="I6" i="16"/>
  <c r="H6" i="16"/>
  <c r="G6" i="16"/>
  <c r="F6" i="16"/>
  <c r="E6" i="16"/>
  <c r="I5" i="16"/>
  <c r="H5" i="16"/>
  <c r="G5" i="16"/>
  <c r="F5" i="16"/>
  <c r="E5" i="16"/>
  <c r="U67" i="14"/>
  <c r="T67" i="14"/>
  <c r="S67" i="14"/>
  <c r="R67" i="14"/>
  <c r="Q67" i="14"/>
  <c r="P67" i="14"/>
  <c r="O67" i="14"/>
  <c r="N67" i="14"/>
  <c r="M67" i="14"/>
  <c r="L67" i="14"/>
  <c r="K67" i="14"/>
  <c r="J67" i="14"/>
  <c r="I67" i="14"/>
  <c r="H67" i="14"/>
  <c r="G67" i="14"/>
  <c r="F67" i="14"/>
  <c r="E67" i="14"/>
  <c r="D67" i="14"/>
  <c r="U66" i="14"/>
  <c r="T66" i="14"/>
  <c r="S66" i="14"/>
  <c r="R66" i="14"/>
  <c r="Q66" i="14"/>
  <c r="P66" i="14"/>
  <c r="O66" i="14"/>
  <c r="N66" i="14"/>
  <c r="M66" i="14"/>
  <c r="L66" i="14"/>
  <c r="K66" i="14"/>
  <c r="J66" i="14"/>
  <c r="I66" i="14"/>
  <c r="H66" i="14"/>
  <c r="G66" i="14"/>
  <c r="F66" i="14"/>
  <c r="E66" i="14"/>
  <c r="D66" i="14"/>
  <c r="U65" i="14"/>
  <c r="T65" i="14"/>
  <c r="S65" i="14"/>
  <c r="R65" i="14"/>
  <c r="Q65" i="14"/>
  <c r="P65" i="14"/>
  <c r="O65" i="14"/>
  <c r="N65" i="14"/>
  <c r="M65" i="14"/>
  <c r="L65" i="14"/>
  <c r="K65" i="14"/>
  <c r="J65" i="14"/>
  <c r="I65" i="14"/>
  <c r="H65" i="14"/>
  <c r="G65" i="14"/>
  <c r="F65" i="14"/>
  <c r="E65" i="14"/>
  <c r="D65" i="14"/>
  <c r="U64" i="14"/>
  <c r="T64" i="14"/>
  <c r="S64" i="14"/>
  <c r="R64" i="14"/>
  <c r="Q64" i="14"/>
  <c r="P64" i="14"/>
  <c r="O64" i="14"/>
  <c r="N64" i="14"/>
  <c r="M64" i="14"/>
  <c r="L64" i="14"/>
  <c r="K64" i="14"/>
  <c r="J64" i="14"/>
  <c r="I64" i="14"/>
  <c r="H64" i="14"/>
  <c r="G64" i="14"/>
  <c r="F64" i="14"/>
  <c r="E64" i="14"/>
  <c r="D64" i="14"/>
  <c r="U63" i="14"/>
  <c r="T63" i="14"/>
  <c r="S63" i="14"/>
  <c r="R63" i="14"/>
  <c r="Q63" i="14"/>
  <c r="P63" i="14"/>
  <c r="O63" i="14"/>
  <c r="N63" i="14"/>
  <c r="M63" i="14"/>
  <c r="L63" i="14"/>
  <c r="K63" i="14"/>
  <c r="J63" i="14"/>
  <c r="I63" i="14"/>
  <c r="H63" i="14"/>
  <c r="G63" i="14"/>
  <c r="F63" i="14"/>
  <c r="E63" i="14"/>
  <c r="D63" i="14"/>
  <c r="U62" i="14"/>
  <c r="T62" i="14"/>
  <c r="S62" i="14"/>
  <c r="R62" i="14"/>
  <c r="Q62" i="14"/>
  <c r="P62" i="14"/>
  <c r="O62" i="14"/>
  <c r="N62" i="14"/>
  <c r="M62" i="14"/>
  <c r="L62" i="14"/>
  <c r="K62" i="14"/>
  <c r="J62" i="14"/>
  <c r="I62" i="14"/>
  <c r="H62" i="14"/>
  <c r="G62" i="14"/>
  <c r="F62" i="14"/>
  <c r="E62" i="14"/>
  <c r="D62" i="14"/>
  <c r="U61" i="14"/>
  <c r="T61" i="14"/>
  <c r="S61" i="14"/>
  <c r="R61" i="14"/>
  <c r="Q61" i="14"/>
  <c r="P61" i="14"/>
  <c r="O61" i="14"/>
  <c r="N61" i="14"/>
  <c r="M61" i="14"/>
  <c r="L61" i="14"/>
  <c r="K61" i="14"/>
  <c r="J61" i="14"/>
  <c r="I61" i="14"/>
  <c r="H61" i="14"/>
  <c r="G61" i="14"/>
  <c r="F61" i="14"/>
  <c r="E61" i="14"/>
  <c r="D61" i="14"/>
  <c r="U60" i="14"/>
  <c r="T60" i="14"/>
  <c r="S60" i="14"/>
  <c r="R60" i="14"/>
  <c r="Q60" i="14"/>
  <c r="P60" i="14"/>
  <c r="O60" i="14"/>
  <c r="N60" i="14"/>
  <c r="M60" i="14"/>
  <c r="L60" i="14"/>
  <c r="K60" i="14"/>
  <c r="J60" i="14"/>
  <c r="I60" i="14"/>
  <c r="H60" i="14"/>
  <c r="G60" i="14"/>
  <c r="F60" i="14"/>
  <c r="E60" i="14"/>
  <c r="D60" i="14"/>
  <c r="U59" i="14"/>
  <c r="T59" i="14"/>
  <c r="S59" i="14"/>
  <c r="R59" i="14"/>
  <c r="Q59" i="14"/>
  <c r="P59" i="14"/>
  <c r="O59" i="14"/>
  <c r="N59" i="14"/>
  <c r="M59" i="14"/>
  <c r="L59" i="14"/>
  <c r="K59" i="14"/>
  <c r="J59" i="14"/>
  <c r="I59" i="14"/>
  <c r="H59" i="14"/>
  <c r="G59" i="14"/>
  <c r="F59" i="14"/>
  <c r="E59" i="14"/>
  <c r="D59" i="14"/>
  <c r="U58" i="14"/>
  <c r="T58" i="14"/>
  <c r="S58" i="14"/>
  <c r="R58" i="14"/>
  <c r="Q58" i="14"/>
  <c r="P58" i="14"/>
  <c r="O58" i="14"/>
  <c r="N58" i="14"/>
  <c r="M58" i="14"/>
  <c r="L58" i="14"/>
  <c r="K58" i="14"/>
  <c r="J58" i="14"/>
  <c r="I58" i="14"/>
  <c r="H58" i="14"/>
  <c r="G58" i="14"/>
  <c r="F58" i="14"/>
  <c r="E58" i="14"/>
  <c r="D58" i="14"/>
  <c r="U57" i="14"/>
  <c r="T57" i="14"/>
  <c r="S57" i="14"/>
  <c r="R57" i="14"/>
  <c r="Q57" i="14"/>
  <c r="P57" i="14"/>
  <c r="O57" i="14"/>
  <c r="N57" i="14"/>
  <c r="M57" i="14"/>
  <c r="L57" i="14"/>
  <c r="K57" i="14"/>
  <c r="J57" i="14"/>
  <c r="I57" i="14"/>
  <c r="H57" i="14"/>
  <c r="G57" i="14"/>
  <c r="F57" i="14"/>
  <c r="E57" i="14"/>
  <c r="D57" i="14"/>
  <c r="U56" i="14"/>
  <c r="T56" i="14"/>
  <c r="S56" i="14"/>
  <c r="R56" i="14"/>
  <c r="Q56" i="14"/>
  <c r="P56" i="14"/>
  <c r="O56" i="14"/>
  <c r="N56" i="14"/>
  <c r="M56" i="14"/>
  <c r="L56" i="14"/>
  <c r="K56" i="14"/>
  <c r="J56" i="14"/>
  <c r="I56" i="14"/>
  <c r="H56" i="14"/>
  <c r="G56" i="14"/>
  <c r="F56" i="14"/>
  <c r="E56" i="14"/>
  <c r="D56" i="14"/>
  <c r="U55" i="14"/>
  <c r="T55" i="14"/>
  <c r="S55" i="14"/>
  <c r="R55" i="14"/>
  <c r="Q55" i="14"/>
  <c r="P55" i="14"/>
  <c r="O55" i="14"/>
  <c r="N55" i="14"/>
  <c r="M55" i="14"/>
  <c r="L55" i="14"/>
  <c r="K55" i="14"/>
  <c r="J55" i="14"/>
  <c r="I55" i="14"/>
  <c r="H55" i="14"/>
  <c r="G55" i="14"/>
  <c r="F55" i="14"/>
  <c r="E55" i="14"/>
  <c r="D55" i="14"/>
  <c r="U54" i="14"/>
  <c r="T54" i="14"/>
  <c r="S54" i="14"/>
  <c r="R54" i="14"/>
  <c r="Q54" i="14"/>
  <c r="P54" i="14"/>
  <c r="O54" i="14"/>
  <c r="N54" i="14"/>
  <c r="M54" i="14"/>
  <c r="L54" i="14"/>
  <c r="K54" i="14"/>
  <c r="J54" i="14"/>
  <c r="I54" i="14"/>
  <c r="H54" i="14"/>
  <c r="G54" i="14"/>
  <c r="F54" i="14"/>
  <c r="E54" i="14"/>
  <c r="D54" i="14"/>
  <c r="U53" i="14"/>
  <c r="T53" i="14"/>
  <c r="S53" i="14"/>
  <c r="R53" i="14"/>
  <c r="Q53" i="14"/>
  <c r="P53" i="14"/>
  <c r="O53" i="14"/>
  <c r="N53" i="14"/>
  <c r="M53" i="14"/>
  <c r="L53" i="14"/>
  <c r="K53" i="14"/>
  <c r="J53" i="14"/>
  <c r="I53" i="14"/>
  <c r="H53" i="14"/>
  <c r="G53" i="14"/>
  <c r="F53" i="14"/>
  <c r="E53" i="14"/>
  <c r="D53" i="14"/>
  <c r="U52" i="14"/>
  <c r="T52" i="14"/>
  <c r="S52" i="14"/>
  <c r="R52" i="14"/>
  <c r="Q52" i="14"/>
  <c r="P52" i="14"/>
  <c r="O52" i="14"/>
  <c r="N52" i="14"/>
  <c r="M52" i="14"/>
  <c r="L52" i="14"/>
  <c r="K52" i="14"/>
  <c r="J52" i="14"/>
  <c r="I52" i="14"/>
  <c r="H52" i="14"/>
  <c r="G52" i="14"/>
  <c r="F52" i="14"/>
  <c r="E52" i="14"/>
  <c r="D52" i="14"/>
  <c r="U51" i="14"/>
  <c r="T51" i="14"/>
  <c r="S51" i="14"/>
  <c r="R51" i="14"/>
  <c r="Q51" i="14"/>
  <c r="P51" i="14"/>
  <c r="O51" i="14"/>
  <c r="N51" i="14"/>
  <c r="M51" i="14"/>
  <c r="L51" i="14"/>
  <c r="K51" i="14"/>
  <c r="J51" i="14"/>
  <c r="I51" i="14"/>
  <c r="H51" i="14"/>
  <c r="G51" i="14"/>
  <c r="F51" i="14"/>
  <c r="E51" i="14"/>
  <c r="D51" i="14"/>
  <c r="U50" i="14"/>
  <c r="T50" i="14"/>
  <c r="S50" i="14"/>
  <c r="R50" i="14"/>
  <c r="Q50" i="14"/>
  <c r="P50" i="14"/>
  <c r="O50" i="14"/>
  <c r="N50" i="14"/>
  <c r="M50" i="14"/>
  <c r="L50" i="14"/>
  <c r="K50" i="14"/>
  <c r="J50" i="14"/>
  <c r="I50" i="14"/>
  <c r="H50" i="14"/>
  <c r="G50" i="14"/>
  <c r="F50" i="14"/>
  <c r="E50" i="14"/>
  <c r="D50" i="14"/>
  <c r="U49" i="14"/>
  <c r="T49" i="14"/>
  <c r="S49" i="14"/>
  <c r="R49" i="14"/>
  <c r="Q49" i="14"/>
  <c r="P49" i="14"/>
  <c r="O49" i="14"/>
  <c r="N49" i="14"/>
  <c r="M49" i="14"/>
  <c r="L49" i="14"/>
  <c r="K49" i="14"/>
  <c r="J49" i="14"/>
  <c r="I49" i="14"/>
  <c r="H49" i="14"/>
  <c r="G49" i="14"/>
  <c r="F49" i="14"/>
  <c r="E49" i="14"/>
  <c r="D49" i="14"/>
  <c r="U48" i="14"/>
  <c r="T48" i="14"/>
  <c r="S48" i="14"/>
  <c r="R48" i="14"/>
  <c r="Q48" i="14"/>
  <c r="P48" i="14"/>
  <c r="O48" i="14"/>
  <c r="N48" i="14"/>
  <c r="M48" i="14"/>
  <c r="L48" i="14"/>
  <c r="K48" i="14"/>
  <c r="J48" i="14"/>
  <c r="I48" i="14"/>
  <c r="H48" i="14"/>
  <c r="G48" i="14"/>
  <c r="F48" i="14"/>
  <c r="E48" i="14"/>
  <c r="D48" i="14"/>
  <c r="U47" i="14"/>
  <c r="T47" i="14"/>
  <c r="S47" i="14"/>
  <c r="R47" i="14"/>
  <c r="Q47" i="14"/>
  <c r="P47" i="14"/>
  <c r="O47" i="14"/>
  <c r="N47" i="14"/>
  <c r="M47" i="14"/>
  <c r="L47" i="14"/>
  <c r="K47" i="14"/>
  <c r="J47" i="14"/>
  <c r="I47" i="14"/>
  <c r="H47" i="14"/>
  <c r="G47" i="14"/>
  <c r="F47" i="14"/>
  <c r="E47" i="14"/>
  <c r="D47" i="14"/>
  <c r="U46" i="14"/>
  <c r="T46" i="14"/>
  <c r="S46" i="14"/>
  <c r="R46" i="14"/>
  <c r="Q46" i="14"/>
  <c r="P46" i="14"/>
  <c r="O46" i="14"/>
  <c r="N46" i="14"/>
  <c r="M46" i="14"/>
  <c r="L46" i="14"/>
  <c r="K46" i="14"/>
  <c r="J46" i="14"/>
  <c r="I46" i="14"/>
  <c r="H46" i="14"/>
  <c r="G46" i="14"/>
  <c r="F46" i="14"/>
  <c r="E46" i="14"/>
  <c r="D46" i="14"/>
  <c r="U45" i="14"/>
  <c r="T45" i="14"/>
  <c r="S45" i="14"/>
  <c r="R45" i="14"/>
  <c r="Q45" i="14"/>
  <c r="P45" i="14"/>
  <c r="O45" i="14"/>
  <c r="N45" i="14"/>
  <c r="M45" i="14"/>
  <c r="L45" i="14"/>
  <c r="K45" i="14"/>
  <c r="J45" i="14"/>
  <c r="I45" i="14"/>
  <c r="H45" i="14"/>
  <c r="G45" i="14"/>
  <c r="F45" i="14"/>
  <c r="E45" i="14"/>
  <c r="D45" i="14"/>
  <c r="U44" i="14"/>
  <c r="T44" i="14"/>
  <c r="S44" i="14"/>
  <c r="R44" i="14"/>
  <c r="Q44" i="14"/>
  <c r="P44" i="14"/>
  <c r="O44" i="14"/>
  <c r="N44" i="14"/>
  <c r="M44" i="14"/>
  <c r="L44" i="14"/>
  <c r="K44" i="14"/>
  <c r="J44" i="14"/>
  <c r="I44" i="14"/>
  <c r="H44" i="14"/>
  <c r="G44" i="14"/>
  <c r="F44" i="14"/>
  <c r="E44" i="14"/>
  <c r="D44" i="14"/>
  <c r="U43" i="14"/>
  <c r="T43" i="14"/>
  <c r="S43" i="14"/>
  <c r="R43" i="14"/>
  <c r="Q43" i="14"/>
  <c r="P43" i="14"/>
  <c r="O43" i="14"/>
  <c r="N43" i="14"/>
  <c r="M43" i="14"/>
  <c r="L43" i="14"/>
  <c r="K43" i="14"/>
  <c r="J43" i="14"/>
  <c r="I43" i="14"/>
  <c r="H43" i="14"/>
  <c r="G43" i="14"/>
  <c r="F43" i="14"/>
  <c r="E43" i="14"/>
  <c r="D43" i="14"/>
  <c r="U42" i="14"/>
  <c r="T42" i="14"/>
  <c r="S42" i="14"/>
  <c r="R42" i="14"/>
  <c r="Q42" i="14"/>
  <c r="P42" i="14"/>
  <c r="O42" i="14"/>
  <c r="N42" i="14"/>
  <c r="M42" i="14"/>
  <c r="L42" i="14"/>
  <c r="K42" i="14"/>
  <c r="J42" i="14"/>
  <c r="I42" i="14"/>
  <c r="H42" i="14"/>
  <c r="G42" i="14"/>
  <c r="F42" i="14"/>
  <c r="E42" i="14"/>
  <c r="D42" i="14"/>
  <c r="U41" i="14"/>
  <c r="T41" i="14"/>
  <c r="S41" i="14"/>
  <c r="R41" i="14"/>
  <c r="Q41" i="14"/>
  <c r="P41" i="14"/>
  <c r="O41" i="14"/>
  <c r="N41" i="14"/>
  <c r="M41" i="14"/>
  <c r="L41" i="14"/>
  <c r="K41" i="14"/>
  <c r="J41" i="14"/>
  <c r="I41" i="14"/>
  <c r="H41" i="14"/>
  <c r="G41" i="14"/>
  <c r="F41" i="14"/>
  <c r="E41" i="14"/>
  <c r="D41" i="14"/>
  <c r="U40" i="14"/>
  <c r="T40" i="14"/>
  <c r="S40" i="14"/>
  <c r="R40" i="14"/>
  <c r="Q40" i="14"/>
  <c r="P40" i="14"/>
  <c r="O40" i="14"/>
  <c r="N40" i="14"/>
  <c r="M40" i="14"/>
  <c r="L40" i="14"/>
  <c r="K40" i="14"/>
  <c r="J40" i="14"/>
  <c r="I40" i="14"/>
  <c r="H40" i="14"/>
  <c r="G40" i="14"/>
  <c r="F40" i="14"/>
  <c r="E40" i="14"/>
  <c r="D40" i="14"/>
  <c r="U39" i="14"/>
  <c r="T39" i="14"/>
  <c r="S39" i="14"/>
  <c r="R39" i="14"/>
  <c r="Q39" i="14"/>
  <c r="P39" i="14"/>
  <c r="O39" i="14"/>
  <c r="N39" i="14"/>
  <c r="M39" i="14"/>
  <c r="L39" i="14"/>
  <c r="K39" i="14"/>
  <c r="J39" i="14"/>
  <c r="I39" i="14"/>
  <c r="H39" i="14"/>
  <c r="G39" i="14"/>
  <c r="F39" i="14"/>
  <c r="E39" i="14"/>
  <c r="D39" i="14"/>
  <c r="U38" i="14"/>
  <c r="T38" i="14"/>
  <c r="S38" i="14"/>
  <c r="R38" i="14"/>
  <c r="Q38" i="14"/>
  <c r="P38" i="14"/>
  <c r="O38" i="14"/>
  <c r="N38" i="14"/>
  <c r="M38" i="14"/>
  <c r="L38" i="14"/>
  <c r="K38" i="14"/>
  <c r="J38" i="14"/>
  <c r="I38" i="14"/>
  <c r="H38" i="14"/>
  <c r="G38" i="14"/>
  <c r="F38" i="14"/>
  <c r="E38" i="14"/>
  <c r="D38" i="14"/>
  <c r="U37" i="14"/>
  <c r="T37" i="14"/>
  <c r="S37" i="14"/>
  <c r="R37" i="14"/>
  <c r="Q37" i="14"/>
  <c r="P37" i="14"/>
  <c r="O37" i="14"/>
  <c r="N37" i="14"/>
  <c r="M37" i="14"/>
  <c r="L37" i="14"/>
  <c r="K37" i="14"/>
  <c r="J37" i="14"/>
  <c r="I37" i="14"/>
  <c r="H37" i="14"/>
  <c r="G37" i="14"/>
  <c r="F37" i="14"/>
  <c r="E37" i="14"/>
  <c r="D37" i="14"/>
  <c r="U36" i="14"/>
  <c r="T36" i="14"/>
  <c r="S36" i="14"/>
  <c r="R36" i="14"/>
  <c r="Q36" i="14"/>
  <c r="P36" i="14"/>
  <c r="O36" i="14"/>
  <c r="N36" i="14"/>
  <c r="M36" i="14"/>
  <c r="L36" i="14"/>
  <c r="K36" i="14"/>
  <c r="J36" i="14"/>
  <c r="I36" i="14"/>
  <c r="H36" i="14"/>
  <c r="G36" i="14"/>
  <c r="F36" i="14"/>
  <c r="E36" i="14"/>
  <c r="D36" i="14"/>
  <c r="U35" i="14"/>
  <c r="T35" i="14"/>
  <c r="S35" i="14"/>
  <c r="R35" i="14"/>
  <c r="Q35" i="14"/>
  <c r="P35" i="14"/>
  <c r="O35" i="14"/>
  <c r="N35" i="14"/>
  <c r="M35" i="14"/>
  <c r="L35" i="14"/>
  <c r="K35" i="14"/>
  <c r="J35" i="14"/>
  <c r="I35" i="14"/>
  <c r="H35" i="14"/>
  <c r="G35" i="14"/>
  <c r="F35" i="14"/>
  <c r="E35" i="14"/>
  <c r="D35" i="14"/>
  <c r="U34" i="14"/>
  <c r="T34" i="14"/>
  <c r="S34" i="14"/>
  <c r="R34" i="14"/>
  <c r="Q34" i="14"/>
  <c r="P34" i="14"/>
  <c r="O34" i="14"/>
  <c r="N34" i="14"/>
  <c r="M34" i="14"/>
  <c r="L34" i="14"/>
  <c r="K34" i="14"/>
  <c r="J34" i="14"/>
  <c r="I34" i="14"/>
  <c r="H34" i="14"/>
  <c r="G34" i="14"/>
  <c r="F34" i="14"/>
  <c r="E34" i="14"/>
  <c r="D34" i="14"/>
  <c r="U33" i="14"/>
  <c r="T33" i="14"/>
  <c r="S33" i="14"/>
  <c r="R33" i="14"/>
  <c r="Q33" i="14"/>
  <c r="P33" i="14"/>
  <c r="O33" i="14"/>
  <c r="N33" i="14"/>
  <c r="M33" i="14"/>
  <c r="L33" i="14"/>
  <c r="K33" i="14"/>
  <c r="J33" i="14"/>
  <c r="I33" i="14"/>
  <c r="H33" i="14"/>
  <c r="G33" i="14"/>
  <c r="F33" i="14"/>
  <c r="E33" i="14"/>
  <c r="D33" i="14"/>
  <c r="U32" i="14"/>
  <c r="T32" i="14"/>
  <c r="S32" i="14"/>
  <c r="R32" i="14"/>
  <c r="Q32" i="14"/>
  <c r="P32" i="14"/>
  <c r="O32" i="14"/>
  <c r="N32" i="14"/>
  <c r="M32" i="14"/>
  <c r="L32" i="14"/>
  <c r="K32" i="14"/>
  <c r="J32" i="14"/>
  <c r="I32" i="14"/>
  <c r="H32" i="14"/>
  <c r="G32" i="14"/>
  <c r="F32" i="14"/>
  <c r="E32" i="14"/>
  <c r="D32" i="14"/>
  <c r="U31" i="14"/>
  <c r="T31" i="14"/>
  <c r="S31" i="14"/>
  <c r="R31" i="14"/>
  <c r="Q31" i="14"/>
  <c r="P31" i="14"/>
  <c r="O31" i="14"/>
  <c r="N31" i="14"/>
  <c r="M31" i="14"/>
  <c r="L31" i="14"/>
  <c r="K31" i="14"/>
  <c r="J31" i="14"/>
  <c r="I31" i="14"/>
  <c r="H31" i="14"/>
  <c r="G31" i="14"/>
  <c r="F31" i="14"/>
  <c r="E31" i="14"/>
  <c r="D31" i="14"/>
  <c r="U30" i="14"/>
  <c r="T30" i="14"/>
  <c r="S30" i="14"/>
  <c r="R30" i="14"/>
  <c r="Q30" i="14"/>
  <c r="P30" i="14"/>
  <c r="O30" i="14"/>
  <c r="N30" i="14"/>
  <c r="M30" i="14"/>
  <c r="L30" i="14"/>
  <c r="K30" i="14"/>
  <c r="J30" i="14"/>
  <c r="I30" i="14"/>
  <c r="H30" i="14"/>
  <c r="G30" i="14"/>
  <c r="F30" i="14"/>
  <c r="E30" i="14"/>
  <c r="D30" i="14"/>
  <c r="U29" i="14"/>
  <c r="T29" i="14"/>
  <c r="S29" i="14"/>
  <c r="R29" i="14"/>
  <c r="Q29" i="14"/>
  <c r="P29" i="14"/>
  <c r="O29" i="14"/>
  <c r="N29" i="14"/>
  <c r="M29" i="14"/>
  <c r="L29" i="14"/>
  <c r="K29" i="14"/>
  <c r="J29" i="14"/>
  <c r="I29" i="14"/>
  <c r="H29" i="14"/>
  <c r="G29" i="14"/>
  <c r="F29" i="14"/>
  <c r="E29" i="14"/>
  <c r="D29" i="14"/>
  <c r="U28" i="14"/>
  <c r="T28" i="14"/>
  <c r="S28" i="14"/>
  <c r="R28" i="14"/>
  <c r="Q28" i="14"/>
  <c r="P28" i="14"/>
  <c r="O28" i="14"/>
  <c r="N28" i="14"/>
  <c r="M28" i="14"/>
  <c r="L28" i="14"/>
  <c r="K28" i="14"/>
  <c r="J28" i="14"/>
  <c r="I28" i="14"/>
  <c r="H28" i="14"/>
  <c r="G28" i="14"/>
  <c r="F28" i="14"/>
  <c r="E28" i="14"/>
  <c r="D28" i="14"/>
  <c r="U27" i="14"/>
  <c r="T27" i="14"/>
  <c r="S27" i="14"/>
  <c r="R27" i="14"/>
  <c r="Q27" i="14"/>
  <c r="P27" i="14"/>
  <c r="O27" i="14"/>
  <c r="N27" i="14"/>
  <c r="M27" i="14"/>
  <c r="L27" i="14"/>
  <c r="K27" i="14"/>
  <c r="J27" i="14"/>
  <c r="I27" i="14"/>
  <c r="H27" i="14"/>
  <c r="G27" i="14"/>
  <c r="F27" i="14"/>
  <c r="E27" i="14"/>
  <c r="D27" i="14"/>
  <c r="U26" i="14"/>
  <c r="T26" i="14"/>
  <c r="S26" i="14"/>
  <c r="R26" i="14"/>
  <c r="Q26" i="14"/>
  <c r="P26" i="14"/>
  <c r="O26" i="14"/>
  <c r="N26" i="14"/>
  <c r="M26" i="14"/>
  <c r="L26" i="14"/>
  <c r="K26" i="14"/>
  <c r="J26" i="14"/>
  <c r="I26" i="14"/>
  <c r="H26" i="14"/>
  <c r="G26" i="14"/>
  <c r="F26" i="14"/>
  <c r="E26" i="14"/>
  <c r="D26" i="14"/>
  <c r="U25" i="14"/>
  <c r="T25" i="14"/>
  <c r="S25" i="14"/>
  <c r="R25" i="14"/>
  <c r="Q25" i="14"/>
  <c r="P25" i="14"/>
  <c r="O25" i="14"/>
  <c r="N25" i="14"/>
  <c r="M25" i="14"/>
  <c r="L25" i="14"/>
  <c r="K25" i="14"/>
  <c r="J25" i="14"/>
  <c r="I25" i="14"/>
  <c r="H25" i="14"/>
  <c r="G25" i="14"/>
  <c r="F25" i="14"/>
  <c r="E25" i="14"/>
  <c r="D25" i="14"/>
  <c r="U24" i="14"/>
  <c r="T24" i="14"/>
  <c r="S24" i="14"/>
  <c r="R24" i="14"/>
  <c r="Q24" i="14"/>
  <c r="P24" i="14"/>
  <c r="O24" i="14"/>
  <c r="N24" i="14"/>
  <c r="M24" i="14"/>
  <c r="L24" i="14"/>
  <c r="K24" i="14"/>
  <c r="J24" i="14"/>
  <c r="I24" i="14"/>
  <c r="H24" i="14"/>
  <c r="G24" i="14"/>
  <c r="F24" i="14"/>
  <c r="E24" i="14"/>
  <c r="D24" i="14"/>
  <c r="U23" i="14"/>
  <c r="T23" i="14"/>
  <c r="S23" i="14"/>
  <c r="R23" i="14"/>
  <c r="Q23" i="14"/>
  <c r="P23" i="14"/>
  <c r="O23" i="14"/>
  <c r="N23" i="14"/>
  <c r="M23" i="14"/>
  <c r="L23" i="14"/>
  <c r="K23" i="14"/>
  <c r="J23" i="14"/>
  <c r="I23" i="14"/>
  <c r="H23" i="14"/>
  <c r="G23" i="14"/>
  <c r="F23" i="14"/>
  <c r="E23" i="14"/>
  <c r="D23" i="14"/>
  <c r="U22" i="14"/>
  <c r="T22" i="14"/>
  <c r="S22" i="14"/>
  <c r="R22" i="14"/>
  <c r="Q22" i="14"/>
  <c r="P22" i="14"/>
  <c r="O22" i="14"/>
  <c r="N22" i="14"/>
  <c r="M22" i="14"/>
  <c r="L22" i="14"/>
  <c r="K22" i="14"/>
  <c r="J22" i="14"/>
  <c r="I22" i="14"/>
  <c r="H22" i="14"/>
  <c r="G22" i="14"/>
  <c r="F22" i="14"/>
  <c r="E22" i="14"/>
  <c r="D22" i="14"/>
  <c r="U21" i="14"/>
  <c r="T21" i="14"/>
  <c r="S21" i="14"/>
  <c r="R21" i="14"/>
  <c r="Q21" i="14"/>
  <c r="P21" i="14"/>
  <c r="O21" i="14"/>
  <c r="N21" i="14"/>
  <c r="M21" i="14"/>
  <c r="L21" i="14"/>
  <c r="K21" i="14"/>
  <c r="J21" i="14"/>
  <c r="I21" i="14"/>
  <c r="H21" i="14"/>
  <c r="G21" i="14"/>
  <c r="F21" i="14"/>
  <c r="E21" i="14"/>
  <c r="D21" i="14"/>
  <c r="U20" i="14"/>
  <c r="T20" i="14"/>
  <c r="S20" i="14"/>
  <c r="R20" i="14"/>
  <c r="Q20" i="14"/>
  <c r="P20" i="14"/>
  <c r="O20" i="14"/>
  <c r="N20" i="14"/>
  <c r="M20" i="14"/>
  <c r="L20" i="14"/>
  <c r="K20" i="14"/>
  <c r="J20" i="14"/>
  <c r="I20" i="14"/>
  <c r="H20" i="14"/>
  <c r="G20" i="14"/>
  <c r="F20" i="14"/>
  <c r="E20" i="14"/>
  <c r="D20" i="14"/>
  <c r="U19" i="14"/>
  <c r="T19" i="14"/>
  <c r="S19" i="14"/>
  <c r="R19" i="14"/>
  <c r="Q19" i="14"/>
  <c r="P19" i="14"/>
  <c r="O19" i="14"/>
  <c r="N19" i="14"/>
  <c r="M19" i="14"/>
  <c r="L19" i="14"/>
  <c r="K19" i="14"/>
  <c r="J19" i="14"/>
  <c r="I19" i="14"/>
  <c r="H19" i="14"/>
  <c r="G19" i="14"/>
  <c r="F19" i="14"/>
  <c r="E19" i="14"/>
  <c r="D19" i="14"/>
  <c r="U18" i="14"/>
  <c r="T18" i="14"/>
  <c r="S18" i="14"/>
  <c r="R18" i="14"/>
  <c r="Q18" i="14"/>
  <c r="P18" i="14"/>
  <c r="O18" i="14"/>
  <c r="N18" i="14"/>
  <c r="M18" i="14"/>
  <c r="L18" i="14"/>
  <c r="K18" i="14"/>
  <c r="J18" i="14"/>
  <c r="I18" i="14"/>
  <c r="H18" i="14"/>
  <c r="G18" i="14"/>
  <c r="F18" i="14"/>
  <c r="E18" i="14"/>
  <c r="D18" i="14"/>
  <c r="U17" i="14"/>
  <c r="T17" i="14"/>
  <c r="S17" i="14"/>
  <c r="R17" i="14"/>
  <c r="Q17" i="14"/>
  <c r="P17" i="14"/>
  <c r="O17" i="14"/>
  <c r="N17" i="14"/>
  <c r="M17" i="14"/>
  <c r="L17" i="14"/>
  <c r="K17" i="14"/>
  <c r="J17" i="14"/>
  <c r="I17" i="14"/>
  <c r="H17" i="14"/>
  <c r="G17" i="14"/>
  <c r="F17" i="14"/>
  <c r="E17" i="14"/>
  <c r="D17" i="14"/>
  <c r="U16" i="14"/>
  <c r="T16" i="14"/>
  <c r="S16" i="14"/>
  <c r="R16" i="14"/>
  <c r="Q16" i="14"/>
  <c r="P16" i="14"/>
  <c r="O16" i="14"/>
  <c r="N16" i="14"/>
  <c r="M16" i="14"/>
  <c r="L16" i="14"/>
  <c r="K16" i="14"/>
  <c r="J16" i="14"/>
  <c r="I16" i="14"/>
  <c r="H16" i="14"/>
  <c r="G16" i="14"/>
  <c r="F16" i="14"/>
  <c r="E16" i="14"/>
  <c r="D16" i="14"/>
  <c r="U15" i="14"/>
  <c r="T15" i="14"/>
  <c r="S15" i="14"/>
  <c r="R15" i="14"/>
  <c r="Q15" i="14"/>
  <c r="P15" i="14"/>
  <c r="O15" i="14"/>
  <c r="N15" i="14"/>
  <c r="M15" i="14"/>
  <c r="L15" i="14"/>
  <c r="K15" i="14"/>
  <c r="J15" i="14"/>
  <c r="I15" i="14"/>
  <c r="H15" i="14"/>
  <c r="G15" i="14"/>
  <c r="F15" i="14"/>
  <c r="E15" i="14"/>
  <c r="D15" i="14"/>
  <c r="U14" i="14"/>
  <c r="T14" i="14"/>
  <c r="S14" i="14"/>
  <c r="R14" i="14"/>
  <c r="Q14" i="14"/>
  <c r="P14" i="14"/>
  <c r="O14" i="14"/>
  <c r="N14" i="14"/>
  <c r="M14" i="14"/>
  <c r="L14" i="14"/>
  <c r="K14" i="14"/>
  <c r="J14" i="14"/>
  <c r="I14" i="14"/>
  <c r="H14" i="14"/>
  <c r="G14" i="14"/>
  <c r="F14" i="14"/>
  <c r="E14" i="14"/>
  <c r="D14" i="14"/>
  <c r="U13" i="14"/>
  <c r="T13" i="14"/>
  <c r="S13" i="14"/>
  <c r="R13" i="14"/>
  <c r="Q13" i="14"/>
  <c r="P13" i="14"/>
  <c r="O13" i="14"/>
  <c r="N13" i="14"/>
  <c r="M13" i="14"/>
  <c r="L13" i="14"/>
  <c r="K13" i="14"/>
  <c r="J13" i="14"/>
  <c r="I13" i="14"/>
  <c r="H13" i="14"/>
  <c r="G13" i="14"/>
  <c r="F13" i="14"/>
  <c r="E13" i="14"/>
  <c r="D13" i="14"/>
  <c r="U12" i="14"/>
  <c r="T12" i="14"/>
  <c r="S12" i="14"/>
  <c r="R12" i="14"/>
  <c r="Q12" i="14"/>
  <c r="P12" i="14"/>
  <c r="O12" i="14"/>
  <c r="N12" i="14"/>
  <c r="M12" i="14"/>
  <c r="L12" i="14"/>
  <c r="K12" i="14"/>
  <c r="J12" i="14"/>
  <c r="I12" i="14"/>
  <c r="H12" i="14"/>
  <c r="G12" i="14"/>
  <c r="F12" i="14"/>
  <c r="E12" i="14"/>
  <c r="D12" i="14"/>
  <c r="U11" i="14"/>
  <c r="T11" i="14"/>
  <c r="S11" i="14"/>
  <c r="R11" i="14"/>
  <c r="Q11" i="14"/>
  <c r="P11" i="14"/>
  <c r="O11" i="14"/>
  <c r="N11" i="14"/>
  <c r="M11" i="14"/>
  <c r="L11" i="14"/>
  <c r="K11" i="14"/>
  <c r="J11" i="14"/>
  <c r="I11" i="14"/>
  <c r="H11" i="14"/>
  <c r="G11" i="14"/>
  <c r="F11" i="14"/>
  <c r="E11" i="14"/>
  <c r="D11" i="14"/>
  <c r="U10" i="14"/>
  <c r="T10" i="14"/>
  <c r="S10" i="14"/>
  <c r="R10" i="14"/>
  <c r="Q10" i="14"/>
  <c r="P10" i="14"/>
  <c r="O10" i="14"/>
  <c r="N10" i="14"/>
  <c r="M10" i="14"/>
  <c r="L10" i="14"/>
  <c r="K10" i="14"/>
  <c r="J10" i="14"/>
  <c r="I10" i="14"/>
  <c r="H10" i="14"/>
  <c r="G10" i="14"/>
  <c r="F10" i="14"/>
  <c r="E10" i="14"/>
  <c r="D10" i="14"/>
  <c r="U9" i="14"/>
  <c r="T9" i="14"/>
  <c r="S9" i="14"/>
  <c r="R9" i="14"/>
  <c r="Q9" i="14"/>
  <c r="P9" i="14"/>
  <c r="O9" i="14"/>
  <c r="N9" i="14"/>
  <c r="M9" i="14"/>
  <c r="L9" i="14"/>
  <c r="K9" i="14"/>
  <c r="J9" i="14"/>
  <c r="I9" i="14"/>
  <c r="H9" i="14"/>
  <c r="G9" i="14"/>
  <c r="F9" i="14"/>
  <c r="E9" i="14"/>
  <c r="D9" i="14"/>
  <c r="U8" i="14"/>
  <c r="T8" i="14"/>
  <c r="S8" i="14"/>
  <c r="R8" i="14"/>
  <c r="Q8" i="14"/>
  <c r="P8" i="14"/>
  <c r="O8" i="14"/>
  <c r="N8" i="14"/>
  <c r="M8" i="14"/>
  <c r="L8" i="14"/>
  <c r="K8" i="14"/>
  <c r="J8" i="14"/>
  <c r="I8" i="14"/>
  <c r="H8" i="14"/>
  <c r="G8" i="14"/>
  <c r="F8" i="14"/>
  <c r="E8" i="14"/>
  <c r="D8" i="14"/>
  <c r="U7" i="14"/>
  <c r="T7" i="14"/>
  <c r="S7" i="14"/>
  <c r="R7" i="14"/>
  <c r="Q7" i="14"/>
  <c r="P7" i="14"/>
  <c r="O7" i="14"/>
  <c r="N7" i="14"/>
  <c r="M7" i="14"/>
  <c r="L7" i="14"/>
  <c r="K7" i="14"/>
  <c r="J7" i="14"/>
  <c r="I7" i="14"/>
  <c r="H7" i="14"/>
  <c r="G7" i="14"/>
  <c r="F7" i="14"/>
  <c r="E7" i="14"/>
  <c r="D7" i="14"/>
  <c r="U6" i="14"/>
  <c r="T6" i="14"/>
  <c r="S6" i="14"/>
  <c r="R6" i="14"/>
  <c r="Q6" i="14"/>
  <c r="P6" i="14"/>
  <c r="O6" i="14"/>
  <c r="N6" i="14"/>
  <c r="M6" i="14"/>
  <c r="L6" i="14"/>
  <c r="K6" i="14"/>
  <c r="J6" i="14"/>
  <c r="I6" i="14"/>
  <c r="H6" i="14"/>
  <c r="G6" i="14"/>
  <c r="F6" i="14"/>
  <c r="E6" i="14"/>
  <c r="D6" i="14"/>
  <c r="U5" i="14"/>
  <c r="T5" i="14"/>
  <c r="S5" i="14"/>
  <c r="R5" i="14"/>
  <c r="O5" i="14"/>
  <c r="N5" i="14"/>
  <c r="M5" i="14"/>
  <c r="L5" i="14"/>
  <c r="K5" i="14"/>
  <c r="J5" i="14"/>
  <c r="I5" i="14"/>
  <c r="H5" i="14"/>
  <c r="G5" i="14"/>
  <c r="F5" i="14"/>
  <c r="E5" i="14"/>
  <c r="D5" i="14"/>
  <c r="D61" i="16" l="1"/>
  <c r="D48" i="16"/>
  <c r="D46" i="16"/>
  <c r="D67" i="16"/>
  <c r="D59" i="16"/>
  <c r="D42" i="16"/>
  <c r="D58" i="16"/>
  <c r="D52" i="16"/>
  <c r="D63" i="16"/>
  <c r="D57" i="16"/>
  <c r="D65" i="16"/>
  <c r="D54" i="16"/>
  <c r="D38" i="16"/>
  <c r="D50" i="16"/>
  <c r="D56" i="16"/>
  <c r="D19" i="16"/>
  <c r="D27" i="16"/>
  <c r="D30" i="16"/>
  <c r="D32" i="16"/>
  <c r="D34" i="16"/>
  <c r="D36" i="16"/>
  <c r="D39" i="16"/>
  <c r="D40" i="16"/>
  <c r="D41" i="16"/>
  <c r="D43" i="16"/>
  <c r="D44" i="16"/>
  <c r="D45" i="16"/>
  <c r="D47" i="16"/>
  <c r="D21" i="16"/>
  <c r="D23" i="16"/>
  <c r="D25" i="16"/>
  <c r="D28" i="16"/>
  <c r="D49" i="16"/>
  <c r="D15" i="16"/>
  <c r="D17" i="16"/>
  <c r="D11" i="16"/>
  <c r="D14" i="16"/>
  <c r="D16" i="16"/>
  <c r="D18" i="16"/>
  <c r="D20" i="16"/>
  <c r="D22" i="16"/>
  <c r="D24" i="16"/>
  <c r="D26" i="16"/>
  <c r="D9" i="16"/>
  <c r="D10" i="16"/>
  <c r="D12" i="16"/>
  <c r="D13" i="16"/>
  <c r="F68" i="16"/>
  <c r="H68" i="16"/>
  <c r="D6" i="16"/>
  <c r="G68" i="16"/>
  <c r="D7" i="16"/>
  <c r="D8" i="16"/>
  <c r="E68" i="16"/>
  <c r="I68" i="16"/>
  <c r="D60" i="16"/>
  <c r="D62" i="16"/>
  <c r="D64" i="16"/>
  <c r="D66" i="16"/>
  <c r="D29" i="16"/>
  <c r="D31" i="16"/>
  <c r="D33" i="16"/>
  <c r="D35" i="16"/>
  <c r="D37" i="16"/>
  <c r="D51" i="16"/>
  <c r="D53" i="16"/>
  <c r="D55" i="16"/>
  <c r="D5" i="16"/>
  <c r="AB3" i="12"/>
  <c r="AA3" i="12"/>
  <c r="Z3" i="12"/>
  <c r="Y3" i="12"/>
  <c r="V3" i="12"/>
  <c r="U3" i="12"/>
  <c r="T3" i="12"/>
  <c r="S3" i="12"/>
  <c r="R3" i="12"/>
  <c r="Q3" i="12"/>
  <c r="P3" i="12"/>
  <c r="O3" i="12"/>
  <c r="N3" i="12"/>
  <c r="M3" i="12"/>
  <c r="L3" i="12"/>
  <c r="K3" i="12"/>
  <c r="J3" i="12"/>
  <c r="I3" i="12"/>
  <c r="C5" i="15"/>
  <c r="E5" i="15"/>
  <c r="G5" i="15"/>
  <c r="I5" i="15"/>
  <c r="C6" i="15"/>
  <c r="E6" i="15"/>
  <c r="G6" i="15"/>
  <c r="I6" i="15"/>
  <c r="C7" i="15"/>
  <c r="E7" i="15"/>
  <c r="G7" i="15"/>
  <c r="I7" i="15"/>
  <c r="C8" i="15"/>
  <c r="E8" i="15"/>
  <c r="G8" i="15"/>
  <c r="I8" i="15"/>
  <c r="C9" i="15"/>
  <c r="E9" i="15"/>
  <c r="G9" i="15"/>
  <c r="I9" i="15"/>
  <c r="C10" i="15"/>
  <c r="E10" i="15"/>
  <c r="G10" i="15"/>
  <c r="I10" i="15"/>
  <c r="C12" i="15"/>
  <c r="E12" i="15"/>
  <c r="G12" i="15"/>
  <c r="I12" i="15"/>
  <c r="C13" i="15"/>
  <c r="E13" i="15"/>
  <c r="G13" i="15"/>
  <c r="I13" i="15"/>
  <c r="G68" i="14"/>
  <c r="I68" i="14"/>
  <c r="K68" i="14"/>
  <c r="O68" i="14"/>
  <c r="S68" i="14"/>
  <c r="U68" i="14"/>
  <c r="W3" i="12"/>
  <c r="X1373" i="12"/>
  <c r="G11" i="15" s="1"/>
  <c r="E68" i="14"/>
  <c r="M68" i="14"/>
  <c r="N68" i="14"/>
  <c r="T68" i="14"/>
  <c r="J68" i="14"/>
  <c r="H68" i="14"/>
  <c r="R68" i="14"/>
  <c r="D68" i="14"/>
  <c r="L68" i="14"/>
  <c r="F68" i="14"/>
  <c r="X3" i="12" l="1"/>
  <c r="Q5" i="14"/>
  <c r="Q68" i="14" s="1"/>
  <c r="P5" i="14"/>
  <c r="P68" i="14" s="1"/>
  <c r="C11" i="15"/>
  <c r="I11" i="15"/>
  <c r="E11" i="15"/>
  <c r="D68" i="16"/>
</calcChain>
</file>

<file path=xl/sharedStrings.xml><?xml version="1.0" encoding="utf-8"?>
<sst xmlns="http://schemas.openxmlformats.org/spreadsheetml/2006/main" count="23427" uniqueCount="12371">
  <si>
    <t>秩父鉄道小前田駅下車徒歩20分</t>
    <rPh sb="0" eb="2">
      <t>チチブ</t>
    </rPh>
    <rPh sb="2" eb="4">
      <t>テツドウ</t>
    </rPh>
    <rPh sb="4" eb="7">
      <t>オマエダ</t>
    </rPh>
    <rPh sb="7" eb="8">
      <t>エキ</t>
    </rPh>
    <rPh sb="8" eb="10">
      <t>ゲシャ</t>
    </rPh>
    <rPh sb="10" eb="12">
      <t>トホ</t>
    </rPh>
    <rPh sb="14" eb="15">
      <t>プン</t>
    </rPh>
    <phoneticPr fontId="2"/>
  </si>
  <si>
    <t>みんなのいえ</t>
    <phoneticPr fontId="2"/>
  </si>
  <si>
    <t>秩父鉄道小前田駅下車徒歩10分</t>
    <rPh sb="0" eb="2">
      <t>チチブ</t>
    </rPh>
    <rPh sb="2" eb="4">
      <t>テツドウ</t>
    </rPh>
    <rPh sb="4" eb="7">
      <t>オマエダ</t>
    </rPh>
    <rPh sb="7" eb="8">
      <t>エキ</t>
    </rPh>
    <rPh sb="8" eb="10">
      <t>ゲシャ</t>
    </rPh>
    <rPh sb="10" eb="12">
      <t>トホ</t>
    </rPh>
    <rPh sb="14" eb="15">
      <t>プン</t>
    </rPh>
    <phoneticPr fontId="2"/>
  </si>
  <si>
    <t>高崎線深谷駅下車徒歩20分</t>
    <rPh sb="0" eb="2">
      <t>タカサキ</t>
    </rPh>
    <rPh sb="2" eb="3">
      <t>セン</t>
    </rPh>
    <rPh sb="3" eb="5">
      <t>フカヤ</t>
    </rPh>
    <rPh sb="5" eb="6">
      <t>エキ</t>
    </rPh>
    <rPh sb="6" eb="8">
      <t>ゲシャ</t>
    </rPh>
    <rPh sb="8" eb="10">
      <t>トホ</t>
    </rPh>
    <rPh sb="12" eb="13">
      <t>プン</t>
    </rPh>
    <phoneticPr fontId="2"/>
  </si>
  <si>
    <t>ナイスデイ</t>
    <phoneticPr fontId="2"/>
  </si>
  <si>
    <t>岡部2014-1</t>
    <rPh sb="0" eb="2">
      <t>オカベ</t>
    </rPh>
    <phoneticPr fontId="2"/>
  </si>
  <si>
    <t>048-585-4976</t>
    <phoneticPr fontId="2"/>
  </si>
  <si>
    <t>人見1665-12</t>
    <rPh sb="0" eb="2">
      <t>ヒトミ</t>
    </rPh>
    <phoneticPr fontId="2"/>
  </si>
  <si>
    <t>048-573-6633</t>
    <phoneticPr fontId="2"/>
  </si>
  <si>
    <t>高崎線深谷駅から寄居駅行バス「南柏合」下車徒歩10分</t>
    <rPh sb="0" eb="2">
      <t>タカサキ</t>
    </rPh>
    <rPh sb="2" eb="3">
      <t>セン</t>
    </rPh>
    <rPh sb="3" eb="5">
      <t>フカヤ</t>
    </rPh>
    <rPh sb="5" eb="6">
      <t>エキ</t>
    </rPh>
    <rPh sb="8" eb="10">
      <t>ヨリイ</t>
    </rPh>
    <rPh sb="10" eb="11">
      <t>エキ</t>
    </rPh>
    <rPh sb="11" eb="12">
      <t>イ</t>
    </rPh>
    <rPh sb="15" eb="16">
      <t>ミナミ</t>
    </rPh>
    <rPh sb="16" eb="18">
      <t>カシアイ</t>
    </rPh>
    <rPh sb="19" eb="21">
      <t>ゲシャ</t>
    </rPh>
    <rPh sb="21" eb="23">
      <t>トホ</t>
    </rPh>
    <rPh sb="25" eb="26">
      <t>プン</t>
    </rPh>
    <phoneticPr fontId="2"/>
  </si>
  <si>
    <t>カーサ・ミナノ</t>
    <phoneticPr fontId="2"/>
  </si>
  <si>
    <t>秩父郡皆野町</t>
    <phoneticPr fontId="2"/>
  </si>
  <si>
    <t>国神421</t>
    <phoneticPr fontId="2"/>
  </si>
  <si>
    <t>0494-62-5612</t>
    <phoneticPr fontId="2"/>
  </si>
  <si>
    <t>0494-62-5613</t>
    <phoneticPr fontId="2"/>
  </si>
  <si>
    <t>秩父鉄道秩父駅下車徒歩25分</t>
    <rPh sb="0" eb="2">
      <t>チチブ</t>
    </rPh>
    <rPh sb="2" eb="4">
      <t>テツドウ</t>
    </rPh>
    <rPh sb="4" eb="6">
      <t>チチブ</t>
    </rPh>
    <rPh sb="6" eb="7">
      <t>エキ</t>
    </rPh>
    <rPh sb="7" eb="9">
      <t>ゲシャ</t>
    </rPh>
    <rPh sb="9" eb="11">
      <t>トホ</t>
    </rPh>
    <rPh sb="13" eb="14">
      <t>フン</t>
    </rPh>
    <phoneticPr fontId="2"/>
  </si>
  <si>
    <t>秩父鉄道浦山口駅下車徒歩20分</t>
    <rPh sb="0" eb="2">
      <t>チチブ</t>
    </rPh>
    <rPh sb="2" eb="4">
      <t>テツドウ</t>
    </rPh>
    <rPh sb="4" eb="7">
      <t>ウラヤマグチ</t>
    </rPh>
    <rPh sb="7" eb="8">
      <t>エキ</t>
    </rPh>
    <rPh sb="8" eb="10">
      <t>ゲシャ</t>
    </rPh>
    <rPh sb="10" eb="12">
      <t>トホ</t>
    </rPh>
    <rPh sb="14" eb="15">
      <t>プン</t>
    </rPh>
    <phoneticPr fontId="2"/>
  </si>
  <si>
    <t>武蔵野線新座駅下車徒歩15分</t>
    <rPh sb="0" eb="3">
      <t>ムサシノ</t>
    </rPh>
    <rPh sb="3" eb="4">
      <t>セン</t>
    </rPh>
    <rPh sb="4" eb="6">
      <t>ニイザ</t>
    </rPh>
    <rPh sb="6" eb="7">
      <t>エキ</t>
    </rPh>
    <rPh sb="7" eb="9">
      <t>ゲシャ</t>
    </rPh>
    <rPh sb="9" eb="11">
      <t>トホ</t>
    </rPh>
    <rPh sb="13" eb="14">
      <t>フン</t>
    </rPh>
    <phoneticPr fontId="2"/>
  </si>
  <si>
    <t>048-481-2181</t>
    <phoneticPr fontId="2"/>
  </si>
  <si>
    <t>048-479-1809</t>
    <phoneticPr fontId="2"/>
  </si>
  <si>
    <t>高崎線北本駅下車タクシー10分</t>
    <rPh sb="0" eb="2">
      <t>タカサキ</t>
    </rPh>
    <rPh sb="2" eb="3">
      <t>セン</t>
    </rPh>
    <rPh sb="3" eb="5">
      <t>キタモト</t>
    </rPh>
    <rPh sb="5" eb="6">
      <t>エキ</t>
    </rPh>
    <rPh sb="6" eb="8">
      <t>ゲシャ</t>
    </rPh>
    <rPh sb="14" eb="15">
      <t>プン</t>
    </rPh>
    <phoneticPr fontId="2"/>
  </si>
  <si>
    <t>(独法)国立病院機構</t>
    <rPh sb="1" eb="2">
      <t>ドク</t>
    </rPh>
    <rPh sb="2" eb="3">
      <t>ホウ</t>
    </rPh>
    <rPh sb="4" eb="6">
      <t>コクリツ</t>
    </rPh>
    <rPh sb="6" eb="8">
      <t>ビョウイン</t>
    </rPh>
    <rPh sb="8" eb="10">
      <t>キコウ</t>
    </rPh>
    <phoneticPr fontId="2"/>
  </si>
  <si>
    <t>さかど療護園</t>
    <phoneticPr fontId="2"/>
  </si>
  <si>
    <t>坂戸市</t>
    <phoneticPr fontId="2"/>
  </si>
  <si>
    <t>中小坂80-2</t>
    <phoneticPr fontId="2"/>
  </si>
  <si>
    <t>049-289-0050</t>
    <phoneticPr fontId="2"/>
  </si>
  <si>
    <t>049-284-6012</t>
    <phoneticPr fontId="2"/>
  </si>
  <si>
    <t>(医)慈光会</t>
    <rPh sb="1" eb="2">
      <t>イ</t>
    </rPh>
    <rPh sb="3" eb="4">
      <t>ジ</t>
    </rPh>
    <rPh sb="4" eb="5">
      <t>コウ</t>
    </rPh>
    <rPh sb="5" eb="6">
      <t>カイ</t>
    </rPh>
    <phoneticPr fontId="2"/>
  </si>
  <si>
    <t>ステップ</t>
    <phoneticPr fontId="2"/>
  </si>
  <si>
    <t>藤金167-1</t>
    <rPh sb="0" eb="2">
      <t>フジガネ</t>
    </rPh>
    <phoneticPr fontId="2"/>
  </si>
  <si>
    <t>049-285-8285</t>
    <phoneticPr fontId="2"/>
  </si>
  <si>
    <t>東武東上線若葉駅西口より鶴ヶ島市内循環バス「県営藤の台団地入口」下車徒歩5分</t>
    <phoneticPr fontId="2"/>
  </si>
  <si>
    <t>三ツ木352-2</t>
    <rPh sb="0" eb="1">
      <t>ミ</t>
    </rPh>
    <rPh sb="2" eb="3">
      <t>ギ</t>
    </rPh>
    <phoneticPr fontId="2"/>
  </si>
  <si>
    <t>049-287-7845</t>
    <phoneticPr fontId="2"/>
  </si>
  <si>
    <t>049-287-0882</t>
    <phoneticPr fontId="2"/>
  </si>
  <si>
    <t>049-287-1524</t>
    <phoneticPr fontId="2"/>
  </si>
  <si>
    <t>かわせみ</t>
    <phoneticPr fontId="2"/>
  </si>
  <si>
    <t>西武秩父線高麗駅下車徒歩15分</t>
    <rPh sb="0" eb="2">
      <t>セイブ</t>
    </rPh>
    <rPh sb="2" eb="4">
      <t>チチブ</t>
    </rPh>
    <rPh sb="4" eb="5">
      <t>セン</t>
    </rPh>
    <rPh sb="5" eb="7">
      <t>コマ</t>
    </rPh>
    <rPh sb="7" eb="8">
      <t>エキ</t>
    </rPh>
    <rPh sb="8" eb="10">
      <t>ゲシャ</t>
    </rPh>
    <rPh sb="10" eb="12">
      <t>トホ</t>
    </rPh>
    <rPh sb="14" eb="15">
      <t>フン</t>
    </rPh>
    <phoneticPr fontId="2"/>
  </si>
  <si>
    <t>042-985-9230</t>
    <phoneticPr fontId="2"/>
  </si>
  <si>
    <t>高麗川駅下車徒歩10分</t>
    <rPh sb="0" eb="3">
      <t>コマガワ</t>
    </rPh>
    <rPh sb="3" eb="4">
      <t>エキ</t>
    </rPh>
    <rPh sb="4" eb="6">
      <t>ゲシャ</t>
    </rPh>
    <rPh sb="6" eb="8">
      <t>トホ</t>
    </rPh>
    <rPh sb="10" eb="11">
      <t>プン</t>
    </rPh>
    <phoneticPr fontId="2"/>
  </si>
  <si>
    <t>ひだまり</t>
    <phoneticPr fontId="2"/>
  </si>
  <si>
    <t>048-653-2798</t>
    <phoneticPr fontId="2"/>
  </si>
  <si>
    <t>048-666-1576</t>
    <phoneticPr fontId="2"/>
  </si>
  <si>
    <t>048-625-5011</t>
    <phoneticPr fontId="2"/>
  </si>
  <si>
    <t>さくら</t>
    <phoneticPr fontId="2"/>
  </si>
  <si>
    <t>048-663-2940</t>
    <phoneticPr fontId="2"/>
  </si>
  <si>
    <t>048-663-2922</t>
    <phoneticPr fontId="2"/>
  </si>
  <si>
    <t>048-573-5225</t>
    <phoneticPr fontId="2"/>
  </si>
  <si>
    <t>さいたま市</t>
    <phoneticPr fontId="2"/>
  </si>
  <si>
    <t>○</t>
    <phoneticPr fontId="2"/>
  </si>
  <si>
    <t>048-839-3910</t>
    <phoneticPr fontId="2"/>
  </si>
  <si>
    <t>048-845-7600</t>
    <phoneticPr fontId="2"/>
  </si>
  <si>
    <t>048-683-8440</t>
    <phoneticPr fontId="2"/>
  </si>
  <si>
    <t>048-688-9031</t>
    <phoneticPr fontId="2"/>
  </si>
  <si>
    <t>048-687-8570</t>
    <phoneticPr fontId="2"/>
  </si>
  <si>
    <t>048-886-6301</t>
    <phoneticPr fontId="2"/>
  </si>
  <si>
    <t>048-593-4288</t>
    <phoneticPr fontId="2"/>
  </si>
  <si>
    <t>指定
年月日</t>
    <rPh sb="0" eb="2">
      <t>シテイ</t>
    </rPh>
    <rPh sb="3" eb="6">
      <t>ネンガッピ</t>
    </rPh>
    <phoneticPr fontId="2"/>
  </si>
  <si>
    <t>東武東上線鶴ヶ島駅より川鶴団地行東武バス「南公園前」下車徒歩3分</t>
    <rPh sb="5" eb="8">
      <t>ツルガシマ</t>
    </rPh>
    <rPh sb="15" eb="16">
      <t>イ</t>
    </rPh>
    <rPh sb="16" eb="18">
      <t>トウブ</t>
    </rPh>
    <rPh sb="21" eb="22">
      <t>ミナミ</t>
    </rPh>
    <rPh sb="22" eb="24">
      <t>コウエン</t>
    </rPh>
    <rPh sb="24" eb="25">
      <t>マエ</t>
    </rPh>
    <phoneticPr fontId="2"/>
  </si>
  <si>
    <t>東武東上線鶴瀬駅から循環バス（ライフバス）「小学校前」下車徒歩5分</t>
    <rPh sb="0" eb="2">
      <t>トウブ</t>
    </rPh>
    <rPh sb="2" eb="4">
      <t>トウジョウ</t>
    </rPh>
    <rPh sb="4" eb="5">
      <t>セン</t>
    </rPh>
    <rPh sb="5" eb="7">
      <t>ツルセ</t>
    </rPh>
    <rPh sb="7" eb="8">
      <t>エキ</t>
    </rPh>
    <rPh sb="10" eb="12">
      <t>ジュンカン</t>
    </rPh>
    <rPh sb="22" eb="25">
      <t>ショウガッコウ</t>
    </rPh>
    <rPh sb="25" eb="26">
      <t>マエ</t>
    </rPh>
    <rPh sb="27" eb="29">
      <t>ゲシャ</t>
    </rPh>
    <rPh sb="29" eb="31">
      <t>トホ</t>
    </rPh>
    <rPh sb="32" eb="33">
      <t>フン</t>
    </rPh>
    <phoneticPr fontId="2"/>
  </si>
  <si>
    <t>大宮駅西口からリハビリセンター経由平方行バス「リハビリセンター入口」下車</t>
    <rPh sb="0" eb="2">
      <t>オオミヤ</t>
    </rPh>
    <rPh sb="2" eb="3">
      <t>エキ</t>
    </rPh>
    <rPh sb="3" eb="5">
      <t>ニシグチ</t>
    </rPh>
    <rPh sb="15" eb="17">
      <t>ケイユ</t>
    </rPh>
    <rPh sb="17" eb="19">
      <t>ヒラカタ</t>
    </rPh>
    <rPh sb="19" eb="20">
      <t>イ</t>
    </rPh>
    <rPh sb="31" eb="33">
      <t>イリグチ</t>
    </rPh>
    <rPh sb="34" eb="36">
      <t>ゲシャ</t>
    </rPh>
    <phoneticPr fontId="2"/>
  </si>
  <si>
    <t>熊谷駅から犬塚行バス「三区」下車徒歩1分</t>
    <rPh sb="0" eb="2">
      <t>クマガヤ</t>
    </rPh>
    <rPh sb="2" eb="3">
      <t>エキ</t>
    </rPh>
    <rPh sb="5" eb="7">
      <t>イヌツカ</t>
    </rPh>
    <rPh sb="7" eb="8">
      <t>イ</t>
    </rPh>
    <rPh sb="11" eb="13">
      <t>サンク</t>
    </rPh>
    <rPh sb="14" eb="16">
      <t>ゲシャ</t>
    </rPh>
    <rPh sb="16" eb="18">
      <t>トホ</t>
    </rPh>
    <rPh sb="19" eb="20">
      <t>フン</t>
    </rPh>
    <phoneticPr fontId="2"/>
  </si>
  <si>
    <t>高崎線上尾駅東口からあさひバス「二ツ宮」下車徒歩1分</t>
    <rPh sb="0" eb="2">
      <t>タカサキ</t>
    </rPh>
    <rPh sb="2" eb="3">
      <t>セン</t>
    </rPh>
    <rPh sb="3" eb="5">
      <t>アゲオ</t>
    </rPh>
    <rPh sb="5" eb="6">
      <t>エキ</t>
    </rPh>
    <rPh sb="6" eb="8">
      <t>ヒガシグチ</t>
    </rPh>
    <rPh sb="16" eb="17">
      <t>フタ</t>
    </rPh>
    <rPh sb="18" eb="19">
      <t>ミヤ</t>
    </rPh>
    <rPh sb="20" eb="22">
      <t>ゲシャ</t>
    </rPh>
    <rPh sb="22" eb="24">
      <t>トホ</t>
    </rPh>
    <rPh sb="25" eb="26">
      <t>プン</t>
    </rPh>
    <phoneticPr fontId="2"/>
  </si>
  <si>
    <t>○</t>
    <phoneticPr fontId="2"/>
  </si>
  <si>
    <t>東武東上線東松山駅から東松山市循環バス大谷コース「シルバー人材センター」下車</t>
    <rPh sb="0" eb="2">
      <t>トウブ</t>
    </rPh>
    <rPh sb="2" eb="4">
      <t>トウジョウ</t>
    </rPh>
    <rPh sb="4" eb="5">
      <t>セン</t>
    </rPh>
    <rPh sb="5" eb="8">
      <t>ヒガシマツヤマ</t>
    </rPh>
    <rPh sb="8" eb="9">
      <t>エキ</t>
    </rPh>
    <rPh sb="11" eb="15">
      <t>ヒガシマツヤマシ</t>
    </rPh>
    <rPh sb="15" eb="17">
      <t>ジュンカン</t>
    </rPh>
    <rPh sb="19" eb="21">
      <t>オオヤ</t>
    </rPh>
    <rPh sb="29" eb="31">
      <t>ジンザイ</t>
    </rPh>
    <rPh sb="36" eb="38">
      <t>ゲシャ</t>
    </rPh>
    <phoneticPr fontId="2"/>
  </si>
  <si>
    <t>戸田市・(福)戸田わかくさ会</t>
    <rPh sb="0" eb="3">
      <t>トダシ</t>
    </rPh>
    <rPh sb="7" eb="9">
      <t>トダ</t>
    </rPh>
    <rPh sb="13" eb="14">
      <t>カイ</t>
    </rPh>
    <phoneticPr fontId="2"/>
  </si>
  <si>
    <t>○</t>
    <phoneticPr fontId="2"/>
  </si>
  <si>
    <t>埼京線戸田公園駅下車徒歩15分</t>
    <rPh sb="0" eb="2">
      <t>サイキョウ</t>
    </rPh>
    <rPh sb="2" eb="3">
      <t>セン</t>
    </rPh>
    <rPh sb="3" eb="5">
      <t>トダ</t>
    </rPh>
    <rPh sb="5" eb="7">
      <t>コウエン</t>
    </rPh>
    <rPh sb="7" eb="8">
      <t>エキ</t>
    </rPh>
    <rPh sb="8" eb="10">
      <t>ゲシャ</t>
    </rPh>
    <rPh sb="10" eb="12">
      <t>トホ</t>
    </rPh>
    <rPh sb="14" eb="15">
      <t>フン</t>
    </rPh>
    <phoneticPr fontId="2"/>
  </si>
  <si>
    <t>川口市</t>
    <rPh sb="0" eb="3">
      <t>カワグチシ</t>
    </rPh>
    <phoneticPr fontId="2"/>
  </si>
  <si>
    <t>川越市</t>
    <rPh sb="0" eb="3">
      <t>カワゴエシ</t>
    </rPh>
    <phoneticPr fontId="2"/>
  </si>
  <si>
    <t>南埼玉郡宮代町</t>
    <rPh sb="0" eb="4">
      <t>ミナミサイタマグン</t>
    </rPh>
    <rPh sb="4" eb="7">
      <t>ミヤシロマチ</t>
    </rPh>
    <phoneticPr fontId="2"/>
  </si>
  <si>
    <t>春日部市</t>
    <rPh sb="0" eb="4">
      <t>カスカベシ</t>
    </rPh>
    <phoneticPr fontId="2"/>
  </si>
  <si>
    <t>越谷市</t>
    <rPh sb="0" eb="3">
      <t>コシガヤシ</t>
    </rPh>
    <phoneticPr fontId="2"/>
  </si>
  <si>
    <t>三郷市</t>
    <rPh sb="0" eb="3">
      <t>ミサトシ</t>
    </rPh>
    <phoneticPr fontId="2"/>
  </si>
  <si>
    <t>上尾市</t>
    <rPh sb="0" eb="3">
      <t>アゲオシ</t>
    </rPh>
    <phoneticPr fontId="2"/>
  </si>
  <si>
    <t>鴻巣市</t>
    <rPh sb="0" eb="3">
      <t>コウノスシ</t>
    </rPh>
    <phoneticPr fontId="2"/>
  </si>
  <si>
    <t>戸田市</t>
    <rPh sb="0" eb="3">
      <t>トダシ</t>
    </rPh>
    <phoneticPr fontId="2"/>
  </si>
  <si>
    <t>志木市</t>
    <rPh sb="0" eb="3">
      <t>シキシ</t>
    </rPh>
    <phoneticPr fontId="2"/>
  </si>
  <si>
    <t>入間郡三芳町</t>
    <rPh sb="0" eb="3">
      <t>イルマグン</t>
    </rPh>
    <rPh sb="3" eb="6">
      <t>ミヨシマチ</t>
    </rPh>
    <phoneticPr fontId="2"/>
  </si>
  <si>
    <t>入間郡越生町</t>
    <rPh sb="0" eb="3">
      <t>イルマグン</t>
    </rPh>
    <rPh sb="3" eb="6">
      <t>オゴセマチ</t>
    </rPh>
    <phoneticPr fontId="2"/>
  </si>
  <si>
    <t>入間郡毛呂山町</t>
    <rPh sb="0" eb="3">
      <t>イルマグン</t>
    </rPh>
    <rPh sb="3" eb="7">
      <t>モロヤママチ</t>
    </rPh>
    <phoneticPr fontId="2"/>
  </si>
  <si>
    <t>所沢市</t>
    <rPh sb="0" eb="3">
      <t>トコロザワシ</t>
    </rPh>
    <phoneticPr fontId="2"/>
  </si>
  <si>
    <t>飯能市</t>
    <rPh sb="0" eb="3">
      <t>ハンノウシ</t>
    </rPh>
    <phoneticPr fontId="2"/>
  </si>
  <si>
    <t>狭山市</t>
    <rPh sb="0" eb="3">
      <t>サヤマシ</t>
    </rPh>
    <phoneticPr fontId="2"/>
  </si>
  <si>
    <t>入間市</t>
    <rPh sb="0" eb="3">
      <t>イルマシ</t>
    </rPh>
    <phoneticPr fontId="2"/>
  </si>
  <si>
    <t>富士見市</t>
    <rPh sb="0" eb="4">
      <t>フジミシ</t>
    </rPh>
    <phoneticPr fontId="2"/>
  </si>
  <si>
    <t>ふじみ野市</t>
    <rPh sb="3" eb="4">
      <t>ノ</t>
    </rPh>
    <rPh sb="4" eb="5">
      <t>シ</t>
    </rPh>
    <phoneticPr fontId="2"/>
  </si>
  <si>
    <t>熊谷市</t>
    <rPh sb="0" eb="3">
      <t>クマガヤシ</t>
    </rPh>
    <phoneticPr fontId="2"/>
  </si>
  <si>
    <t>比企郡嵐山町</t>
    <rPh sb="0" eb="3">
      <t>ヒキグン</t>
    </rPh>
    <rPh sb="3" eb="6">
      <t>ランザンマチ</t>
    </rPh>
    <phoneticPr fontId="2"/>
  </si>
  <si>
    <t>東松山市</t>
    <rPh sb="0" eb="4">
      <t>ヒガシマツヤマシ</t>
    </rPh>
    <phoneticPr fontId="2"/>
  </si>
  <si>
    <t>行田市</t>
    <rPh sb="0" eb="3">
      <t>ギョウダシ</t>
    </rPh>
    <phoneticPr fontId="2"/>
  </si>
  <si>
    <t>加須市</t>
    <rPh sb="0" eb="3">
      <t>カゾシ</t>
    </rPh>
    <phoneticPr fontId="2"/>
  </si>
  <si>
    <t>羽生市</t>
    <rPh sb="0" eb="3">
      <t>ハニュウシ</t>
    </rPh>
    <phoneticPr fontId="2"/>
  </si>
  <si>
    <t>児玉郡美里町</t>
    <rPh sb="0" eb="3">
      <t>コダマグン</t>
    </rPh>
    <rPh sb="3" eb="6">
      <t>ミサトマチ</t>
    </rPh>
    <phoneticPr fontId="2"/>
  </si>
  <si>
    <t>本庄市</t>
    <rPh sb="0" eb="3">
      <t>ホンジョウシ</t>
    </rPh>
    <phoneticPr fontId="2"/>
  </si>
  <si>
    <t>大里郡寄居町</t>
    <rPh sb="0" eb="3">
      <t>オオサトグン</t>
    </rPh>
    <rPh sb="3" eb="6">
      <t>ヨリイマチ</t>
    </rPh>
    <phoneticPr fontId="2"/>
  </si>
  <si>
    <t>深谷市</t>
    <rPh sb="0" eb="3">
      <t>フカヤシ</t>
    </rPh>
    <phoneticPr fontId="2"/>
  </si>
  <si>
    <t>秩父市</t>
    <rPh sb="0" eb="3">
      <t>チチブシ</t>
    </rPh>
    <phoneticPr fontId="2"/>
  </si>
  <si>
    <t>新座市</t>
    <rPh sb="0" eb="3">
      <t>ニイザシ</t>
    </rPh>
    <phoneticPr fontId="2"/>
  </si>
  <si>
    <t>桶川市</t>
    <rPh sb="0" eb="3">
      <t>オケガワシ</t>
    </rPh>
    <phoneticPr fontId="2"/>
  </si>
  <si>
    <t>蓮田市</t>
    <rPh sb="0" eb="3">
      <t>ハスダシ</t>
    </rPh>
    <phoneticPr fontId="2"/>
  </si>
  <si>
    <t>坂戸市</t>
    <rPh sb="0" eb="3">
      <t>サカドシ</t>
    </rPh>
    <phoneticPr fontId="2"/>
  </si>
  <si>
    <t>幸手市</t>
    <rPh sb="0" eb="3">
      <t>サッテシ</t>
    </rPh>
    <phoneticPr fontId="2"/>
  </si>
  <si>
    <t>日高市</t>
    <rPh sb="0" eb="3">
      <t>ヒダカシ</t>
    </rPh>
    <phoneticPr fontId="2"/>
  </si>
  <si>
    <t>吉川市</t>
    <rPh sb="0" eb="3">
      <t>ヨシカワシ</t>
    </rPh>
    <phoneticPr fontId="2"/>
  </si>
  <si>
    <t>さいたま市</t>
    <rPh sb="4" eb="5">
      <t>シ</t>
    </rPh>
    <phoneticPr fontId="2"/>
  </si>
  <si>
    <t>西区佐知川299-16</t>
  </si>
  <si>
    <t>見沼区宮ケ谷塔1-280</t>
  </si>
  <si>
    <t>南区太田窪5-1-1</t>
    <rPh sb="0" eb="2">
      <t>ミナミク</t>
    </rPh>
    <phoneticPr fontId="2"/>
  </si>
  <si>
    <t>南区太田窪3501-2</t>
  </si>
  <si>
    <t>北区土呂町1-5-4</t>
  </si>
  <si>
    <t>緑区大崎37-1</t>
  </si>
  <si>
    <t>北区日進町3-151</t>
  </si>
  <si>
    <t>中央区本町西1-6-3</t>
  </si>
  <si>
    <t>南区曲本5-4-16</t>
  </si>
  <si>
    <t>西区塚本町3-139-1</t>
    <rPh sb="0" eb="2">
      <t>ニシク</t>
    </rPh>
    <rPh sb="2" eb="5">
      <t>ツカモトチョウ</t>
    </rPh>
    <phoneticPr fontId="2"/>
  </si>
  <si>
    <t>北区宮原町2-45-7</t>
    <rPh sb="0" eb="2">
      <t>キタク</t>
    </rPh>
    <rPh sb="2" eb="4">
      <t>ミヤハラ</t>
    </rPh>
    <rPh sb="4" eb="5">
      <t>チョウ</t>
    </rPh>
    <phoneticPr fontId="2"/>
  </si>
  <si>
    <t>西区塚本町1-94-1</t>
  </si>
  <si>
    <t>南区鹿手袋4-27-1</t>
  </si>
  <si>
    <t>埼京線与野本町または北与野駅からバス「八王子」下車徒歩8分</t>
    <rPh sb="0" eb="2">
      <t>サイキョウ</t>
    </rPh>
    <rPh sb="2" eb="3">
      <t>セン</t>
    </rPh>
    <rPh sb="3" eb="5">
      <t>ヨノ</t>
    </rPh>
    <rPh sb="5" eb="7">
      <t>ホンマチ</t>
    </rPh>
    <rPh sb="10" eb="13">
      <t>キタヨノ</t>
    </rPh>
    <rPh sb="13" eb="14">
      <t>エキ</t>
    </rPh>
    <rPh sb="19" eb="22">
      <t>ハチオウジ</t>
    </rPh>
    <rPh sb="23" eb="25">
      <t>ゲシャ</t>
    </rPh>
    <rPh sb="25" eb="27">
      <t>トホ</t>
    </rPh>
    <rPh sb="28" eb="29">
      <t>フン</t>
    </rPh>
    <phoneticPr fontId="2"/>
  </si>
  <si>
    <t>(福)日本失明者協会</t>
    <rPh sb="3" eb="5">
      <t>ニホン</t>
    </rPh>
    <rPh sb="5" eb="8">
      <t>シツメイシャ</t>
    </rPh>
    <rPh sb="8" eb="10">
      <t>キョウカイ</t>
    </rPh>
    <phoneticPr fontId="2"/>
  </si>
  <si>
    <t>盲人ホームあさひ園</t>
    <rPh sb="0" eb="2">
      <t>モウジン</t>
    </rPh>
    <rPh sb="8" eb="9">
      <t>エン</t>
    </rPh>
    <phoneticPr fontId="2"/>
  </si>
  <si>
    <t>大宮駅より大谷県営住宅行国際興業バス「大谷」下車徒歩5分</t>
    <rPh sb="0" eb="2">
      <t>オオミヤ</t>
    </rPh>
    <rPh sb="2" eb="3">
      <t>エキ</t>
    </rPh>
    <rPh sb="5" eb="7">
      <t>オオヤ</t>
    </rPh>
    <rPh sb="7" eb="9">
      <t>ケンエイ</t>
    </rPh>
    <rPh sb="9" eb="11">
      <t>ジュウタク</t>
    </rPh>
    <rPh sb="11" eb="12">
      <t>イ</t>
    </rPh>
    <rPh sb="12" eb="14">
      <t>コクサイ</t>
    </rPh>
    <rPh sb="14" eb="16">
      <t>コウギョウ</t>
    </rPh>
    <rPh sb="19" eb="21">
      <t>オオヤ</t>
    </rPh>
    <rPh sb="22" eb="24">
      <t>ゲシャ</t>
    </rPh>
    <rPh sb="24" eb="26">
      <t>トホ</t>
    </rPh>
    <rPh sb="27" eb="28">
      <t>フン</t>
    </rPh>
    <phoneticPr fontId="2"/>
  </si>
  <si>
    <t>048-269-8289</t>
    <phoneticPr fontId="2"/>
  </si>
  <si>
    <t>京浜東北線川口駅東口から弥平町経由谷在家駅循環バス「東領家4丁目」下車徒歩5分</t>
    <rPh sb="0" eb="2">
      <t>ケイヒン</t>
    </rPh>
    <rPh sb="2" eb="4">
      <t>トウホク</t>
    </rPh>
    <rPh sb="4" eb="5">
      <t>セン</t>
    </rPh>
    <rPh sb="5" eb="7">
      <t>カワグチ</t>
    </rPh>
    <rPh sb="7" eb="8">
      <t>エキ</t>
    </rPh>
    <rPh sb="8" eb="10">
      <t>ヒガシグチ</t>
    </rPh>
    <rPh sb="12" eb="14">
      <t>ヤヘイ</t>
    </rPh>
    <rPh sb="14" eb="15">
      <t>マチ</t>
    </rPh>
    <rPh sb="15" eb="17">
      <t>ケイユ</t>
    </rPh>
    <rPh sb="17" eb="18">
      <t>タニ</t>
    </rPh>
    <rPh sb="18" eb="20">
      <t>ザイケ</t>
    </rPh>
    <rPh sb="20" eb="21">
      <t>エキ</t>
    </rPh>
    <rPh sb="21" eb="23">
      <t>ジュンカン</t>
    </rPh>
    <rPh sb="26" eb="29">
      <t>ヒガシリョウケ</t>
    </rPh>
    <rPh sb="30" eb="32">
      <t>チョウメ</t>
    </rPh>
    <rPh sb="33" eb="35">
      <t>ゲシャ</t>
    </rPh>
    <rPh sb="35" eb="37">
      <t>トホ</t>
    </rPh>
    <rPh sb="38" eb="39">
      <t>フン</t>
    </rPh>
    <phoneticPr fontId="2"/>
  </si>
  <si>
    <t>(特非)パン工房カウベル</t>
    <rPh sb="6" eb="8">
      <t>コウボウ</t>
    </rPh>
    <phoneticPr fontId="2"/>
  </si>
  <si>
    <t>パン工房カウベル</t>
    <rPh sb="2" eb="4">
      <t>コウボウ</t>
    </rPh>
    <phoneticPr fontId="2"/>
  </si>
  <si>
    <t>東武東上線若葉駅西口より鶴ヶ島市内循環バス「市役所」下車徒歩3分</t>
    <rPh sb="22" eb="25">
      <t>シヤクショ</t>
    </rPh>
    <phoneticPr fontId="2"/>
  </si>
  <si>
    <t>岩槻区笹久保333－１</t>
    <rPh sb="3" eb="6">
      <t>ササクボ</t>
    </rPh>
    <phoneticPr fontId="2"/>
  </si>
  <si>
    <t>桜区新開3-3-17</t>
    <rPh sb="0" eb="1">
      <t>サクラク</t>
    </rPh>
    <phoneticPr fontId="2"/>
  </si>
  <si>
    <t>木曽呂1374</t>
    <rPh sb="0" eb="2">
      <t>キソ</t>
    </rPh>
    <rPh sb="2" eb="3">
      <t>ロ</t>
    </rPh>
    <phoneticPr fontId="2"/>
  </si>
  <si>
    <t>今成3-13-3</t>
    <rPh sb="0" eb="2">
      <t>イマナリ</t>
    </rPh>
    <phoneticPr fontId="2"/>
  </si>
  <si>
    <t>小久喜450</t>
    <rPh sb="0" eb="1">
      <t>コ</t>
    </rPh>
    <rPh sb="1" eb="3">
      <t>クキ</t>
    </rPh>
    <phoneticPr fontId="2"/>
  </si>
  <si>
    <t>○</t>
    <phoneticPr fontId="2"/>
  </si>
  <si>
    <t>一ノ割1075-5</t>
    <rPh sb="0" eb="1">
      <t>イチ</t>
    </rPh>
    <rPh sb="2" eb="3">
      <t>ワリ</t>
    </rPh>
    <phoneticPr fontId="2"/>
  </si>
  <si>
    <t>半田1212-2</t>
    <rPh sb="0" eb="2">
      <t>ハンダ</t>
    </rPh>
    <phoneticPr fontId="2"/>
  </si>
  <si>
    <t>西貝塚148-1</t>
    <rPh sb="0" eb="3">
      <t>ニシカイヅカ</t>
    </rPh>
    <phoneticPr fontId="2"/>
  </si>
  <si>
    <t>平塚820</t>
    <rPh sb="0" eb="2">
      <t>ヒラツカ</t>
    </rPh>
    <phoneticPr fontId="2"/>
  </si>
  <si>
    <t>菅谷49-1</t>
    <rPh sb="0" eb="2">
      <t>スガヤ</t>
    </rPh>
    <phoneticPr fontId="2"/>
  </si>
  <si>
    <t>藤波1-208</t>
    <rPh sb="0" eb="2">
      <t>フジナミ</t>
    </rPh>
    <phoneticPr fontId="2"/>
  </si>
  <si>
    <t>藤波1-209-2</t>
    <rPh sb="0" eb="2">
      <t>フジナミ</t>
    </rPh>
    <phoneticPr fontId="2"/>
  </si>
  <si>
    <t>中妻5-32-41</t>
    <rPh sb="0" eb="2">
      <t>ナカヅマ</t>
    </rPh>
    <phoneticPr fontId="2"/>
  </si>
  <si>
    <t>上911-3</t>
    <rPh sb="0" eb="1">
      <t>ウエ</t>
    </rPh>
    <phoneticPr fontId="2"/>
  </si>
  <si>
    <t>笹目2-9-1</t>
    <rPh sb="0" eb="2">
      <t>ササメ</t>
    </rPh>
    <phoneticPr fontId="2"/>
  </si>
  <si>
    <t>上宗岡1-5-1</t>
    <rPh sb="0" eb="3">
      <t>カミムネオカ</t>
    </rPh>
    <phoneticPr fontId="2"/>
  </si>
  <si>
    <t>北永井381-3</t>
    <rPh sb="0" eb="1">
      <t>キタ</t>
    </rPh>
    <rPh sb="1" eb="3">
      <t>ナガイ</t>
    </rPh>
    <phoneticPr fontId="2"/>
  </si>
  <si>
    <t>上富322-2</t>
    <rPh sb="0" eb="2">
      <t>カミトミ</t>
    </rPh>
    <phoneticPr fontId="2"/>
  </si>
  <si>
    <t>並木4-1</t>
    <rPh sb="0" eb="2">
      <t>ナミキ</t>
    </rPh>
    <phoneticPr fontId="2"/>
  </si>
  <si>
    <t>生活介護</t>
    <rPh sb="0" eb="2">
      <t>セイカツ</t>
    </rPh>
    <rPh sb="2" eb="4">
      <t>カイゴ</t>
    </rPh>
    <phoneticPr fontId="2"/>
  </si>
  <si>
    <t>さいたま市・(福)さいたま市社会福祉事業団</t>
    <rPh sb="18" eb="21">
      <t>ジギョウダン</t>
    </rPh>
    <phoneticPr fontId="2"/>
  </si>
  <si>
    <t>東狭山ヶ丘5-916-3</t>
    <rPh sb="0" eb="5">
      <t>ヒガシサヤマガオカ</t>
    </rPh>
    <phoneticPr fontId="2"/>
  </si>
  <si>
    <t>芦苅場570-1</t>
    <rPh sb="0" eb="3">
      <t>アシカリバ</t>
    </rPh>
    <phoneticPr fontId="2"/>
  </si>
  <si>
    <t>加佐志244-1</t>
    <rPh sb="0" eb="1">
      <t>カ</t>
    </rPh>
    <rPh sb="1" eb="2">
      <t>サ</t>
    </rPh>
    <rPh sb="2" eb="3">
      <t>シ</t>
    </rPh>
    <phoneticPr fontId="2"/>
  </si>
  <si>
    <t>狭山47-28</t>
    <rPh sb="0" eb="2">
      <t>サヤマ</t>
    </rPh>
    <phoneticPr fontId="2"/>
  </si>
  <si>
    <t>狭山47-29</t>
    <rPh sb="0" eb="2">
      <t>サヤマ</t>
    </rPh>
    <phoneticPr fontId="2"/>
  </si>
  <si>
    <t>高倉4-15-5</t>
    <rPh sb="0" eb="2">
      <t>タカクラ</t>
    </rPh>
    <phoneticPr fontId="2"/>
  </si>
  <si>
    <t>上小谷田3-2-22</t>
    <rPh sb="0" eb="1">
      <t>カミ</t>
    </rPh>
    <rPh sb="1" eb="4">
      <t>コヤタ</t>
    </rPh>
    <phoneticPr fontId="2"/>
  </si>
  <si>
    <t>新久227-1</t>
    <rPh sb="0" eb="2">
      <t>アラク</t>
    </rPh>
    <phoneticPr fontId="2"/>
  </si>
  <si>
    <t>みどり野南1-1</t>
    <rPh sb="3" eb="4">
      <t>ノ</t>
    </rPh>
    <rPh sb="4" eb="5">
      <t>ミナミ</t>
    </rPh>
    <phoneticPr fontId="2"/>
  </si>
  <si>
    <t>上南畑3262-1</t>
    <rPh sb="0" eb="1">
      <t>カミ</t>
    </rPh>
    <rPh sb="1" eb="2">
      <t>ミナミ</t>
    </rPh>
    <rPh sb="2" eb="3">
      <t>ハタケ</t>
    </rPh>
    <phoneticPr fontId="2"/>
  </si>
  <si>
    <t>東大久保3655</t>
    <rPh sb="0" eb="4">
      <t>ヒガシオオクボ</t>
    </rPh>
    <phoneticPr fontId="2"/>
  </si>
  <si>
    <t>大井武蔵野1558-1</t>
    <rPh sb="0" eb="2">
      <t>オオイ</t>
    </rPh>
    <rPh sb="2" eb="5">
      <t>ムサシノ</t>
    </rPh>
    <phoneticPr fontId="2"/>
  </si>
  <si>
    <t>西原2-5-1</t>
    <rPh sb="0" eb="2">
      <t>ニシハラ</t>
    </rPh>
    <phoneticPr fontId="2"/>
  </si>
  <si>
    <t>四方寺91</t>
    <rPh sb="0" eb="3">
      <t>シホウジ</t>
    </rPh>
    <phoneticPr fontId="2"/>
  </si>
  <si>
    <t>中奈良1318-6</t>
    <rPh sb="0" eb="1">
      <t>ナカ</t>
    </rPh>
    <rPh sb="1" eb="3">
      <t>ナラ</t>
    </rPh>
    <phoneticPr fontId="2"/>
  </si>
  <si>
    <t>佐谷田1441-2</t>
    <rPh sb="0" eb="1">
      <t>サ</t>
    </rPh>
    <rPh sb="1" eb="2">
      <t>ヤ</t>
    </rPh>
    <rPh sb="2" eb="3">
      <t>タ</t>
    </rPh>
    <phoneticPr fontId="2"/>
  </si>
  <si>
    <t>戸田市立福祉作業所もくせい園</t>
    <rPh sb="0" eb="3">
      <t>トダシ</t>
    </rPh>
    <rPh sb="3" eb="4">
      <t>リツ</t>
    </rPh>
    <rPh sb="4" eb="6">
      <t>フクシ</t>
    </rPh>
    <rPh sb="6" eb="9">
      <t>サギョウショ</t>
    </rPh>
    <rPh sb="13" eb="14">
      <t>エン</t>
    </rPh>
    <phoneticPr fontId="2"/>
  </si>
  <si>
    <t>戸田市立福祉作業所ゆうゆう</t>
    <rPh sb="0" eb="2">
      <t>トダ</t>
    </rPh>
    <rPh sb="2" eb="4">
      <t>シリツ</t>
    </rPh>
    <rPh sb="4" eb="6">
      <t>フクシ</t>
    </rPh>
    <rPh sb="6" eb="9">
      <t>サギョウショ</t>
    </rPh>
    <phoneticPr fontId="2"/>
  </si>
  <si>
    <t>大原1-23-11</t>
    <rPh sb="0" eb="2">
      <t>オオハラ</t>
    </rPh>
    <phoneticPr fontId="2"/>
  </si>
  <si>
    <t>古里1848</t>
    <rPh sb="0" eb="2">
      <t>フルサト</t>
    </rPh>
    <phoneticPr fontId="2"/>
  </si>
  <si>
    <t>鎌形2804-1</t>
    <rPh sb="0" eb="2">
      <t>カマガタ</t>
    </rPh>
    <phoneticPr fontId="2"/>
  </si>
  <si>
    <t>しもとみ大樹</t>
    <rPh sb="4" eb="6">
      <t>タイジュ</t>
    </rPh>
    <phoneticPr fontId="2"/>
  </si>
  <si>
    <t>(福)めぐみ会</t>
    <rPh sb="0" eb="3">
      <t>フク</t>
    </rPh>
    <rPh sb="6" eb="7">
      <t>カイ</t>
    </rPh>
    <phoneticPr fontId="2"/>
  </si>
  <si>
    <t>のびる作業所</t>
    <rPh sb="3" eb="6">
      <t>サギョウショ</t>
    </rPh>
    <phoneticPr fontId="2"/>
  </si>
  <si>
    <t>北永井381-1</t>
    <rPh sb="0" eb="1">
      <t>キタ</t>
    </rPh>
    <rPh sb="1" eb="3">
      <t>ナガイ</t>
    </rPh>
    <phoneticPr fontId="2"/>
  </si>
  <si>
    <t>049-293-2302</t>
    <phoneticPr fontId="2"/>
  </si>
  <si>
    <t>(医)昭友会</t>
    <rPh sb="0" eb="3">
      <t>イ</t>
    </rPh>
    <rPh sb="3" eb="5">
      <t>ショウユウ</t>
    </rPh>
    <rPh sb="5" eb="6">
      <t>カイ</t>
    </rPh>
    <phoneticPr fontId="2"/>
  </si>
  <si>
    <t>ハーモニー</t>
    <phoneticPr fontId="2"/>
  </si>
  <si>
    <t>比企郡滑川町</t>
    <rPh sb="0" eb="3">
      <t>ヒキグン</t>
    </rPh>
    <rPh sb="3" eb="6">
      <t>ナメガワマチ</t>
    </rPh>
    <phoneticPr fontId="2"/>
  </si>
  <si>
    <t>羽尾496-5</t>
    <rPh sb="0" eb="2">
      <t>ハネオ</t>
    </rPh>
    <phoneticPr fontId="2"/>
  </si>
  <si>
    <t>0493-56-4875</t>
    <phoneticPr fontId="2"/>
  </si>
  <si>
    <t>0493-56-4877</t>
    <phoneticPr fontId="2"/>
  </si>
  <si>
    <t>原宿174-29</t>
    <rPh sb="0" eb="2">
      <t>ハラジュク</t>
    </rPh>
    <phoneticPr fontId="2"/>
  </si>
  <si>
    <t>砂田町8-6</t>
    <rPh sb="0" eb="3">
      <t>スナダマチ</t>
    </rPh>
    <phoneticPr fontId="2"/>
  </si>
  <si>
    <t>斎条870</t>
    <rPh sb="0" eb="2">
      <t>サイジョウ</t>
    </rPh>
    <phoneticPr fontId="2"/>
  </si>
  <si>
    <t>松山1580-9</t>
    <rPh sb="0" eb="2">
      <t>マツヤマ</t>
    </rPh>
    <phoneticPr fontId="2"/>
  </si>
  <si>
    <t>小見1141-1</t>
    <rPh sb="0" eb="2">
      <t>オミ</t>
    </rPh>
    <phoneticPr fontId="2"/>
  </si>
  <si>
    <t>志多見397-1</t>
    <rPh sb="0" eb="3">
      <t>シダミ</t>
    </rPh>
    <phoneticPr fontId="2"/>
  </si>
  <si>
    <t>関2085-1</t>
    <rPh sb="0" eb="1">
      <t>セキ</t>
    </rPh>
    <phoneticPr fontId="2"/>
  </si>
  <si>
    <t>小茂田889-1</t>
    <rPh sb="0" eb="3">
      <t>コモダ</t>
    </rPh>
    <phoneticPr fontId="2"/>
  </si>
  <si>
    <t>小茂田747-1</t>
    <rPh sb="0" eb="3">
      <t>コモダ</t>
    </rPh>
    <phoneticPr fontId="2"/>
  </si>
  <si>
    <t>京浜東北線蕨駅東口下車徒歩7分</t>
    <rPh sb="0" eb="2">
      <t>ケイヒン</t>
    </rPh>
    <rPh sb="2" eb="4">
      <t>トウホク</t>
    </rPh>
    <rPh sb="4" eb="5">
      <t>セン</t>
    </rPh>
    <rPh sb="5" eb="6">
      <t>ワラビ</t>
    </rPh>
    <rPh sb="6" eb="7">
      <t>エキ</t>
    </rPh>
    <rPh sb="7" eb="9">
      <t>ヒガシグチ</t>
    </rPh>
    <rPh sb="9" eb="11">
      <t>ゲシャ</t>
    </rPh>
    <rPh sb="11" eb="13">
      <t>トホ</t>
    </rPh>
    <rPh sb="14" eb="15">
      <t>フン</t>
    </rPh>
    <phoneticPr fontId="2"/>
  </si>
  <si>
    <t>末野2044</t>
    <rPh sb="0" eb="1">
      <t>スエ</t>
    </rPh>
    <rPh sb="1" eb="2">
      <t>ノ</t>
    </rPh>
    <phoneticPr fontId="2"/>
  </si>
  <si>
    <t>児玉町飯倉831</t>
    <rPh sb="0" eb="3">
      <t>コダママチ</t>
    </rPh>
    <rPh sb="3" eb="5">
      <t>イイクラ</t>
    </rPh>
    <phoneticPr fontId="2"/>
  </si>
  <si>
    <t>栗崎782</t>
    <rPh sb="0" eb="2">
      <t>クリサキ</t>
    </rPh>
    <phoneticPr fontId="2"/>
  </si>
  <si>
    <t>柏1-6-3</t>
    <rPh sb="0" eb="1">
      <t>カシワ</t>
    </rPh>
    <phoneticPr fontId="2"/>
  </si>
  <si>
    <t>野原1064-1</t>
    <rPh sb="0" eb="2">
      <t>ノハラ</t>
    </rPh>
    <phoneticPr fontId="2"/>
  </si>
  <si>
    <t>今市493-1</t>
    <rPh sb="0" eb="2">
      <t>イマイチ</t>
    </rPh>
    <phoneticPr fontId="2"/>
  </si>
  <si>
    <t>本田5243-1</t>
    <rPh sb="0" eb="2">
      <t>ホンダ</t>
    </rPh>
    <phoneticPr fontId="2"/>
  </si>
  <si>
    <t>人見2000</t>
    <rPh sb="0" eb="2">
      <t>ヒトミ</t>
    </rPh>
    <phoneticPr fontId="2"/>
  </si>
  <si>
    <t>本田3342</t>
    <rPh sb="0" eb="2">
      <t>ホンダ</t>
    </rPh>
    <phoneticPr fontId="2"/>
  </si>
  <si>
    <t>武蔵野777-4</t>
    <rPh sb="0" eb="3">
      <t>ムサシノ</t>
    </rPh>
    <phoneticPr fontId="2"/>
  </si>
  <si>
    <t>上柴町西2-10-6</t>
    <rPh sb="0" eb="3">
      <t>カミシバチョウ</t>
    </rPh>
    <rPh sb="3" eb="4">
      <t>ニシ</t>
    </rPh>
    <phoneticPr fontId="2"/>
  </si>
  <si>
    <t>小前田2675-1</t>
    <rPh sb="0" eb="3">
      <t>オマエダ</t>
    </rPh>
    <phoneticPr fontId="2"/>
  </si>
  <si>
    <t>山田1199-2</t>
    <rPh sb="0" eb="2">
      <t>ヤマダ</t>
    </rPh>
    <phoneticPr fontId="2"/>
  </si>
  <si>
    <t>中村町3-12-23</t>
    <rPh sb="0" eb="2">
      <t>ナカムラ</t>
    </rPh>
    <rPh sb="2" eb="3">
      <t>マチ</t>
    </rPh>
    <phoneticPr fontId="2"/>
  </si>
  <si>
    <t>ぶどうの実</t>
    <rPh sb="4" eb="5">
      <t>ミ</t>
    </rPh>
    <phoneticPr fontId="2"/>
  </si>
  <si>
    <t>久那1629</t>
    <rPh sb="0" eb="2">
      <t>クナ</t>
    </rPh>
    <phoneticPr fontId="2"/>
  </si>
  <si>
    <t>菅沢1-3-1</t>
    <rPh sb="0" eb="2">
      <t>スガサワ</t>
    </rPh>
    <phoneticPr fontId="2"/>
  </si>
  <si>
    <t>倉田513</t>
    <rPh sb="0" eb="2">
      <t>クラタ</t>
    </rPh>
    <phoneticPr fontId="2"/>
  </si>
  <si>
    <t>高尾1-180</t>
    <rPh sb="0" eb="2">
      <t>タカオ</t>
    </rPh>
    <phoneticPr fontId="2"/>
  </si>
  <si>
    <t>東武伊勢崎線羽生駅下車タクシー20分</t>
    <rPh sb="0" eb="2">
      <t>トウブ</t>
    </rPh>
    <rPh sb="2" eb="5">
      <t>イセサキ</t>
    </rPh>
    <rPh sb="5" eb="6">
      <t>セン</t>
    </rPh>
    <rPh sb="6" eb="8">
      <t>ハニュウ</t>
    </rPh>
    <rPh sb="8" eb="9">
      <t>エキ</t>
    </rPh>
    <rPh sb="9" eb="11">
      <t>ゲシャ</t>
    </rPh>
    <rPh sb="17" eb="18">
      <t>プン</t>
    </rPh>
    <phoneticPr fontId="2"/>
  </si>
  <si>
    <t>黒浜1045-1</t>
    <rPh sb="0" eb="2">
      <t>クロハマ</t>
    </rPh>
    <phoneticPr fontId="2"/>
  </si>
  <si>
    <t>黒浜4147</t>
    <rPh sb="0" eb="2">
      <t>クロハマ</t>
    </rPh>
    <phoneticPr fontId="2"/>
  </si>
  <si>
    <t>南2-1-18</t>
    <rPh sb="0" eb="1">
      <t>ミナミ</t>
    </rPh>
    <phoneticPr fontId="2"/>
  </si>
  <si>
    <t>栗坪120-1</t>
    <rPh sb="0" eb="2">
      <t>クリツボ</t>
    </rPh>
    <phoneticPr fontId="2"/>
  </si>
  <si>
    <t>東武東上線東松山駅から川越行バス「五領」下車徒歩5分</t>
    <rPh sb="0" eb="2">
      <t>トウブ</t>
    </rPh>
    <rPh sb="2" eb="4">
      <t>トウジョウ</t>
    </rPh>
    <rPh sb="4" eb="5">
      <t>セン</t>
    </rPh>
    <rPh sb="5" eb="8">
      <t>ヒガシマツヤマ</t>
    </rPh>
    <rPh sb="8" eb="9">
      <t>エキ</t>
    </rPh>
    <rPh sb="11" eb="13">
      <t>カワゴエ</t>
    </rPh>
    <rPh sb="13" eb="14">
      <t>イ</t>
    </rPh>
    <rPh sb="17" eb="19">
      <t>ゴリョウ</t>
    </rPh>
    <rPh sb="20" eb="22">
      <t>ゲシャ</t>
    </rPh>
    <rPh sb="22" eb="24">
      <t>トホ</t>
    </rPh>
    <rPh sb="25" eb="26">
      <t>フン</t>
    </rPh>
    <phoneticPr fontId="2"/>
  </si>
  <si>
    <t>西武線仏子駅から仏子ニュータウン行バス「仏子ニュータウン」下車徒歩8分</t>
    <rPh sb="0" eb="2">
      <t>セイブ</t>
    </rPh>
    <rPh sb="2" eb="3">
      <t>セン</t>
    </rPh>
    <rPh sb="3" eb="5">
      <t>ブシ</t>
    </rPh>
    <rPh sb="5" eb="6">
      <t>エキ</t>
    </rPh>
    <rPh sb="8" eb="10">
      <t>ブシ</t>
    </rPh>
    <rPh sb="16" eb="17">
      <t>イ</t>
    </rPh>
    <rPh sb="20" eb="22">
      <t>ブシ</t>
    </rPh>
    <rPh sb="29" eb="31">
      <t>ゲシャ</t>
    </rPh>
    <rPh sb="31" eb="33">
      <t>トホ</t>
    </rPh>
    <rPh sb="34" eb="35">
      <t>フン</t>
    </rPh>
    <phoneticPr fontId="2"/>
  </si>
  <si>
    <t>西武新宿線南大塚駅下車タクシー8分</t>
    <rPh sb="0" eb="2">
      <t>セイブ</t>
    </rPh>
    <rPh sb="2" eb="4">
      <t>シンジュク</t>
    </rPh>
    <rPh sb="4" eb="5">
      <t>セン</t>
    </rPh>
    <rPh sb="5" eb="8">
      <t>ミナミオオツカ</t>
    </rPh>
    <rPh sb="8" eb="9">
      <t>エキ</t>
    </rPh>
    <rPh sb="9" eb="11">
      <t>ゲシャ</t>
    </rPh>
    <rPh sb="16" eb="17">
      <t>プン</t>
    </rPh>
    <phoneticPr fontId="2"/>
  </si>
  <si>
    <t>ルピナス神川ホーム</t>
    <phoneticPr fontId="2"/>
  </si>
  <si>
    <t>熊谷駅から小川町行バス「小原十字路」下車</t>
    <rPh sb="0" eb="2">
      <t>クマガヤ</t>
    </rPh>
    <rPh sb="2" eb="3">
      <t>エキ</t>
    </rPh>
    <rPh sb="5" eb="8">
      <t>オガワマチ</t>
    </rPh>
    <rPh sb="8" eb="9">
      <t>イ</t>
    </rPh>
    <rPh sb="12" eb="14">
      <t>コハラ</t>
    </rPh>
    <rPh sb="14" eb="17">
      <t>ジュウジロ</t>
    </rPh>
    <rPh sb="18" eb="20">
      <t>ゲシャ</t>
    </rPh>
    <phoneticPr fontId="2"/>
  </si>
  <si>
    <t>東武日光線新古河駅下車タクシー5分</t>
    <rPh sb="0" eb="2">
      <t>トウブ</t>
    </rPh>
    <rPh sb="2" eb="4">
      <t>ニッコウ</t>
    </rPh>
    <rPh sb="4" eb="5">
      <t>セン</t>
    </rPh>
    <rPh sb="5" eb="8">
      <t>シンコガ</t>
    </rPh>
    <rPh sb="8" eb="9">
      <t>エキ</t>
    </rPh>
    <rPh sb="9" eb="11">
      <t>ゲシャ</t>
    </rPh>
    <rPh sb="16" eb="17">
      <t>フン</t>
    </rPh>
    <phoneticPr fontId="2"/>
  </si>
  <si>
    <t>川越駅下車徒歩5分</t>
    <rPh sb="0" eb="2">
      <t>カワゴエ</t>
    </rPh>
    <rPh sb="2" eb="3">
      <t>エキ</t>
    </rPh>
    <rPh sb="3" eb="5">
      <t>ゲシャ</t>
    </rPh>
    <rPh sb="5" eb="7">
      <t>トホ</t>
    </rPh>
    <rPh sb="8" eb="9">
      <t>フン</t>
    </rPh>
    <phoneticPr fontId="2"/>
  </si>
  <si>
    <t>西武池袋線武蔵藤沢駅から入間市駅行バス「扇町屋団地」下車徒歩2分</t>
    <rPh sb="0" eb="2">
      <t>セイブ</t>
    </rPh>
    <rPh sb="2" eb="4">
      <t>イケブクロ</t>
    </rPh>
    <rPh sb="4" eb="5">
      <t>セン</t>
    </rPh>
    <rPh sb="5" eb="7">
      <t>ムサシ</t>
    </rPh>
    <rPh sb="7" eb="9">
      <t>フジサワ</t>
    </rPh>
    <rPh sb="9" eb="10">
      <t>エキ</t>
    </rPh>
    <rPh sb="12" eb="15">
      <t>イルマシ</t>
    </rPh>
    <rPh sb="15" eb="16">
      <t>エキ</t>
    </rPh>
    <rPh sb="16" eb="17">
      <t>イ</t>
    </rPh>
    <rPh sb="20" eb="22">
      <t>オウギマチ</t>
    </rPh>
    <rPh sb="22" eb="23">
      <t>ヤ</t>
    </rPh>
    <rPh sb="23" eb="25">
      <t>ダンチ</t>
    </rPh>
    <rPh sb="26" eb="28">
      <t>ゲシャ</t>
    </rPh>
    <rPh sb="28" eb="30">
      <t>トホ</t>
    </rPh>
    <rPh sb="31" eb="32">
      <t>フン</t>
    </rPh>
    <phoneticPr fontId="2"/>
  </si>
  <si>
    <t>川越駅から今福中台行西武バス終点下車徒歩2分</t>
    <rPh sb="0" eb="2">
      <t>カワゴエ</t>
    </rPh>
    <rPh sb="2" eb="3">
      <t>エキ</t>
    </rPh>
    <rPh sb="5" eb="7">
      <t>イマフク</t>
    </rPh>
    <rPh sb="7" eb="9">
      <t>ナカダイ</t>
    </rPh>
    <rPh sb="9" eb="10">
      <t>イ</t>
    </rPh>
    <rPh sb="10" eb="12">
      <t>セイブ</t>
    </rPh>
    <rPh sb="14" eb="16">
      <t>シュウテン</t>
    </rPh>
    <rPh sb="16" eb="18">
      <t>ゲシャ</t>
    </rPh>
    <rPh sb="18" eb="20">
      <t>トホ</t>
    </rPh>
    <rPh sb="21" eb="22">
      <t>フン</t>
    </rPh>
    <phoneticPr fontId="2"/>
  </si>
  <si>
    <t>熊谷はあとふるの里”ひなたぼっこ”</t>
    <rPh sb="0" eb="2">
      <t>クマガヤ</t>
    </rPh>
    <rPh sb="8" eb="9">
      <t>サト</t>
    </rPh>
    <phoneticPr fontId="2"/>
  </si>
  <si>
    <t>備考（最寄駅等）</t>
    <rPh sb="0" eb="2">
      <t>ビコウ</t>
    </rPh>
    <rPh sb="3" eb="5">
      <t>モヨ</t>
    </rPh>
    <rPh sb="5" eb="6">
      <t>エキ</t>
    </rPh>
    <rPh sb="6" eb="7">
      <t>トウ</t>
    </rPh>
    <phoneticPr fontId="2"/>
  </si>
  <si>
    <t>さいたま市・(福)さいたま市社会福祉事業団</t>
  </si>
  <si>
    <t>048-625-3171</t>
  </si>
  <si>
    <t>多機能型大谷事業所</t>
    <rPh sb="0" eb="3">
      <t>タキノウ</t>
    </rPh>
    <rPh sb="3" eb="4">
      <t>ガタ</t>
    </rPh>
    <rPh sb="4" eb="6">
      <t>オオヤ</t>
    </rPh>
    <rPh sb="6" eb="9">
      <t>ジギョウショ</t>
    </rPh>
    <phoneticPr fontId="2"/>
  </si>
  <si>
    <t>見沼区大谷1264</t>
    <rPh sb="0" eb="3">
      <t>ミヌマク</t>
    </rPh>
    <rPh sb="3" eb="5">
      <t>オオヤ</t>
    </rPh>
    <phoneticPr fontId="2"/>
  </si>
  <si>
    <t>大宮駅西口から佐知川原行西武バス「佐知川原」下車徒歩1分</t>
    <rPh sb="0" eb="2">
      <t>オオミヤ</t>
    </rPh>
    <rPh sb="2" eb="3">
      <t>エキ</t>
    </rPh>
    <rPh sb="3" eb="5">
      <t>ニシグチ</t>
    </rPh>
    <rPh sb="7" eb="8">
      <t>サ</t>
    </rPh>
    <rPh sb="8" eb="9">
      <t>チ</t>
    </rPh>
    <rPh sb="9" eb="11">
      <t>ガワラ</t>
    </rPh>
    <rPh sb="11" eb="12">
      <t>イ</t>
    </rPh>
    <rPh sb="12" eb="14">
      <t>セイブ</t>
    </rPh>
    <rPh sb="17" eb="19">
      <t>サチ</t>
    </rPh>
    <rPh sb="19" eb="21">
      <t>ガワラ</t>
    </rPh>
    <rPh sb="22" eb="24">
      <t>ゲシャ</t>
    </rPh>
    <rPh sb="24" eb="26">
      <t>トホ</t>
    </rPh>
    <rPh sb="27" eb="28">
      <t>プン</t>
    </rPh>
    <phoneticPr fontId="2"/>
  </si>
  <si>
    <t>さいたま市障害者福祉施設春光園けやき</t>
    <rPh sb="7" eb="8">
      <t>シャ</t>
    </rPh>
    <phoneticPr fontId="2"/>
  </si>
  <si>
    <t>048-687-8517</t>
  </si>
  <si>
    <t>○</t>
    <phoneticPr fontId="2"/>
  </si>
  <si>
    <t>宇都宮線東大宮駅東口からアーバンみらい行国際興業バス「東三番街」下車徒歩15分</t>
    <rPh sb="0" eb="3">
      <t>ウツノミヤ</t>
    </rPh>
    <rPh sb="3" eb="4">
      <t>セン</t>
    </rPh>
    <rPh sb="4" eb="7">
      <t>ヒガシオオミヤ</t>
    </rPh>
    <rPh sb="7" eb="8">
      <t>エキ</t>
    </rPh>
    <rPh sb="8" eb="10">
      <t>ヒガシグチ</t>
    </rPh>
    <rPh sb="19" eb="20">
      <t>イ</t>
    </rPh>
    <rPh sb="20" eb="22">
      <t>コクサイ</t>
    </rPh>
    <rPh sb="22" eb="24">
      <t>コウギョウ</t>
    </rPh>
    <rPh sb="27" eb="28">
      <t>ヒガシ</t>
    </rPh>
    <rPh sb="28" eb="31">
      <t>サンバンガイ</t>
    </rPh>
    <rPh sb="32" eb="34">
      <t>ゲシャ</t>
    </rPh>
    <rPh sb="34" eb="36">
      <t>トホ</t>
    </rPh>
    <rPh sb="38" eb="39">
      <t>フン</t>
    </rPh>
    <phoneticPr fontId="2"/>
  </si>
  <si>
    <t>FAX番号</t>
    <rPh sb="3" eb="5">
      <t>バンゴウ</t>
    </rPh>
    <phoneticPr fontId="2"/>
  </si>
  <si>
    <t>○</t>
    <phoneticPr fontId="2"/>
  </si>
  <si>
    <t>武蔵野線東浦和駅下車徒歩20分</t>
    <rPh sb="0" eb="3">
      <t>ムサシノ</t>
    </rPh>
    <rPh sb="3" eb="4">
      <t>セン</t>
    </rPh>
    <rPh sb="4" eb="7">
      <t>ヒガシウラワ</t>
    </rPh>
    <rPh sb="7" eb="8">
      <t>エキ</t>
    </rPh>
    <rPh sb="8" eb="10">
      <t>ゲシャ</t>
    </rPh>
    <rPh sb="10" eb="12">
      <t>トホ</t>
    </rPh>
    <rPh sb="14" eb="15">
      <t>プン</t>
    </rPh>
    <phoneticPr fontId="2"/>
  </si>
  <si>
    <t>○</t>
    <phoneticPr fontId="2"/>
  </si>
  <si>
    <t>○</t>
    <phoneticPr fontId="2"/>
  </si>
  <si>
    <t>京浜東北線西川口駅下車徒歩10分</t>
    <rPh sb="0" eb="2">
      <t>ケイヒン</t>
    </rPh>
    <rPh sb="2" eb="4">
      <t>トウホク</t>
    </rPh>
    <rPh sb="4" eb="5">
      <t>セン</t>
    </rPh>
    <rPh sb="5" eb="8">
      <t>ニシカワグチ</t>
    </rPh>
    <rPh sb="8" eb="9">
      <t>エキ</t>
    </rPh>
    <rPh sb="9" eb="11">
      <t>ゲシャ</t>
    </rPh>
    <rPh sb="11" eb="13">
      <t>トホ</t>
    </rPh>
    <rPh sb="15" eb="16">
      <t>プン</t>
    </rPh>
    <phoneticPr fontId="2"/>
  </si>
  <si>
    <t>○</t>
    <phoneticPr fontId="2"/>
  </si>
  <si>
    <t>西武新宿線航空公園駅西口下車徒歩2分</t>
    <rPh sb="0" eb="2">
      <t>セイブ</t>
    </rPh>
    <rPh sb="2" eb="4">
      <t>シンジュク</t>
    </rPh>
    <rPh sb="4" eb="5">
      <t>セン</t>
    </rPh>
    <rPh sb="5" eb="7">
      <t>コウクウ</t>
    </rPh>
    <rPh sb="7" eb="9">
      <t>コウエン</t>
    </rPh>
    <rPh sb="9" eb="10">
      <t>エキ</t>
    </rPh>
    <rPh sb="10" eb="12">
      <t>ニシグチ</t>
    </rPh>
    <rPh sb="12" eb="14">
      <t>ゲシャ</t>
    </rPh>
    <rPh sb="14" eb="16">
      <t>トホ</t>
    </rPh>
    <rPh sb="17" eb="18">
      <t>フン</t>
    </rPh>
    <phoneticPr fontId="2"/>
  </si>
  <si>
    <t>川崎458</t>
    <phoneticPr fontId="2"/>
  </si>
  <si>
    <t>ユーアイハウスおがの</t>
    <phoneticPr fontId="2"/>
  </si>
  <si>
    <t>秩父郡小鹿野町</t>
    <phoneticPr fontId="2"/>
  </si>
  <si>
    <t>三山2213-1</t>
    <phoneticPr fontId="2"/>
  </si>
  <si>
    <t>0494-72-5011</t>
    <phoneticPr fontId="2"/>
  </si>
  <si>
    <t>0494-76-0007</t>
    <phoneticPr fontId="2"/>
  </si>
  <si>
    <t>△</t>
    <phoneticPr fontId="2"/>
  </si>
  <si>
    <t>○</t>
    <phoneticPr fontId="2"/>
  </si>
  <si>
    <t>芝3162</t>
    <rPh sb="0" eb="1">
      <t>シバ</t>
    </rPh>
    <phoneticPr fontId="2"/>
  </si>
  <si>
    <t>048-266-2140</t>
    <phoneticPr fontId="2"/>
  </si>
  <si>
    <t>○</t>
    <phoneticPr fontId="2"/>
  </si>
  <si>
    <t>初雁の家</t>
    <phoneticPr fontId="2"/>
  </si>
  <si>
    <t>川越市</t>
    <phoneticPr fontId="2"/>
  </si>
  <si>
    <t>平塚新田162</t>
    <phoneticPr fontId="2"/>
  </si>
  <si>
    <t>049-232-6363</t>
    <phoneticPr fontId="2"/>
  </si>
  <si>
    <t>049-232-6367</t>
    <phoneticPr fontId="2"/>
  </si>
  <si>
    <t>川越市</t>
    <phoneticPr fontId="2"/>
  </si>
  <si>
    <t>○</t>
    <phoneticPr fontId="2"/>
  </si>
  <si>
    <t>ハートポートセンターともいき</t>
    <phoneticPr fontId="2"/>
  </si>
  <si>
    <t>(特非)元気工房</t>
    <rPh sb="0" eb="4">
      <t>トクヒ</t>
    </rPh>
    <rPh sb="4" eb="6">
      <t>ゲンキ</t>
    </rPh>
    <rPh sb="6" eb="8">
      <t>コウボウ</t>
    </rPh>
    <phoneticPr fontId="2"/>
  </si>
  <si>
    <t>ＮＰＯ法人元気工房</t>
    <rPh sb="3" eb="5">
      <t>ホウジン</t>
    </rPh>
    <rPh sb="5" eb="7">
      <t>ゲンキ</t>
    </rPh>
    <rPh sb="7" eb="9">
      <t>コウボウ</t>
    </rPh>
    <phoneticPr fontId="2"/>
  </si>
  <si>
    <t>中央区八王子4-1-20</t>
    <rPh sb="0" eb="3">
      <t>チュウオウク</t>
    </rPh>
    <rPh sb="3" eb="6">
      <t>ハチオウジ</t>
    </rPh>
    <phoneticPr fontId="2"/>
  </si>
  <si>
    <t>笠幡1646-17</t>
    <phoneticPr fontId="2"/>
  </si>
  <si>
    <t>049-231-1422</t>
    <phoneticPr fontId="2"/>
  </si>
  <si>
    <t>049-234-7288</t>
    <phoneticPr fontId="2"/>
  </si>
  <si>
    <t>○</t>
    <phoneticPr fontId="2"/>
  </si>
  <si>
    <t>下赤坂1847</t>
    <phoneticPr fontId="2"/>
  </si>
  <si>
    <t>049-238-2661</t>
    <phoneticPr fontId="2"/>
  </si>
  <si>
    <t>049-238-2651</t>
    <phoneticPr fontId="2"/>
  </si>
  <si>
    <t>川越親愛センター</t>
    <phoneticPr fontId="2"/>
  </si>
  <si>
    <t>049-246-5262</t>
    <phoneticPr fontId="2"/>
  </si>
  <si>
    <t>049-246-5261</t>
    <phoneticPr fontId="2"/>
  </si>
  <si>
    <t>049-256-7151</t>
    <phoneticPr fontId="2"/>
  </si>
  <si>
    <t>東田町1-5</t>
    <rPh sb="0" eb="2">
      <t>ヒガシダ</t>
    </rPh>
    <rPh sb="2" eb="3">
      <t>マチ</t>
    </rPh>
    <phoneticPr fontId="2"/>
  </si>
  <si>
    <t>049-241-1144</t>
    <phoneticPr fontId="2"/>
  </si>
  <si>
    <t>049-241-7555</t>
    <phoneticPr fontId="2"/>
  </si>
  <si>
    <t>○</t>
    <phoneticPr fontId="2"/>
  </si>
  <si>
    <t>高崎線桶川駅から菖蒲車庫行朝日バス「菖蒲仲橋」下車徒歩12分</t>
    <rPh sb="0" eb="2">
      <t>タカサキ</t>
    </rPh>
    <rPh sb="2" eb="3">
      <t>セン</t>
    </rPh>
    <rPh sb="3" eb="5">
      <t>オケガワ</t>
    </rPh>
    <rPh sb="5" eb="6">
      <t>エキ</t>
    </rPh>
    <rPh sb="8" eb="10">
      <t>ショウブ</t>
    </rPh>
    <rPh sb="10" eb="12">
      <t>シャコ</t>
    </rPh>
    <rPh sb="12" eb="13">
      <t>イ</t>
    </rPh>
    <rPh sb="13" eb="15">
      <t>アサヒ</t>
    </rPh>
    <rPh sb="18" eb="20">
      <t>ショウブ</t>
    </rPh>
    <rPh sb="20" eb="22">
      <t>ナカハシ</t>
    </rPh>
    <rPh sb="23" eb="25">
      <t>ゲシャ</t>
    </rPh>
    <rPh sb="25" eb="27">
      <t>トホ</t>
    </rPh>
    <rPh sb="29" eb="30">
      <t>フン</t>
    </rPh>
    <phoneticPr fontId="2"/>
  </si>
  <si>
    <t>ドリームセンターともに</t>
    <phoneticPr fontId="2"/>
  </si>
  <si>
    <t>東武伊勢崎線一ノ割駅徒歩15分</t>
    <rPh sb="0" eb="2">
      <t>トウブ</t>
    </rPh>
    <rPh sb="2" eb="5">
      <t>イセサキ</t>
    </rPh>
    <rPh sb="5" eb="6">
      <t>セン</t>
    </rPh>
    <rPh sb="6" eb="7">
      <t>イチ</t>
    </rPh>
    <rPh sb="8" eb="9">
      <t>ワリ</t>
    </rPh>
    <rPh sb="9" eb="10">
      <t>エキ</t>
    </rPh>
    <rPh sb="10" eb="12">
      <t>トホ</t>
    </rPh>
    <rPh sb="14" eb="15">
      <t>フン</t>
    </rPh>
    <phoneticPr fontId="2"/>
  </si>
  <si>
    <t>○</t>
    <phoneticPr fontId="2"/>
  </si>
  <si>
    <t>049-257-0440</t>
    <phoneticPr fontId="2"/>
  </si>
  <si>
    <t>049-298-3305</t>
    <phoneticPr fontId="2"/>
  </si>
  <si>
    <t>川越駅から東松山駅行東武バス「浄国寺」下車徒歩1分</t>
    <rPh sb="0" eb="2">
      <t>カワゴエ</t>
    </rPh>
    <rPh sb="2" eb="3">
      <t>エキ</t>
    </rPh>
    <rPh sb="5" eb="8">
      <t>ヒガシマツヤマ</t>
    </rPh>
    <rPh sb="8" eb="9">
      <t>エキ</t>
    </rPh>
    <rPh sb="9" eb="10">
      <t>イ</t>
    </rPh>
    <rPh sb="10" eb="12">
      <t>トウブ</t>
    </rPh>
    <rPh sb="15" eb="16">
      <t>ジョウ</t>
    </rPh>
    <rPh sb="16" eb="17">
      <t>コク</t>
    </rPh>
    <rPh sb="17" eb="18">
      <t>ジ</t>
    </rPh>
    <rPh sb="19" eb="21">
      <t>ゲシャ</t>
    </rPh>
    <rPh sb="21" eb="23">
      <t>トホ</t>
    </rPh>
    <rPh sb="24" eb="25">
      <t>プン</t>
    </rPh>
    <phoneticPr fontId="2"/>
  </si>
  <si>
    <t>048-997-8988</t>
    <phoneticPr fontId="2"/>
  </si>
  <si>
    <t>○</t>
    <phoneticPr fontId="2"/>
  </si>
  <si>
    <t>武蔵野線三郷駅北口下車徒歩10分</t>
    <rPh sb="0" eb="3">
      <t>ムサシノ</t>
    </rPh>
    <rPh sb="3" eb="4">
      <t>セン</t>
    </rPh>
    <rPh sb="4" eb="6">
      <t>ミサト</t>
    </rPh>
    <rPh sb="6" eb="7">
      <t>エキ</t>
    </rPh>
    <rPh sb="7" eb="9">
      <t>キタグチ</t>
    </rPh>
    <rPh sb="9" eb="11">
      <t>ゲシャ</t>
    </rPh>
    <rPh sb="11" eb="13">
      <t>トホ</t>
    </rPh>
    <rPh sb="15" eb="16">
      <t>プン</t>
    </rPh>
    <phoneticPr fontId="2"/>
  </si>
  <si>
    <t>武蔵野線新三郷駅下車徒歩10分</t>
    <rPh sb="0" eb="3">
      <t>ムサシノ</t>
    </rPh>
    <rPh sb="3" eb="4">
      <t>セン</t>
    </rPh>
    <rPh sb="4" eb="7">
      <t>シンミサト</t>
    </rPh>
    <rPh sb="7" eb="8">
      <t>エキ</t>
    </rPh>
    <rPh sb="8" eb="10">
      <t>ゲシャ</t>
    </rPh>
    <rPh sb="10" eb="12">
      <t>トホ</t>
    </rPh>
    <rPh sb="14" eb="15">
      <t>プン</t>
    </rPh>
    <phoneticPr fontId="2"/>
  </si>
  <si>
    <t>労働と教育の場「雑草」</t>
    <phoneticPr fontId="2"/>
  </si>
  <si>
    <t>上尾市</t>
    <phoneticPr fontId="2"/>
  </si>
  <si>
    <t>地頭方438-6</t>
    <phoneticPr fontId="2"/>
  </si>
  <si>
    <t>048-726-5720</t>
    <phoneticPr fontId="2"/>
  </si>
  <si>
    <t>048-726-7177</t>
    <phoneticPr fontId="2"/>
  </si>
  <si>
    <t>ぷちとまと</t>
    <phoneticPr fontId="2"/>
  </si>
  <si>
    <t>○</t>
    <phoneticPr fontId="2"/>
  </si>
  <si>
    <t>高崎線桶川駅下車徒歩25分</t>
    <rPh sb="0" eb="2">
      <t>タカサキ</t>
    </rPh>
    <rPh sb="2" eb="3">
      <t>セン</t>
    </rPh>
    <rPh sb="3" eb="5">
      <t>オケガワ</t>
    </rPh>
    <rPh sb="5" eb="6">
      <t>エキ</t>
    </rPh>
    <rPh sb="6" eb="8">
      <t>ゲシャ</t>
    </rPh>
    <rPh sb="8" eb="10">
      <t>トホ</t>
    </rPh>
    <rPh sb="12" eb="13">
      <t>フン</t>
    </rPh>
    <phoneticPr fontId="2"/>
  </si>
  <si>
    <t>あげお</t>
    <phoneticPr fontId="2"/>
  </si>
  <si>
    <t>○</t>
    <phoneticPr fontId="2"/>
  </si>
  <si>
    <t>○</t>
    <phoneticPr fontId="2"/>
  </si>
  <si>
    <t>○</t>
    <phoneticPr fontId="2"/>
  </si>
  <si>
    <t>高崎線北上尾駅下車徒歩20分</t>
    <rPh sb="0" eb="2">
      <t>タカサキ</t>
    </rPh>
    <rPh sb="2" eb="3">
      <t>セン</t>
    </rPh>
    <rPh sb="3" eb="6">
      <t>キタアゲオ</t>
    </rPh>
    <rPh sb="6" eb="7">
      <t>エキ</t>
    </rPh>
    <rPh sb="7" eb="9">
      <t>ゲシャ</t>
    </rPh>
    <rPh sb="9" eb="11">
      <t>トホ</t>
    </rPh>
    <rPh sb="13" eb="14">
      <t>プン</t>
    </rPh>
    <phoneticPr fontId="2"/>
  </si>
  <si>
    <t>グリーンドア</t>
    <phoneticPr fontId="2"/>
  </si>
  <si>
    <t>高崎線北上尾駅東口下車徒歩15分</t>
    <rPh sb="0" eb="2">
      <t>タカサキ</t>
    </rPh>
    <rPh sb="2" eb="3">
      <t>セン</t>
    </rPh>
    <rPh sb="3" eb="6">
      <t>キタアゲオ</t>
    </rPh>
    <rPh sb="6" eb="7">
      <t>エキ</t>
    </rPh>
    <rPh sb="7" eb="9">
      <t>ヒガシグチ</t>
    </rPh>
    <rPh sb="9" eb="11">
      <t>ゲシャ</t>
    </rPh>
    <rPh sb="11" eb="13">
      <t>トホ</t>
    </rPh>
    <rPh sb="15" eb="16">
      <t>フン</t>
    </rPh>
    <phoneticPr fontId="2"/>
  </si>
  <si>
    <t>グローブ</t>
    <phoneticPr fontId="2"/>
  </si>
  <si>
    <t>048-779-3621</t>
    <phoneticPr fontId="2"/>
  </si>
  <si>
    <t>048-779-3622</t>
    <phoneticPr fontId="2"/>
  </si>
  <si>
    <t>東武東上線森林公園駅北口下車徒歩7分</t>
    <rPh sb="0" eb="2">
      <t>トウブ</t>
    </rPh>
    <rPh sb="2" eb="4">
      <t>トウジョウ</t>
    </rPh>
    <rPh sb="4" eb="5">
      <t>セン</t>
    </rPh>
    <rPh sb="5" eb="7">
      <t>シンリン</t>
    </rPh>
    <rPh sb="7" eb="9">
      <t>コウエン</t>
    </rPh>
    <rPh sb="9" eb="10">
      <t>エキ</t>
    </rPh>
    <rPh sb="10" eb="12">
      <t>キタグチ</t>
    </rPh>
    <rPh sb="12" eb="14">
      <t>ゲシャ</t>
    </rPh>
    <rPh sb="14" eb="16">
      <t>トホ</t>
    </rPh>
    <rPh sb="17" eb="18">
      <t>フン</t>
    </rPh>
    <phoneticPr fontId="2"/>
  </si>
  <si>
    <t>こぽす</t>
    <phoneticPr fontId="2"/>
  </si>
  <si>
    <t>宮前91-2</t>
    <rPh sb="0" eb="2">
      <t>ミヤマエ</t>
    </rPh>
    <phoneticPr fontId="2"/>
  </si>
  <si>
    <t>048-595-3600</t>
    <phoneticPr fontId="2"/>
  </si>
  <si>
    <t>048-578-6431</t>
    <phoneticPr fontId="2"/>
  </si>
  <si>
    <t>高崎線北鴻巣駅下車タクシー10分</t>
    <rPh sb="0" eb="2">
      <t>タカサキ</t>
    </rPh>
    <rPh sb="2" eb="3">
      <t>セン</t>
    </rPh>
    <rPh sb="3" eb="6">
      <t>キタコウノス</t>
    </rPh>
    <rPh sb="6" eb="7">
      <t>エキ</t>
    </rPh>
    <rPh sb="7" eb="9">
      <t>ゲシャ</t>
    </rPh>
    <rPh sb="15" eb="16">
      <t>プン</t>
    </rPh>
    <phoneticPr fontId="2"/>
  </si>
  <si>
    <t>わかくさ</t>
    <phoneticPr fontId="2"/>
  </si>
  <si>
    <t>埼京線戸田駅下車徒歩20分</t>
    <rPh sb="0" eb="2">
      <t>サイキョウ</t>
    </rPh>
    <rPh sb="2" eb="3">
      <t>セン</t>
    </rPh>
    <rPh sb="3" eb="5">
      <t>トダ</t>
    </rPh>
    <rPh sb="5" eb="6">
      <t>エキ</t>
    </rPh>
    <rPh sb="6" eb="8">
      <t>ゲシャ</t>
    </rPh>
    <rPh sb="8" eb="10">
      <t>トホ</t>
    </rPh>
    <rPh sb="12" eb="13">
      <t>プン</t>
    </rPh>
    <phoneticPr fontId="2"/>
  </si>
  <si>
    <t>本町5-11-12</t>
    <rPh sb="0" eb="2">
      <t>ホンチョウ</t>
    </rPh>
    <phoneticPr fontId="2"/>
  </si>
  <si>
    <t>048-433-4006</t>
    <phoneticPr fontId="2"/>
  </si>
  <si>
    <t>048-423-3777</t>
    <phoneticPr fontId="2"/>
  </si>
  <si>
    <t>川岸2-4-8</t>
    <rPh sb="0" eb="2">
      <t>カワギシ</t>
    </rPh>
    <phoneticPr fontId="2"/>
  </si>
  <si>
    <t>048-445-8530</t>
    <phoneticPr fontId="2"/>
  </si>
  <si>
    <t>048-442-3996</t>
    <phoneticPr fontId="2"/>
  </si>
  <si>
    <t>東武東上線志木駅北口下車徒歩10分</t>
    <rPh sb="0" eb="2">
      <t>トウブ</t>
    </rPh>
    <rPh sb="2" eb="4">
      <t>トウジョウ</t>
    </rPh>
    <rPh sb="4" eb="5">
      <t>セン</t>
    </rPh>
    <rPh sb="5" eb="7">
      <t>シキ</t>
    </rPh>
    <rPh sb="7" eb="8">
      <t>エキ</t>
    </rPh>
    <rPh sb="8" eb="10">
      <t>キタグチ</t>
    </rPh>
    <rPh sb="10" eb="12">
      <t>ゲシャ</t>
    </rPh>
    <rPh sb="12" eb="14">
      <t>トホ</t>
    </rPh>
    <rPh sb="16" eb="17">
      <t>プン</t>
    </rPh>
    <phoneticPr fontId="2"/>
  </si>
  <si>
    <t>如意736-1</t>
    <rPh sb="0" eb="2">
      <t>ニョイ</t>
    </rPh>
    <phoneticPr fontId="2"/>
  </si>
  <si>
    <t>04-2992-5553</t>
    <phoneticPr fontId="2"/>
  </si>
  <si>
    <t>西武新宿線航空公園駅又は新所沢駅下車徒歩15分</t>
    <rPh sb="0" eb="2">
      <t>セイブ</t>
    </rPh>
    <rPh sb="2" eb="4">
      <t>シンジュク</t>
    </rPh>
    <rPh sb="4" eb="5">
      <t>セン</t>
    </rPh>
    <rPh sb="5" eb="7">
      <t>コウクウ</t>
    </rPh>
    <rPh sb="7" eb="9">
      <t>コウエン</t>
    </rPh>
    <rPh sb="9" eb="10">
      <t>エキ</t>
    </rPh>
    <rPh sb="10" eb="11">
      <t>マタ</t>
    </rPh>
    <rPh sb="12" eb="15">
      <t>シントコロザワ</t>
    </rPh>
    <rPh sb="15" eb="16">
      <t>エキ</t>
    </rPh>
    <rPh sb="16" eb="18">
      <t>ゲシャ</t>
    </rPh>
    <rPh sb="18" eb="20">
      <t>トホ</t>
    </rPh>
    <rPh sb="22" eb="23">
      <t>フン</t>
    </rPh>
    <phoneticPr fontId="2"/>
  </si>
  <si>
    <t>ワークみどり</t>
    <phoneticPr fontId="2"/>
  </si>
  <si>
    <t>南永井867-1 所沢総合食品地方卸売市場内</t>
    <rPh sb="0" eb="3">
      <t>ミナミナガイ</t>
    </rPh>
    <rPh sb="9" eb="11">
      <t>トコロザワ</t>
    </rPh>
    <rPh sb="11" eb="13">
      <t>ソウゴウ</t>
    </rPh>
    <rPh sb="13" eb="15">
      <t>ショクヒン</t>
    </rPh>
    <rPh sb="15" eb="17">
      <t>チホウ</t>
    </rPh>
    <rPh sb="17" eb="19">
      <t>オロシウリ</t>
    </rPh>
    <rPh sb="19" eb="21">
      <t>イチバ</t>
    </rPh>
    <rPh sb="21" eb="22">
      <t>ナイ</t>
    </rPh>
    <phoneticPr fontId="2"/>
  </si>
  <si>
    <t>武蔵野線東所沢駅から西武バス「東高校入口」下車徒歩15分</t>
    <rPh sb="0" eb="3">
      <t>ムサシノ</t>
    </rPh>
    <rPh sb="3" eb="4">
      <t>セン</t>
    </rPh>
    <rPh sb="4" eb="7">
      <t>ヒガシトコロザワ</t>
    </rPh>
    <rPh sb="7" eb="8">
      <t>エキ</t>
    </rPh>
    <rPh sb="10" eb="12">
      <t>セイブ</t>
    </rPh>
    <rPh sb="15" eb="16">
      <t>ヒガシ</t>
    </rPh>
    <rPh sb="16" eb="18">
      <t>コウコウ</t>
    </rPh>
    <rPh sb="18" eb="20">
      <t>イリグチ</t>
    </rPh>
    <rPh sb="21" eb="23">
      <t>ゲシャ</t>
    </rPh>
    <rPh sb="23" eb="25">
      <t>トホ</t>
    </rPh>
    <rPh sb="27" eb="28">
      <t>フン</t>
    </rPh>
    <phoneticPr fontId="2"/>
  </si>
  <si>
    <t>榎町11-5 ｺｰﾎﾟﾗｽ榎町1Ｆ</t>
    <rPh sb="0" eb="2">
      <t>エノキチョウ</t>
    </rPh>
    <rPh sb="13" eb="15">
      <t>エノキチョウ</t>
    </rPh>
    <phoneticPr fontId="2"/>
  </si>
  <si>
    <t>西武池袋線小手指駅下車徒歩10分又は西武新宿線新所沢駅下車徒歩15分</t>
    <rPh sb="0" eb="2">
      <t>セイブ</t>
    </rPh>
    <rPh sb="2" eb="4">
      <t>イケブクロ</t>
    </rPh>
    <rPh sb="4" eb="5">
      <t>セン</t>
    </rPh>
    <rPh sb="5" eb="8">
      <t>コテサシ</t>
    </rPh>
    <rPh sb="8" eb="9">
      <t>エキ</t>
    </rPh>
    <rPh sb="9" eb="11">
      <t>ゲシャ</t>
    </rPh>
    <rPh sb="11" eb="13">
      <t>トホ</t>
    </rPh>
    <rPh sb="15" eb="16">
      <t>プン</t>
    </rPh>
    <rPh sb="16" eb="17">
      <t>マタ</t>
    </rPh>
    <rPh sb="18" eb="20">
      <t>セイブ</t>
    </rPh>
    <rPh sb="20" eb="22">
      <t>シンジュク</t>
    </rPh>
    <rPh sb="22" eb="23">
      <t>セン</t>
    </rPh>
    <rPh sb="23" eb="26">
      <t>シントコロザワ</t>
    </rPh>
    <rPh sb="26" eb="27">
      <t>エキ</t>
    </rPh>
    <rPh sb="27" eb="29">
      <t>ゲシャ</t>
    </rPh>
    <rPh sb="29" eb="31">
      <t>トホ</t>
    </rPh>
    <rPh sb="33" eb="34">
      <t>フン</t>
    </rPh>
    <phoneticPr fontId="2"/>
  </si>
  <si>
    <t>下富1028-2</t>
    <rPh sb="0" eb="2">
      <t>シモトミ</t>
    </rPh>
    <phoneticPr fontId="2"/>
  </si>
  <si>
    <t>04-2990-5121</t>
    <phoneticPr fontId="2"/>
  </si>
  <si>
    <t>04-2990-5122</t>
    <phoneticPr fontId="2"/>
  </si>
  <si>
    <t>円野</t>
    <phoneticPr fontId="2"/>
  </si>
  <si>
    <t>飯能市</t>
    <phoneticPr fontId="2"/>
  </si>
  <si>
    <t>042-975-3300</t>
    <phoneticPr fontId="2"/>
  </si>
  <si>
    <t>042-975-3311</t>
    <phoneticPr fontId="2"/>
  </si>
  <si>
    <t>042-974-5836</t>
    <phoneticPr fontId="2"/>
  </si>
  <si>
    <t>西武新宿線狭山市駅下車徒歩20分</t>
    <rPh sb="0" eb="2">
      <t>セイブ</t>
    </rPh>
    <rPh sb="2" eb="4">
      <t>シンジュク</t>
    </rPh>
    <rPh sb="4" eb="5">
      <t>セン</t>
    </rPh>
    <rPh sb="5" eb="8">
      <t>サヤマシ</t>
    </rPh>
    <rPh sb="8" eb="9">
      <t>エキ</t>
    </rPh>
    <rPh sb="9" eb="11">
      <t>ゲシャ</t>
    </rPh>
    <rPh sb="11" eb="13">
      <t>トホ</t>
    </rPh>
    <rPh sb="15" eb="16">
      <t>プン</t>
    </rPh>
    <phoneticPr fontId="2"/>
  </si>
  <si>
    <t>○</t>
    <phoneticPr fontId="2"/>
  </si>
  <si>
    <t>西武池袋線入間市駅下車徒歩25分</t>
    <rPh sb="0" eb="2">
      <t>セイブ</t>
    </rPh>
    <rPh sb="2" eb="4">
      <t>イケブクロ</t>
    </rPh>
    <rPh sb="4" eb="5">
      <t>セン</t>
    </rPh>
    <rPh sb="5" eb="8">
      <t>イルマシ</t>
    </rPh>
    <rPh sb="8" eb="9">
      <t>エキ</t>
    </rPh>
    <rPh sb="9" eb="11">
      <t>ゲシャ</t>
    </rPh>
    <rPh sb="11" eb="13">
      <t>トホ</t>
    </rPh>
    <rPh sb="15" eb="16">
      <t>フン</t>
    </rPh>
    <phoneticPr fontId="2"/>
  </si>
  <si>
    <t>西武池袋線入間市駅下車タクシー10分</t>
    <rPh sb="0" eb="2">
      <t>セイブ</t>
    </rPh>
    <rPh sb="2" eb="4">
      <t>イケブクロ</t>
    </rPh>
    <rPh sb="4" eb="5">
      <t>セン</t>
    </rPh>
    <rPh sb="5" eb="8">
      <t>イルマシ</t>
    </rPh>
    <rPh sb="8" eb="9">
      <t>エキ</t>
    </rPh>
    <rPh sb="9" eb="11">
      <t>ゲシャ</t>
    </rPh>
    <rPh sb="17" eb="18">
      <t>プン</t>
    </rPh>
    <phoneticPr fontId="2"/>
  </si>
  <si>
    <t>○</t>
    <phoneticPr fontId="2"/>
  </si>
  <si>
    <t>東武東上線ふじみ野駅からふじみ野循環又は大井循環バス「西原住宅前」下車徒歩20分</t>
    <rPh sb="0" eb="2">
      <t>トウブ</t>
    </rPh>
    <rPh sb="2" eb="4">
      <t>トウジョウ</t>
    </rPh>
    <rPh sb="4" eb="5">
      <t>セン</t>
    </rPh>
    <rPh sb="8" eb="9">
      <t>ノ</t>
    </rPh>
    <rPh sb="9" eb="10">
      <t>エキ</t>
    </rPh>
    <rPh sb="15" eb="16">
      <t>ノ</t>
    </rPh>
    <rPh sb="16" eb="18">
      <t>ジュンカン</t>
    </rPh>
    <rPh sb="18" eb="19">
      <t>マタ</t>
    </rPh>
    <rPh sb="20" eb="22">
      <t>オオイ</t>
    </rPh>
    <rPh sb="22" eb="24">
      <t>ジュンカン</t>
    </rPh>
    <rPh sb="27" eb="29">
      <t>ニシハラ</t>
    </rPh>
    <rPh sb="29" eb="31">
      <t>ジュウタク</t>
    </rPh>
    <rPh sb="31" eb="32">
      <t>マエ</t>
    </rPh>
    <rPh sb="33" eb="35">
      <t>ゲシャ</t>
    </rPh>
    <rPh sb="35" eb="37">
      <t>トホ</t>
    </rPh>
    <rPh sb="39" eb="40">
      <t>プン</t>
    </rPh>
    <phoneticPr fontId="2"/>
  </si>
  <si>
    <t>熊谷駅から葛和田行バス「今井」下車徒歩12分</t>
    <rPh sb="0" eb="2">
      <t>クマガヤ</t>
    </rPh>
    <rPh sb="2" eb="3">
      <t>エキ</t>
    </rPh>
    <rPh sb="5" eb="6">
      <t>クズ</t>
    </rPh>
    <rPh sb="6" eb="8">
      <t>ワダ</t>
    </rPh>
    <rPh sb="8" eb="9">
      <t>イ</t>
    </rPh>
    <rPh sb="12" eb="14">
      <t>イマイ</t>
    </rPh>
    <rPh sb="15" eb="17">
      <t>ゲシャ</t>
    </rPh>
    <rPh sb="17" eb="19">
      <t>トホ</t>
    </rPh>
    <rPh sb="21" eb="22">
      <t>フン</t>
    </rPh>
    <phoneticPr fontId="2"/>
  </si>
  <si>
    <t>スマイルケアセンター</t>
    <phoneticPr fontId="2"/>
  </si>
  <si>
    <t>048-527-8601</t>
    <phoneticPr fontId="2"/>
  </si>
  <si>
    <t>(福)ルピナス会</t>
  </si>
  <si>
    <t>児玉郡神川町</t>
    <phoneticPr fontId="2"/>
  </si>
  <si>
    <t>新宿1251</t>
    <phoneticPr fontId="2"/>
  </si>
  <si>
    <t>0495-77-4678</t>
    <phoneticPr fontId="2"/>
  </si>
  <si>
    <t>0495-77-1391</t>
    <phoneticPr fontId="2"/>
  </si>
  <si>
    <t>八高線丹荘駅から鬼石行朝日バス「新宿」下車徒歩5分</t>
    <rPh sb="0" eb="2">
      <t>ハチコウ</t>
    </rPh>
    <rPh sb="2" eb="3">
      <t>セン</t>
    </rPh>
    <rPh sb="3" eb="5">
      <t>タンショウ</t>
    </rPh>
    <rPh sb="5" eb="6">
      <t>エキ</t>
    </rPh>
    <rPh sb="8" eb="9">
      <t>オニ</t>
    </rPh>
    <rPh sb="9" eb="10">
      <t>イシ</t>
    </rPh>
    <rPh sb="10" eb="11">
      <t>イ</t>
    </rPh>
    <rPh sb="11" eb="13">
      <t>アサヒ</t>
    </rPh>
    <rPh sb="16" eb="18">
      <t>シンシュク</t>
    </rPh>
    <rPh sb="19" eb="21">
      <t>ゲシャ</t>
    </rPh>
    <rPh sb="21" eb="23">
      <t>トホ</t>
    </rPh>
    <rPh sb="24" eb="25">
      <t>フン</t>
    </rPh>
    <phoneticPr fontId="2"/>
  </si>
  <si>
    <t>熊谷駅から行田車庫行バス「青果市場前」下車徒歩5分</t>
    <rPh sb="0" eb="2">
      <t>クマガヤ</t>
    </rPh>
    <rPh sb="2" eb="3">
      <t>エキ</t>
    </rPh>
    <rPh sb="5" eb="7">
      <t>ギョウダ</t>
    </rPh>
    <rPh sb="7" eb="9">
      <t>シャコ</t>
    </rPh>
    <rPh sb="9" eb="10">
      <t>イ</t>
    </rPh>
    <rPh sb="13" eb="15">
      <t>セイカ</t>
    </rPh>
    <rPh sb="15" eb="17">
      <t>イチバ</t>
    </rPh>
    <rPh sb="17" eb="18">
      <t>マエ</t>
    </rPh>
    <rPh sb="19" eb="21">
      <t>ゲシャ</t>
    </rPh>
    <rPh sb="21" eb="23">
      <t>トホ</t>
    </rPh>
    <rPh sb="24" eb="25">
      <t>プン</t>
    </rPh>
    <phoneticPr fontId="2"/>
  </si>
  <si>
    <t>さいたま市大砂土障害者デイサービスセンター</t>
  </si>
  <si>
    <t>048-653-2755</t>
  </si>
  <si>
    <t>宇都宮線土呂駅下車徒歩10分</t>
    <rPh sb="0" eb="3">
      <t>ウツノミヤ</t>
    </rPh>
    <rPh sb="3" eb="4">
      <t>セン</t>
    </rPh>
    <rPh sb="4" eb="6">
      <t>トロ</t>
    </rPh>
    <rPh sb="6" eb="7">
      <t>エキ</t>
    </rPh>
    <rPh sb="7" eb="9">
      <t>ゲシャ</t>
    </rPh>
    <rPh sb="9" eb="11">
      <t>トホ</t>
    </rPh>
    <rPh sb="13" eb="14">
      <t>フン</t>
    </rPh>
    <phoneticPr fontId="2"/>
  </si>
  <si>
    <t>高崎線熊谷駅から太田行バス「熊谷寺前」下車徒歩2分</t>
    <rPh sb="0" eb="2">
      <t>タカサキ</t>
    </rPh>
    <rPh sb="2" eb="3">
      <t>セン</t>
    </rPh>
    <rPh sb="3" eb="5">
      <t>クマガヤ</t>
    </rPh>
    <rPh sb="5" eb="6">
      <t>エキ</t>
    </rPh>
    <rPh sb="8" eb="10">
      <t>オオタ</t>
    </rPh>
    <rPh sb="10" eb="11">
      <t>イ</t>
    </rPh>
    <rPh sb="14" eb="16">
      <t>クマガヤ</t>
    </rPh>
    <rPh sb="16" eb="17">
      <t>テラ</t>
    </rPh>
    <rPh sb="17" eb="18">
      <t>マエ</t>
    </rPh>
    <rPh sb="19" eb="21">
      <t>ゲシャ</t>
    </rPh>
    <rPh sb="21" eb="23">
      <t>トホ</t>
    </rPh>
    <rPh sb="24" eb="25">
      <t>フン</t>
    </rPh>
    <phoneticPr fontId="2"/>
  </si>
  <si>
    <t>048-885-6185</t>
  </si>
  <si>
    <t>(福)さくら草</t>
  </si>
  <si>
    <t>デイセンターさくら草</t>
  </si>
  <si>
    <t>048-813-7426</t>
  </si>
  <si>
    <t>(福)いーはとーぶ</t>
  </si>
  <si>
    <t>高崎線岡部駅下車徒歩20分</t>
    <rPh sb="0" eb="2">
      <t>タカサキ</t>
    </rPh>
    <rPh sb="2" eb="3">
      <t>セン</t>
    </rPh>
    <rPh sb="3" eb="5">
      <t>オカベ</t>
    </rPh>
    <rPh sb="5" eb="6">
      <t>エキ</t>
    </rPh>
    <rPh sb="6" eb="8">
      <t>ゲシャ</t>
    </rPh>
    <rPh sb="8" eb="10">
      <t>トホ</t>
    </rPh>
    <rPh sb="12" eb="13">
      <t>プン</t>
    </rPh>
    <phoneticPr fontId="2"/>
  </si>
  <si>
    <t>川越駅から若葉駅行バス「東洋クォリティワン入口」下車徒歩10分</t>
    <rPh sb="0" eb="2">
      <t>カワゴエ</t>
    </rPh>
    <rPh sb="2" eb="3">
      <t>エキ</t>
    </rPh>
    <rPh sb="5" eb="7">
      <t>ワカバ</t>
    </rPh>
    <rPh sb="7" eb="8">
      <t>エキ</t>
    </rPh>
    <rPh sb="8" eb="9">
      <t>イ</t>
    </rPh>
    <rPh sb="24" eb="26">
      <t>ゲシャ</t>
    </rPh>
    <rPh sb="26" eb="28">
      <t>トホ</t>
    </rPh>
    <rPh sb="30" eb="31">
      <t>プン</t>
    </rPh>
    <phoneticPr fontId="2"/>
  </si>
  <si>
    <t>048-662-5800</t>
  </si>
  <si>
    <t>秩父</t>
    <rPh sb="0" eb="2">
      <t>チチブ</t>
    </rPh>
    <phoneticPr fontId="2"/>
  </si>
  <si>
    <t>浦和駅から大崎園芸植物園行バス終点下車徒歩7分</t>
    <rPh sb="0" eb="2">
      <t>ウラワ</t>
    </rPh>
    <rPh sb="2" eb="3">
      <t>エキ</t>
    </rPh>
    <rPh sb="5" eb="7">
      <t>オオサキ</t>
    </rPh>
    <rPh sb="7" eb="9">
      <t>エンゲイ</t>
    </rPh>
    <rPh sb="9" eb="12">
      <t>ショクブツエン</t>
    </rPh>
    <rPh sb="12" eb="13">
      <t>イ</t>
    </rPh>
    <rPh sb="15" eb="17">
      <t>シュウテン</t>
    </rPh>
    <rPh sb="17" eb="19">
      <t>ゲシャ</t>
    </rPh>
    <rPh sb="19" eb="21">
      <t>トホ</t>
    </rPh>
    <rPh sb="22" eb="23">
      <t>フン</t>
    </rPh>
    <phoneticPr fontId="2"/>
  </si>
  <si>
    <t>048-666-3434</t>
  </si>
  <si>
    <t>高崎線宮原駅下車徒歩5分</t>
    <rPh sb="0" eb="2">
      <t>タカサキ</t>
    </rPh>
    <rPh sb="2" eb="3">
      <t>セン</t>
    </rPh>
    <rPh sb="3" eb="5">
      <t>ミヤハラ</t>
    </rPh>
    <rPh sb="5" eb="6">
      <t>エキ</t>
    </rPh>
    <rPh sb="6" eb="8">
      <t>ゲシャ</t>
    </rPh>
    <rPh sb="8" eb="10">
      <t>トホ</t>
    </rPh>
    <rPh sb="11" eb="12">
      <t>フン</t>
    </rPh>
    <phoneticPr fontId="2"/>
  </si>
  <si>
    <t>048-797-0850</t>
  </si>
  <si>
    <t>東埼玉病院</t>
    <rPh sb="0" eb="1">
      <t>ヒガシ</t>
    </rPh>
    <rPh sb="1" eb="3">
      <t>サイタマ</t>
    </rPh>
    <rPh sb="3" eb="5">
      <t>ビョウイン</t>
    </rPh>
    <phoneticPr fontId="2"/>
  </si>
  <si>
    <t>東武野田線岩槻駅から鳩ヶ谷行又は東川口行バス「浮谷下」下車徒歩10分</t>
    <rPh sb="0" eb="2">
      <t>トウブ</t>
    </rPh>
    <rPh sb="2" eb="4">
      <t>ノダ</t>
    </rPh>
    <rPh sb="4" eb="5">
      <t>セン</t>
    </rPh>
    <rPh sb="5" eb="7">
      <t>イワツキ</t>
    </rPh>
    <rPh sb="7" eb="8">
      <t>エキ</t>
    </rPh>
    <rPh sb="10" eb="13">
      <t>ハトガヤ</t>
    </rPh>
    <rPh sb="13" eb="14">
      <t>イ</t>
    </rPh>
    <rPh sb="14" eb="15">
      <t>マタ</t>
    </rPh>
    <rPh sb="16" eb="19">
      <t>ヒガシカワグチ</t>
    </rPh>
    <rPh sb="19" eb="20">
      <t>イ</t>
    </rPh>
    <rPh sb="23" eb="24">
      <t>ウ</t>
    </rPh>
    <rPh sb="24" eb="25">
      <t>タニ</t>
    </rPh>
    <rPh sb="25" eb="26">
      <t>シタ</t>
    </rPh>
    <rPh sb="27" eb="29">
      <t>ゲシャ</t>
    </rPh>
    <rPh sb="29" eb="31">
      <t>トホ</t>
    </rPh>
    <rPh sb="33" eb="34">
      <t>フン</t>
    </rPh>
    <phoneticPr fontId="2"/>
  </si>
  <si>
    <t>048-855-2355</t>
  </si>
  <si>
    <t>埼京線与野本町駅下車徒歩10分</t>
    <rPh sb="0" eb="2">
      <t>サイキョウ</t>
    </rPh>
    <rPh sb="2" eb="3">
      <t>セン</t>
    </rPh>
    <rPh sb="3" eb="5">
      <t>ヨノ</t>
    </rPh>
    <rPh sb="5" eb="7">
      <t>ホンマチ</t>
    </rPh>
    <rPh sb="7" eb="8">
      <t>エキ</t>
    </rPh>
    <rPh sb="8" eb="10">
      <t>ゲシャ</t>
    </rPh>
    <rPh sb="10" eb="12">
      <t>トホ</t>
    </rPh>
    <rPh sb="14" eb="15">
      <t>フン</t>
    </rPh>
    <phoneticPr fontId="2"/>
  </si>
  <si>
    <t>埼京線武蔵浦和駅下車徒歩10分</t>
    <rPh sb="0" eb="2">
      <t>サイキョウ</t>
    </rPh>
    <rPh sb="2" eb="3">
      <t>セン</t>
    </rPh>
    <rPh sb="3" eb="5">
      <t>ムサシ</t>
    </rPh>
    <rPh sb="5" eb="7">
      <t>ウラワ</t>
    </rPh>
    <rPh sb="7" eb="8">
      <t>エキ</t>
    </rPh>
    <rPh sb="8" eb="10">
      <t>ゲシャ</t>
    </rPh>
    <rPh sb="10" eb="12">
      <t>トホ</t>
    </rPh>
    <rPh sb="14" eb="15">
      <t>フン</t>
    </rPh>
    <phoneticPr fontId="2"/>
  </si>
  <si>
    <t>(福)埼玉福祉事業協会</t>
  </si>
  <si>
    <t>048-625-5100</t>
  </si>
  <si>
    <t>(福)希求会</t>
    <rPh sb="3" eb="4">
      <t>キ</t>
    </rPh>
    <rPh sb="4" eb="5">
      <t>キュウ</t>
    </rPh>
    <rPh sb="5" eb="6">
      <t>カイ</t>
    </rPh>
    <phoneticPr fontId="2"/>
  </si>
  <si>
    <t>埼京線戸田公園駅下車徒歩5分</t>
    <rPh sb="0" eb="2">
      <t>サイキョウ</t>
    </rPh>
    <rPh sb="2" eb="3">
      <t>セン</t>
    </rPh>
    <rPh sb="3" eb="5">
      <t>トダ</t>
    </rPh>
    <rPh sb="5" eb="7">
      <t>コウエン</t>
    </rPh>
    <rPh sb="7" eb="8">
      <t>エキ</t>
    </rPh>
    <rPh sb="8" eb="10">
      <t>ゲシャ</t>
    </rPh>
    <rPh sb="10" eb="12">
      <t>トホ</t>
    </rPh>
    <rPh sb="13" eb="14">
      <t>フン</t>
    </rPh>
    <phoneticPr fontId="2"/>
  </si>
  <si>
    <t>埼玉新都市交通加茂宮駅下車徒歩10分</t>
    <rPh sb="0" eb="2">
      <t>サイタマ</t>
    </rPh>
    <rPh sb="2" eb="5">
      <t>シントシ</t>
    </rPh>
    <rPh sb="5" eb="7">
      <t>コウツウ</t>
    </rPh>
    <rPh sb="7" eb="10">
      <t>カモノミヤ</t>
    </rPh>
    <rPh sb="10" eb="11">
      <t>エキ</t>
    </rPh>
    <rPh sb="11" eb="13">
      <t>ゲシャ</t>
    </rPh>
    <rPh sb="13" eb="15">
      <t>トホ</t>
    </rPh>
    <rPh sb="17" eb="18">
      <t>プン</t>
    </rPh>
    <phoneticPr fontId="2"/>
  </si>
  <si>
    <t>杉の子学園</t>
  </si>
  <si>
    <t>(福)埼玉県身体障害者福祉協会</t>
  </si>
  <si>
    <t>048-862-1370</t>
  </si>
  <si>
    <t>埼京線中浦和駅下車徒歩10分</t>
    <rPh sb="0" eb="2">
      <t>サイキョウ</t>
    </rPh>
    <rPh sb="2" eb="3">
      <t>セン</t>
    </rPh>
    <rPh sb="3" eb="6">
      <t>ナカウラワ</t>
    </rPh>
    <rPh sb="6" eb="7">
      <t>エキ</t>
    </rPh>
    <rPh sb="7" eb="9">
      <t>ゲシャ</t>
    </rPh>
    <rPh sb="9" eb="11">
      <t>トホ</t>
    </rPh>
    <rPh sb="13" eb="14">
      <t>フン</t>
    </rPh>
    <phoneticPr fontId="2"/>
  </si>
  <si>
    <t>(福)邑元会</t>
    <rPh sb="3" eb="4">
      <t>ユウ</t>
    </rPh>
    <rPh sb="4" eb="5">
      <t>ゲン</t>
    </rPh>
    <rPh sb="5" eb="6">
      <t>カイ</t>
    </rPh>
    <phoneticPr fontId="2"/>
  </si>
  <si>
    <t>障害者支援施設しびらき</t>
    <rPh sb="0" eb="3">
      <t>ショウガイシャ</t>
    </rPh>
    <rPh sb="3" eb="5">
      <t>シエン</t>
    </rPh>
    <rPh sb="5" eb="7">
      <t>シセツ</t>
    </rPh>
    <phoneticPr fontId="2"/>
  </si>
  <si>
    <t>市町村</t>
    <rPh sb="0" eb="3">
      <t>シチョウソン</t>
    </rPh>
    <phoneticPr fontId="2"/>
  </si>
  <si>
    <t>肢</t>
    <rPh sb="0" eb="1">
      <t>アシ</t>
    </rPh>
    <phoneticPr fontId="2"/>
  </si>
  <si>
    <t>視</t>
    <rPh sb="0" eb="1">
      <t>シ</t>
    </rPh>
    <phoneticPr fontId="2"/>
  </si>
  <si>
    <t>聴</t>
    <rPh sb="0" eb="1">
      <t>チョウ</t>
    </rPh>
    <phoneticPr fontId="2"/>
  </si>
  <si>
    <t>内</t>
    <rPh sb="0" eb="1">
      <t>ウチ</t>
    </rPh>
    <phoneticPr fontId="2"/>
  </si>
  <si>
    <t>知</t>
    <rPh sb="0" eb="1">
      <t>チ</t>
    </rPh>
    <phoneticPr fontId="2"/>
  </si>
  <si>
    <t>精</t>
    <rPh sb="0" eb="1">
      <t>セイ</t>
    </rPh>
    <phoneticPr fontId="2"/>
  </si>
  <si>
    <t>(株)ハマウラ福祉工場</t>
    <rPh sb="0" eb="3">
      <t>カブ</t>
    </rPh>
    <phoneticPr fontId="2"/>
  </si>
  <si>
    <t>(特非)ヒールアップハウス</t>
  </si>
  <si>
    <t>(特非)エヌピーオー事業協議会</t>
    <rPh sb="10" eb="12">
      <t>ジギョウ</t>
    </rPh>
    <rPh sb="12" eb="15">
      <t>キョウギカイ</t>
    </rPh>
    <phoneticPr fontId="2"/>
  </si>
  <si>
    <t>(特非)結</t>
    <rPh sb="4" eb="5">
      <t>ユ</t>
    </rPh>
    <phoneticPr fontId="2"/>
  </si>
  <si>
    <t>(特非)たらちね</t>
    <phoneticPr fontId="2"/>
  </si>
  <si>
    <t>(特非)グローブ</t>
    <phoneticPr fontId="2"/>
  </si>
  <si>
    <t>(特非)グループコスモス</t>
  </si>
  <si>
    <t>(特非)エヌピーオーいずみ</t>
  </si>
  <si>
    <t>(特非)あおーら</t>
  </si>
  <si>
    <t>(特非)グループファーム</t>
  </si>
  <si>
    <t>(特非)大地の郷</t>
    <rPh sb="4" eb="6">
      <t>ダイチ</t>
    </rPh>
    <rPh sb="7" eb="8">
      <t>サト</t>
    </rPh>
    <phoneticPr fontId="2"/>
  </si>
  <si>
    <t>(特非)サン・フレッシュ・メイト</t>
  </si>
  <si>
    <t>(特非)Ｐoco a Poco</t>
  </si>
  <si>
    <t>(特非)サイシップ</t>
  </si>
  <si>
    <t>(特非)行田のぞみ園</t>
    <rPh sb="4" eb="6">
      <t>ギョウダ</t>
    </rPh>
    <rPh sb="9" eb="10">
      <t>エン</t>
    </rPh>
    <phoneticPr fontId="2"/>
  </si>
  <si>
    <t>(特非)空と雲の家福祉会</t>
    <rPh sb="4" eb="5">
      <t>ソラ</t>
    </rPh>
    <rPh sb="6" eb="7">
      <t>クモ</t>
    </rPh>
    <rPh sb="8" eb="9">
      <t>イエ</t>
    </rPh>
    <rPh sb="9" eb="12">
      <t>フクシカイ</t>
    </rPh>
    <phoneticPr fontId="2"/>
  </si>
  <si>
    <t>(特非)みんなのいえ</t>
  </si>
  <si>
    <t>(特非)ライフサポート</t>
    <phoneticPr fontId="2"/>
  </si>
  <si>
    <t>(特非)ケルン</t>
  </si>
  <si>
    <t>北本市・(特非)北本市手をつなぐ育成会</t>
    <rPh sb="0" eb="3">
      <t>キタモトシ</t>
    </rPh>
    <rPh sb="8" eb="11">
      <t>キタモトシ</t>
    </rPh>
    <rPh sb="11" eb="12">
      <t>テ</t>
    </rPh>
    <rPh sb="16" eb="19">
      <t>イクセイカイ</t>
    </rPh>
    <phoneticPr fontId="2"/>
  </si>
  <si>
    <t>(特非)こすもす</t>
  </si>
  <si>
    <t>(特非)かえる</t>
  </si>
  <si>
    <t>(特非)織の音アート・福祉協会</t>
    <rPh sb="4" eb="5">
      <t>オ</t>
    </rPh>
    <rPh sb="6" eb="7">
      <t>ネ</t>
    </rPh>
    <rPh sb="11" eb="13">
      <t>フクシ</t>
    </rPh>
    <rPh sb="13" eb="15">
      <t>キョウカイ</t>
    </rPh>
    <phoneticPr fontId="2"/>
  </si>
  <si>
    <t>(福)けやきの郷</t>
  </si>
  <si>
    <t>(福)ともいき会</t>
  </si>
  <si>
    <t>(福)親愛会</t>
  </si>
  <si>
    <t>(福)啓和会</t>
  </si>
  <si>
    <t>(福)あらぐさ福祉会</t>
  </si>
  <si>
    <t>戸田市・(福)戸田市社会福祉協議会</t>
    <rPh sb="0" eb="3">
      <t>トダシ</t>
    </rPh>
    <rPh sb="7" eb="10">
      <t>トダシ</t>
    </rPh>
    <rPh sb="10" eb="14">
      <t>シャカイフクシ</t>
    </rPh>
    <rPh sb="14" eb="17">
      <t>キョウギカイ</t>
    </rPh>
    <phoneticPr fontId="2"/>
  </si>
  <si>
    <t>(福)かえで</t>
  </si>
  <si>
    <t>(福)京悠会</t>
  </si>
  <si>
    <t>埼玉県・(福)埼玉県社会福祉事業団</t>
    <rPh sb="0" eb="3">
      <t>サイタマケン</t>
    </rPh>
    <rPh sb="7" eb="10">
      <t>サイタマケン</t>
    </rPh>
    <rPh sb="10" eb="12">
      <t>シャカイ</t>
    </rPh>
    <rPh sb="12" eb="14">
      <t>フクシ</t>
    </rPh>
    <rPh sb="14" eb="17">
      <t>ジギョウダン</t>
    </rPh>
    <phoneticPr fontId="2"/>
  </si>
  <si>
    <t>(福)青い鳥福祉会</t>
  </si>
  <si>
    <t>(福)昴</t>
  </si>
  <si>
    <t>(福)ウィング</t>
  </si>
  <si>
    <t>(福)福潤の会</t>
    <rPh sb="3" eb="4">
      <t>フク</t>
    </rPh>
    <rPh sb="4" eb="5">
      <t>ジュン</t>
    </rPh>
    <rPh sb="6" eb="7">
      <t>カイ</t>
    </rPh>
    <phoneticPr fontId="2"/>
  </si>
  <si>
    <t>(福)幸生会</t>
  </si>
  <si>
    <t>(福)美里会</t>
  </si>
  <si>
    <t>(福)つゆくさ</t>
  </si>
  <si>
    <t>(福)埼玉療育友の会</t>
  </si>
  <si>
    <t>(福)カナの会</t>
  </si>
  <si>
    <t>(福)埼玉福祉会</t>
    <rPh sb="3" eb="5">
      <t>サイタマ</t>
    </rPh>
    <rPh sb="5" eb="8">
      <t>フクシカイ</t>
    </rPh>
    <phoneticPr fontId="2"/>
  </si>
  <si>
    <t>(福)十善会</t>
  </si>
  <si>
    <t>(福)ハッピーネット</t>
    <phoneticPr fontId="2"/>
  </si>
  <si>
    <t>(福)鴻沼福祉会</t>
  </si>
  <si>
    <t>(福)ななくさ</t>
  </si>
  <si>
    <t>(福)ささの会</t>
  </si>
  <si>
    <t>主たる対象者※</t>
    <rPh sb="0" eb="1">
      <t>シュ</t>
    </rPh>
    <rPh sb="3" eb="6">
      <t>タイショウシャ</t>
    </rPh>
    <phoneticPr fontId="2"/>
  </si>
  <si>
    <t>八高線児玉駅下車タクシー7分</t>
    <rPh sb="0" eb="2">
      <t>ハチコウ</t>
    </rPh>
    <rPh sb="2" eb="3">
      <t>セン</t>
    </rPh>
    <rPh sb="3" eb="5">
      <t>コダマ</t>
    </rPh>
    <rPh sb="5" eb="6">
      <t>エキ</t>
    </rPh>
    <rPh sb="6" eb="8">
      <t>ゲシャ</t>
    </rPh>
    <rPh sb="13" eb="14">
      <t>フン</t>
    </rPh>
    <phoneticPr fontId="2"/>
  </si>
  <si>
    <t>高崎線本庄駅から寄居行バス「小茂田」下車徒歩2分</t>
    <rPh sb="0" eb="2">
      <t>タカサキ</t>
    </rPh>
    <rPh sb="2" eb="3">
      <t>セン</t>
    </rPh>
    <rPh sb="3" eb="5">
      <t>ホンジョウ</t>
    </rPh>
    <rPh sb="5" eb="6">
      <t>エキ</t>
    </rPh>
    <rPh sb="8" eb="10">
      <t>ヨリイ</t>
    </rPh>
    <rPh sb="10" eb="11">
      <t>イ</t>
    </rPh>
    <rPh sb="14" eb="17">
      <t>コモダ</t>
    </rPh>
    <rPh sb="18" eb="20">
      <t>ゲシャ</t>
    </rPh>
    <rPh sb="20" eb="22">
      <t>トホ</t>
    </rPh>
    <rPh sb="23" eb="24">
      <t>フン</t>
    </rPh>
    <phoneticPr fontId="2"/>
  </si>
  <si>
    <t>西武池袋線ひばりヶ丘駅北口から志木駅行バス「児童センター前」下車徒歩5分</t>
    <rPh sb="0" eb="2">
      <t>セイブ</t>
    </rPh>
    <rPh sb="2" eb="4">
      <t>イケブクロ</t>
    </rPh>
    <rPh sb="4" eb="5">
      <t>セン</t>
    </rPh>
    <rPh sb="9" eb="10">
      <t>オカ</t>
    </rPh>
    <rPh sb="10" eb="11">
      <t>エキ</t>
    </rPh>
    <rPh sb="11" eb="13">
      <t>キタグチ</t>
    </rPh>
    <rPh sb="15" eb="17">
      <t>シキ</t>
    </rPh>
    <rPh sb="17" eb="18">
      <t>エキ</t>
    </rPh>
    <rPh sb="18" eb="19">
      <t>イ</t>
    </rPh>
    <rPh sb="22" eb="24">
      <t>ジドウ</t>
    </rPh>
    <rPh sb="28" eb="29">
      <t>マエ</t>
    </rPh>
    <rPh sb="30" eb="32">
      <t>ゲシャ</t>
    </rPh>
    <rPh sb="32" eb="34">
      <t>トホ</t>
    </rPh>
    <rPh sb="35" eb="36">
      <t>フン</t>
    </rPh>
    <phoneticPr fontId="2"/>
  </si>
  <si>
    <t>東武東上線上福岡駅から大宮行バス「船渡橋」下車徒歩7分</t>
    <rPh sb="0" eb="2">
      <t>トウブ</t>
    </rPh>
    <rPh sb="2" eb="4">
      <t>トウジョウ</t>
    </rPh>
    <rPh sb="4" eb="5">
      <t>セン</t>
    </rPh>
    <rPh sb="5" eb="8">
      <t>カミフクオカ</t>
    </rPh>
    <rPh sb="8" eb="9">
      <t>エキ</t>
    </rPh>
    <rPh sb="11" eb="13">
      <t>オオミヤ</t>
    </rPh>
    <rPh sb="13" eb="14">
      <t>イ</t>
    </rPh>
    <rPh sb="17" eb="19">
      <t>フナト</t>
    </rPh>
    <rPh sb="19" eb="20">
      <t>ハシ</t>
    </rPh>
    <rPh sb="21" eb="23">
      <t>ゲシャ</t>
    </rPh>
    <rPh sb="23" eb="25">
      <t>トホ</t>
    </rPh>
    <rPh sb="26" eb="27">
      <t>フン</t>
    </rPh>
    <phoneticPr fontId="2"/>
  </si>
  <si>
    <t>東武東上線鶴瀬駅から大宮行バス「下田」下車徒歩5分</t>
    <rPh sb="0" eb="2">
      <t>トウブ</t>
    </rPh>
    <rPh sb="2" eb="4">
      <t>トウジョウ</t>
    </rPh>
    <rPh sb="4" eb="5">
      <t>セン</t>
    </rPh>
    <rPh sb="5" eb="7">
      <t>ツルセ</t>
    </rPh>
    <rPh sb="7" eb="8">
      <t>エキ</t>
    </rPh>
    <rPh sb="10" eb="12">
      <t>オオミヤ</t>
    </rPh>
    <rPh sb="12" eb="13">
      <t>イ</t>
    </rPh>
    <rPh sb="16" eb="18">
      <t>シモダ</t>
    </rPh>
    <rPh sb="19" eb="21">
      <t>ゲシャ</t>
    </rPh>
    <rPh sb="21" eb="23">
      <t>トホ</t>
    </rPh>
    <rPh sb="24" eb="25">
      <t>フン</t>
    </rPh>
    <phoneticPr fontId="2"/>
  </si>
  <si>
    <t>行田のぞみ園</t>
    <rPh sb="0" eb="2">
      <t>ギョウダ</t>
    </rPh>
    <rPh sb="5" eb="6">
      <t>エン</t>
    </rPh>
    <phoneticPr fontId="2"/>
  </si>
  <si>
    <t>工房森のこかげ</t>
    <rPh sb="0" eb="2">
      <t>コウボウ</t>
    </rPh>
    <rPh sb="2" eb="3">
      <t>モリ</t>
    </rPh>
    <phoneticPr fontId="2"/>
  </si>
  <si>
    <t>八潮市</t>
    <rPh sb="0" eb="3">
      <t>ヤシオシ</t>
    </rPh>
    <phoneticPr fontId="2"/>
  </si>
  <si>
    <t>高崎線吹上駅から佐間経由行田車庫行朝日バス「産業道路入口」下車徒歩8分</t>
    <rPh sb="0" eb="2">
      <t>タカサキ</t>
    </rPh>
    <rPh sb="2" eb="3">
      <t>セン</t>
    </rPh>
    <rPh sb="3" eb="5">
      <t>フキアゲ</t>
    </rPh>
    <rPh sb="5" eb="6">
      <t>エキ</t>
    </rPh>
    <rPh sb="8" eb="10">
      <t>サマ</t>
    </rPh>
    <rPh sb="10" eb="12">
      <t>ケイユ</t>
    </rPh>
    <rPh sb="12" eb="14">
      <t>ギョウダ</t>
    </rPh>
    <rPh sb="14" eb="16">
      <t>シャコ</t>
    </rPh>
    <rPh sb="16" eb="17">
      <t>イ</t>
    </rPh>
    <rPh sb="17" eb="19">
      <t>アサヒ</t>
    </rPh>
    <rPh sb="22" eb="24">
      <t>サンギョウ</t>
    </rPh>
    <rPh sb="24" eb="26">
      <t>ドウロ</t>
    </rPh>
    <rPh sb="26" eb="28">
      <t>イリグチ</t>
    </rPh>
    <rPh sb="29" eb="31">
      <t>ゲシャ</t>
    </rPh>
    <rPh sb="31" eb="33">
      <t>トホ</t>
    </rPh>
    <rPh sb="34" eb="35">
      <t>プン</t>
    </rPh>
    <phoneticPr fontId="2"/>
  </si>
  <si>
    <t>東武伊勢崎線草加駅東口から八潮車庫行東武バス「緑町三丁目」下車徒歩3分</t>
    <rPh sb="0" eb="2">
      <t>トウブ</t>
    </rPh>
    <rPh sb="2" eb="5">
      <t>イセサキ</t>
    </rPh>
    <rPh sb="5" eb="6">
      <t>セン</t>
    </rPh>
    <rPh sb="6" eb="8">
      <t>ソウカ</t>
    </rPh>
    <rPh sb="8" eb="9">
      <t>エキ</t>
    </rPh>
    <rPh sb="9" eb="11">
      <t>ヒガシグチ</t>
    </rPh>
    <rPh sb="13" eb="15">
      <t>ヤシオ</t>
    </rPh>
    <rPh sb="15" eb="17">
      <t>シャコ</t>
    </rPh>
    <rPh sb="17" eb="18">
      <t>イ</t>
    </rPh>
    <rPh sb="18" eb="20">
      <t>トウブ</t>
    </rPh>
    <rPh sb="23" eb="25">
      <t>ミドリチョウ</t>
    </rPh>
    <rPh sb="25" eb="26">
      <t>サン</t>
    </rPh>
    <rPh sb="26" eb="28">
      <t>チョウメ</t>
    </rPh>
    <rPh sb="29" eb="31">
      <t>ゲシャ</t>
    </rPh>
    <rPh sb="31" eb="33">
      <t>トホ</t>
    </rPh>
    <rPh sb="34" eb="35">
      <t>プン</t>
    </rPh>
    <phoneticPr fontId="2"/>
  </si>
  <si>
    <t>埼玉県済生会川口総合病院</t>
    <rPh sb="0" eb="3">
      <t>サイタマケン</t>
    </rPh>
    <rPh sb="8" eb="10">
      <t>ソウゴウ</t>
    </rPh>
    <rPh sb="10" eb="12">
      <t>ビョウイン</t>
    </rPh>
    <phoneticPr fontId="2"/>
  </si>
  <si>
    <t>児</t>
    <rPh sb="0" eb="1">
      <t>ジ</t>
    </rPh>
    <phoneticPr fontId="2"/>
  </si>
  <si>
    <t>東武伊勢崎線羽生駅東口より井泉・村君ルートバス「スカイスポーツ公園」下車徒歩3分</t>
    <rPh sb="0" eb="2">
      <t>トウブ</t>
    </rPh>
    <rPh sb="2" eb="5">
      <t>イセサキ</t>
    </rPh>
    <rPh sb="5" eb="6">
      <t>セン</t>
    </rPh>
    <rPh sb="6" eb="8">
      <t>ハニュウ</t>
    </rPh>
    <rPh sb="8" eb="9">
      <t>エキ</t>
    </rPh>
    <rPh sb="9" eb="11">
      <t>ヒガシグチ</t>
    </rPh>
    <rPh sb="13" eb="14">
      <t>イ</t>
    </rPh>
    <rPh sb="14" eb="15">
      <t>イズミ</t>
    </rPh>
    <rPh sb="16" eb="17">
      <t>ムラ</t>
    </rPh>
    <rPh sb="17" eb="18">
      <t>キミ</t>
    </rPh>
    <rPh sb="31" eb="33">
      <t>コウエン</t>
    </rPh>
    <rPh sb="34" eb="36">
      <t>ゲシャ</t>
    </rPh>
    <rPh sb="36" eb="38">
      <t>トホ</t>
    </rPh>
    <rPh sb="39" eb="40">
      <t>プン</t>
    </rPh>
    <phoneticPr fontId="2"/>
  </si>
  <si>
    <t>北本市立ふれあいの家</t>
    <rPh sb="0" eb="2">
      <t>キタモト</t>
    </rPh>
    <rPh sb="2" eb="4">
      <t>シリツ</t>
    </rPh>
    <rPh sb="9" eb="10">
      <t>イエ</t>
    </rPh>
    <phoneticPr fontId="2"/>
  </si>
  <si>
    <t>高崎線北本駅西口から北本団地行バス「南小学校入口」下車徒歩5分</t>
    <rPh sb="0" eb="2">
      <t>タカサキ</t>
    </rPh>
    <rPh sb="2" eb="3">
      <t>セン</t>
    </rPh>
    <rPh sb="3" eb="5">
      <t>キタモト</t>
    </rPh>
    <rPh sb="5" eb="6">
      <t>エキ</t>
    </rPh>
    <rPh sb="6" eb="8">
      <t>ニシグチ</t>
    </rPh>
    <rPh sb="10" eb="12">
      <t>キタモト</t>
    </rPh>
    <rPh sb="12" eb="14">
      <t>ダンチ</t>
    </rPh>
    <rPh sb="14" eb="15">
      <t>イ</t>
    </rPh>
    <rPh sb="18" eb="19">
      <t>ミナミ</t>
    </rPh>
    <rPh sb="19" eb="22">
      <t>ショウガッコウ</t>
    </rPh>
    <rPh sb="22" eb="24">
      <t>イリグチ</t>
    </rPh>
    <rPh sb="25" eb="27">
      <t>ゲシャ</t>
    </rPh>
    <rPh sb="27" eb="29">
      <t>トホ</t>
    </rPh>
    <rPh sb="30" eb="31">
      <t>フン</t>
    </rPh>
    <phoneticPr fontId="2"/>
  </si>
  <si>
    <t>京浜東北線蕨駅から川口市コミュニティバス「芝樋ノ爪」下車</t>
    <rPh sb="0" eb="2">
      <t>ケイヒン</t>
    </rPh>
    <rPh sb="2" eb="4">
      <t>トウホク</t>
    </rPh>
    <rPh sb="4" eb="5">
      <t>セン</t>
    </rPh>
    <rPh sb="5" eb="6">
      <t>ワラビ</t>
    </rPh>
    <rPh sb="6" eb="7">
      <t>エキ</t>
    </rPh>
    <rPh sb="9" eb="12">
      <t>カワグチシ</t>
    </rPh>
    <rPh sb="21" eb="22">
      <t>シバ</t>
    </rPh>
    <rPh sb="22" eb="23">
      <t>トイ</t>
    </rPh>
    <rPh sb="24" eb="25">
      <t>ツメ</t>
    </rPh>
    <rPh sb="26" eb="28">
      <t>ゲシャ</t>
    </rPh>
    <phoneticPr fontId="2"/>
  </si>
  <si>
    <t>高崎線本庄駅から児玉町行バス「本庄高校入口」下車徒歩5分</t>
    <rPh sb="0" eb="2">
      <t>タカサキ</t>
    </rPh>
    <rPh sb="2" eb="3">
      <t>セン</t>
    </rPh>
    <rPh sb="3" eb="5">
      <t>ホンジョウ</t>
    </rPh>
    <rPh sb="5" eb="6">
      <t>エキ</t>
    </rPh>
    <rPh sb="8" eb="11">
      <t>コダママチ</t>
    </rPh>
    <rPh sb="11" eb="12">
      <t>イ</t>
    </rPh>
    <rPh sb="15" eb="17">
      <t>ホンジョウ</t>
    </rPh>
    <rPh sb="17" eb="19">
      <t>コウコウ</t>
    </rPh>
    <rPh sb="19" eb="21">
      <t>イリグチ</t>
    </rPh>
    <rPh sb="22" eb="24">
      <t>ゲシャ</t>
    </rPh>
    <rPh sb="24" eb="26">
      <t>トホ</t>
    </rPh>
    <rPh sb="27" eb="28">
      <t>フン</t>
    </rPh>
    <phoneticPr fontId="2"/>
  </si>
  <si>
    <t>埼京線北戸田駅下車徒歩8分</t>
    <rPh sb="0" eb="2">
      <t>サイキョウ</t>
    </rPh>
    <rPh sb="2" eb="3">
      <t>セン</t>
    </rPh>
    <rPh sb="3" eb="6">
      <t>キタトダ</t>
    </rPh>
    <rPh sb="6" eb="7">
      <t>エキ</t>
    </rPh>
    <rPh sb="7" eb="9">
      <t>ゲシャ</t>
    </rPh>
    <rPh sb="9" eb="11">
      <t>トホ</t>
    </rPh>
    <rPh sb="12" eb="13">
      <t>プン</t>
    </rPh>
    <phoneticPr fontId="2"/>
  </si>
  <si>
    <t>大地の郷</t>
    <rPh sb="0" eb="2">
      <t>ダイチ</t>
    </rPh>
    <rPh sb="3" eb="4">
      <t>サト</t>
    </rPh>
    <phoneticPr fontId="2"/>
  </si>
  <si>
    <t>比企郡吉見町</t>
    <rPh sb="0" eb="3">
      <t>ヒキグン</t>
    </rPh>
    <rPh sb="3" eb="6">
      <t>ヨシミマチ</t>
    </rPh>
    <phoneticPr fontId="2"/>
  </si>
  <si>
    <t>戸田市立福祉作業所かがやき</t>
    <rPh sb="0" eb="2">
      <t>トダ</t>
    </rPh>
    <rPh sb="2" eb="4">
      <t>シリツ</t>
    </rPh>
    <rPh sb="4" eb="6">
      <t>フクシ</t>
    </rPh>
    <rPh sb="6" eb="9">
      <t>サギョウショ</t>
    </rPh>
    <phoneticPr fontId="2"/>
  </si>
  <si>
    <t>所在地（大字地番）</t>
    <rPh sb="0" eb="3">
      <t>ショザイチ</t>
    </rPh>
    <rPh sb="4" eb="6">
      <t>オオアザ</t>
    </rPh>
    <rPh sb="6" eb="8">
      <t>チバン</t>
    </rPh>
    <phoneticPr fontId="2"/>
  </si>
  <si>
    <t>川越線高麗川駅または西武池袋線飯能駅下車タクシー10分</t>
    <rPh sb="0" eb="3">
      <t>カワゴエセン</t>
    </rPh>
    <rPh sb="3" eb="7">
      <t>コマガワエキ</t>
    </rPh>
    <rPh sb="10" eb="15">
      <t>セイブイケブクロセン</t>
    </rPh>
    <rPh sb="15" eb="18">
      <t>ハンノウエキ</t>
    </rPh>
    <rPh sb="18" eb="20">
      <t>ゲシャ</t>
    </rPh>
    <rPh sb="26" eb="27">
      <t>プン</t>
    </rPh>
    <phoneticPr fontId="2"/>
  </si>
  <si>
    <t>高崎線上尾駅西口から川越駅行東武バス「新田前」下車徒歩5分</t>
    <rPh sb="0" eb="2">
      <t>タカサキ</t>
    </rPh>
    <rPh sb="2" eb="3">
      <t>セン</t>
    </rPh>
    <rPh sb="3" eb="5">
      <t>アゲオ</t>
    </rPh>
    <rPh sb="5" eb="6">
      <t>エキ</t>
    </rPh>
    <rPh sb="6" eb="8">
      <t>ニシグチ</t>
    </rPh>
    <rPh sb="10" eb="12">
      <t>カワゴエ</t>
    </rPh>
    <rPh sb="12" eb="13">
      <t>エキ</t>
    </rPh>
    <rPh sb="13" eb="14">
      <t>イ</t>
    </rPh>
    <rPh sb="14" eb="16">
      <t>トウブ</t>
    </rPh>
    <rPh sb="19" eb="21">
      <t>シンデン</t>
    </rPh>
    <rPh sb="21" eb="22">
      <t>マエ</t>
    </rPh>
    <rPh sb="23" eb="25">
      <t>ゲシャ</t>
    </rPh>
    <rPh sb="25" eb="27">
      <t>トホ</t>
    </rPh>
    <rPh sb="28" eb="29">
      <t>フン</t>
    </rPh>
    <phoneticPr fontId="2"/>
  </si>
  <si>
    <t>高崎線上尾駅から平塚行バス「平塚」下車徒歩3分</t>
    <rPh sb="0" eb="2">
      <t>タカサキ</t>
    </rPh>
    <rPh sb="2" eb="3">
      <t>セン</t>
    </rPh>
    <rPh sb="3" eb="5">
      <t>アゲオ</t>
    </rPh>
    <rPh sb="5" eb="6">
      <t>エキ</t>
    </rPh>
    <rPh sb="8" eb="10">
      <t>ヒラツカ</t>
    </rPh>
    <rPh sb="10" eb="11">
      <t>イ</t>
    </rPh>
    <rPh sb="14" eb="16">
      <t>ヒラツカ</t>
    </rPh>
    <rPh sb="17" eb="19">
      <t>ゲシャ</t>
    </rPh>
    <rPh sb="19" eb="21">
      <t>トホ</t>
    </rPh>
    <rPh sb="22" eb="23">
      <t>プン</t>
    </rPh>
    <phoneticPr fontId="2"/>
  </si>
  <si>
    <t>熊谷駅から妻沼行バス「中奈良」下車徒歩3分</t>
    <rPh sb="0" eb="2">
      <t>クマガヤ</t>
    </rPh>
    <rPh sb="2" eb="3">
      <t>エキ</t>
    </rPh>
    <rPh sb="5" eb="7">
      <t>メヌマ</t>
    </rPh>
    <rPh sb="7" eb="8">
      <t>イ</t>
    </rPh>
    <rPh sb="11" eb="12">
      <t>ナカ</t>
    </rPh>
    <rPh sb="12" eb="14">
      <t>ナラ</t>
    </rPh>
    <rPh sb="15" eb="17">
      <t>ゲシャ</t>
    </rPh>
    <rPh sb="17" eb="19">
      <t>トホ</t>
    </rPh>
    <rPh sb="20" eb="21">
      <t>プン</t>
    </rPh>
    <phoneticPr fontId="2"/>
  </si>
  <si>
    <t>東武東上線高坂駅東口下車徒歩7分</t>
    <rPh sb="0" eb="2">
      <t>トウブ</t>
    </rPh>
    <rPh sb="2" eb="4">
      <t>トウジョウ</t>
    </rPh>
    <rPh sb="4" eb="5">
      <t>セン</t>
    </rPh>
    <rPh sb="5" eb="7">
      <t>タカサカ</t>
    </rPh>
    <rPh sb="7" eb="8">
      <t>エキ</t>
    </rPh>
    <rPh sb="8" eb="10">
      <t>ヒガシグチ</t>
    </rPh>
    <rPh sb="10" eb="12">
      <t>ゲシャ</t>
    </rPh>
    <rPh sb="12" eb="14">
      <t>トホ</t>
    </rPh>
    <rPh sb="15" eb="16">
      <t>フン</t>
    </rPh>
    <phoneticPr fontId="2"/>
  </si>
  <si>
    <t>鶴ヶ島市</t>
    <rPh sb="0" eb="4">
      <t>ツルガシマシ</t>
    </rPh>
    <phoneticPr fontId="2"/>
  </si>
  <si>
    <t>若あゆ作業所</t>
    <rPh sb="0" eb="1">
      <t>ワカ</t>
    </rPh>
    <rPh sb="3" eb="6">
      <t>サギョウショ</t>
    </rPh>
    <phoneticPr fontId="2"/>
  </si>
  <si>
    <t>西武線西所沢駅から西武バス「小手指小」下車徒歩5分</t>
    <rPh sb="0" eb="2">
      <t>セイブ</t>
    </rPh>
    <rPh sb="2" eb="3">
      <t>セン</t>
    </rPh>
    <rPh sb="3" eb="6">
      <t>ニシトコロザワ</t>
    </rPh>
    <rPh sb="6" eb="7">
      <t>エキ</t>
    </rPh>
    <rPh sb="9" eb="11">
      <t>セイブ</t>
    </rPh>
    <rPh sb="14" eb="17">
      <t>コテサシ</t>
    </rPh>
    <rPh sb="17" eb="18">
      <t>ショウ</t>
    </rPh>
    <rPh sb="19" eb="21">
      <t>ゲシャ</t>
    </rPh>
    <rPh sb="21" eb="23">
      <t>トホ</t>
    </rPh>
    <rPh sb="24" eb="25">
      <t>フン</t>
    </rPh>
    <phoneticPr fontId="2"/>
  </si>
  <si>
    <t>西武池袋線狭山ヶ丘駅から西武バス「吉祥院前」下車徒歩5分</t>
    <rPh sb="0" eb="2">
      <t>セイブ</t>
    </rPh>
    <rPh sb="2" eb="4">
      <t>イケブクロ</t>
    </rPh>
    <rPh sb="4" eb="5">
      <t>セン</t>
    </rPh>
    <rPh sb="5" eb="9">
      <t>サヤマガオカ</t>
    </rPh>
    <rPh sb="9" eb="10">
      <t>エキ</t>
    </rPh>
    <rPh sb="12" eb="14">
      <t>セイブ</t>
    </rPh>
    <rPh sb="17" eb="20">
      <t>キッショウイン</t>
    </rPh>
    <rPh sb="20" eb="21">
      <t>マエ</t>
    </rPh>
    <rPh sb="22" eb="24">
      <t>ゲシャ</t>
    </rPh>
    <rPh sb="24" eb="26">
      <t>トホ</t>
    </rPh>
    <rPh sb="27" eb="28">
      <t>フン</t>
    </rPh>
    <phoneticPr fontId="2"/>
  </si>
  <si>
    <t>東武東上線上福岡駅から西武バス「福岡小」下車徒歩5分</t>
    <rPh sb="0" eb="2">
      <t>トウブ</t>
    </rPh>
    <rPh sb="2" eb="4">
      <t>トウジョウ</t>
    </rPh>
    <rPh sb="4" eb="5">
      <t>セン</t>
    </rPh>
    <rPh sb="5" eb="8">
      <t>カミフクオカ</t>
    </rPh>
    <rPh sb="8" eb="9">
      <t>エキ</t>
    </rPh>
    <rPh sb="11" eb="13">
      <t>セイブ</t>
    </rPh>
    <rPh sb="16" eb="18">
      <t>フクオカ</t>
    </rPh>
    <rPh sb="18" eb="19">
      <t>ショウ</t>
    </rPh>
    <rPh sb="20" eb="22">
      <t>ゲシャ</t>
    </rPh>
    <rPh sb="22" eb="24">
      <t>トホ</t>
    </rPh>
    <rPh sb="25" eb="26">
      <t>フン</t>
    </rPh>
    <phoneticPr fontId="2"/>
  </si>
  <si>
    <t>身</t>
    <rPh sb="0" eb="1">
      <t>シン</t>
    </rPh>
    <phoneticPr fontId="2"/>
  </si>
  <si>
    <t>(福)青い鳥福祉会</t>
    <rPh sb="3" eb="4">
      <t>アオ</t>
    </rPh>
    <rPh sb="5" eb="6">
      <t>トリ</t>
    </rPh>
    <rPh sb="6" eb="9">
      <t>フクシカイ</t>
    </rPh>
    <phoneticPr fontId="2"/>
  </si>
  <si>
    <t>(福)雑草福祉会</t>
    <rPh sb="3" eb="5">
      <t>ザッソウ</t>
    </rPh>
    <rPh sb="5" eb="7">
      <t>フクシ</t>
    </rPh>
    <rPh sb="7" eb="8">
      <t>カイ</t>
    </rPh>
    <phoneticPr fontId="2"/>
  </si>
  <si>
    <t>(福)健翔会</t>
    <rPh sb="3" eb="4">
      <t>ケン</t>
    </rPh>
    <rPh sb="4" eb="5">
      <t>ショウ</t>
    </rPh>
    <rPh sb="5" eb="6">
      <t>カイ</t>
    </rPh>
    <phoneticPr fontId="2"/>
  </si>
  <si>
    <t>高崎線吹上駅から行田車庫行バス「ものつくり大学前」下車すぐ</t>
    <rPh sb="0" eb="2">
      <t>タカサキ</t>
    </rPh>
    <rPh sb="2" eb="3">
      <t>セン</t>
    </rPh>
    <rPh sb="3" eb="5">
      <t>フキアゲ</t>
    </rPh>
    <rPh sb="5" eb="6">
      <t>エキ</t>
    </rPh>
    <rPh sb="8" eb="10">
      <t>ギョウダ</t>
    </rPh>
    <rPh sb="10" eb="12">
      <t>シャコ</t>
    </rPh>
    <rPh sb="12" eb="13">
      <t>イ</t>
    </rPh>
    <rPh sb="21" eb="23">
      <t>ダイガク</t>
    </rPh>
    <rPh sb="23" eb="24">
      <t>マエ</t>
    </rPh>
    <rPh sb="25" eb="27">
      <t>ゲシャ</t>
    </rPh>
    <phoneticPr fontId="2"/>
  </si>
  <si>
    <t>堀ノ内3-7-31</t>
    <rPh sb="0" eb="1">
      <t>ホリ</t>
    </rPh>
    <rPh sb="2" eb="3">
      <t>ウチ</t>
    </rPh>
    <phoneticPr fontId="2"/>
  </si>
  <si>
    <t>(福)昇栄会</t>
    <rPh sb="3" eb="4">
      <t>ショウ</t>
    </rPh>
    <rPh sb="4" eb="5">
      <t>エイ</t>
    </rPh>
    <rPh sb="5" eb="6">
      <t>カイ</t>
    </rPh>
    <phoneticPr fontId="2"/>
  </si>
  <si>
    <t>(福)友愛会</t>
    <rPh sb="3" eb="5">
      <t>ユウアイ</t>
    </rPh>
    <rPh sb="5" eb="6">
      <t>カイ</t>
    </rPh>
    <phoneticPr fontId="2"/>
  </si>
  <si>
    <t>(福)美里会</t>
    <rPh sb="3" eb="5">
      <t>ミサト</t>
    </rPh>
    <rPh sb="5" eb="6">
      <t>カイ</t>
    </rPh>
    <phoneticPr fontId="2"/>
  </si>
  <si>
    <t>(福)一</t>
    <rPh sb="3" eb="4">
      <t>イチ</t>
    </rPh>
    <phoneticPr fontId="2"/>
  </si>
  <si>
    <t>(特非)古太萬の会</t>
    <rPh sb="4" eb="5">
      <t>コ</t>
    </rPh>
    <rPh sb="5" eb="6">
      <t>タ</t>
    </rPh>
    <rPh sb="6" eb="7">
      <t>マン</t>
    </rPh>
    <rPh sb="8" eb="9">
      <t>カイ</t>
    </rPh>
    <phoneticPr fontId="2"/>
  </si>
  <si>
    <t>(福)江南会</t>
    <rPh sb="3" eb="5">
      <t>コウナン</t>
    </rPh>
    <rPh sb="5" eb="6">
      <t>カイ</t>
    </rPh>
    <phoneticPr fontId="2"/>
  </si>
  <si>
    <t>(福)はぐくむ会</t>
    <rPh sb="7" eb="8">
      <t>カイ</t>
    </rPh>
    <phoneticPr fontId="2"/>
  </si>
  <si>
    <t>(福)幸仁会</t>
    <rPh sb="3" eb="4">
      <t>コウ</t>
    </rPh>
    <rPh sb="4" eb="6">
      <t>ジンカイ</t>
    </rPh>
    <phoneticPr fontId="2"/>
  </si>
  <si>
    <t>(福)若あゆの会</t>
    <rPh sb="3" eb="4">
      <t>ワカ</t>
    </rPh>
    <rPh sb="7" eb="8">
      <t>カイ</t>
    </rPh>
    <phoneticPr fontId="2"/>
  </si>
  <si>
    <t>(特非)まきの木福祉会</t>
    <rPh sb="7" eb="8">
      <t>キ</t>
    </rPh>
    <rPh sb="8" eb="11">
      <t>フクシカイ</t>
    </rPh>
    <phoneticPr fontId="2"/>
  </si>
  <si>
    <t>(福)清心会</t>
    <rPh sb="3" eb="6">
      <t>セイシンカイ</t>
    </rPh>
    <phoneticPr fontId="2"/>
  </si>
  <si>
    <t>(福)ヤマト自立センター</t>
    <rPh sb="6" eb="8">
      <t>ジリツ</t>
    </rPh>
    <phoneticPr fontId="2"/>
  </si>
  <si>
    <t>(福)彩明会</t>
    <rPh sb="3" eb="5">
      <t>サイメイ</t>
    </rPh>
    <rPh sb="5" eb="6">
      <t>カイ</t>
    </rPh>
    <phoneticPr fontId="2"/>
  </si>
  <si>
    <t>(福)日和田会</t>
    <rPh sb="3" eb="6">
      <t>ヒワダ</t>
    </rPh>
    <rPh sb="6" eb="7">
      <t>カイ</t>
    </rPh>
    <phoneticPr fontId="2"/>
  </si>
  <si>
    <t>(特非)障がい者自立支援自立工房山叶本舗</t>
    <rPh sb="4" eb="5">
      <t>サワ</t>
    </rPh>
    <rPh sb="7" eb="8">
      <t>シャ</t>
    </rPh>
    <rPh sb="8" eb="10">
      <t>ジリツ</t>
    </rPh>
    <rPh sb="10" eb="12">
      <t>シエン</t>
    </rPh>
    <rPh sb="12" eb="14">
      <t>ジリツ</t>
    </rPh>
    <rPh sb="14" eb="16">
      <t>コウボウ</t>
    </rPh>
    <rPh sb="16" eb="17">
      <t>ヤマ</t>
    </rPh>
    <rPh sb="17" eb="18">
      <t>カノウ</t>
    </rPh>
    <rPh sb="18" eb="20">
      <t>ホンポ</t>
    </rPh>
    <phoneticPr fontId="2"/>
  </si>
  <si>
    <t>埼玉県総合リハビリテーションセンター</t>
    <rPh sb="0" eb="3">
      <t>サイタマケン</t>
    </rPh>
    <rPh sb="3" eb="5">
      <t>ソウゴウ</t>
    </rPh>
    <phoneticPr fontId="2"/>
  </si>
  <si>
    <t>障害福祉サービス事業所いずみのの家</t>
    <rPh sb="0" eb="2">
      <t>ショウガイ</t>
    </rPh>
    <rPh sb="2" eb="4">
      <t>フクシ</t>
    </rPh>
    <rPh sb="8" eb="11">
      <t>ジギョウショ</t>
    </rPh>
    <rPh sb="16" eb="17">
      <t>イエ</t>
    </rPh>
    <phoneticPr fontId="2"/>
  </si>
  <si>
    <t>郵便番号</t>
    <rPh sb="0" eb="2">
      <t>ユウビン</t>
    </rPh>
    <rPh sb="2" eb="4">
      <t>バンゴウ</t>
    </rPh>
    <phoneticPr fontId="2"/>
  </si>
  <si>
    <t>久保稲荷1-27-4</t>
    <rPh sb="0" eb="4">
      <t>クボイナリ</t>
    </rPh>
    <phoneticPr fontId="2"/>
  </si>
  <si>
    <t>(特非)志木市精神保健福祉をすすめる会</t>
    <rPh sb="4" eb="7">
      <t>シキシ</t>
    </rPh>
    <rPh sb="7" eb="11">
      <t>セイシンホケン</t>
    </rPh>
    <rPh sb="11" eb="13">
      <t>フクシ</t>
    </rPh>
    <rPh sb="18" eb="19">
      <t>カイ</t>
    </rPh>
    <phoneticPr fontId="2"/>
  </si>
  <si>
    <t>設置者（法人）の名称</t>
    <rPh sb="0" eb="3">
      <t>セッチシャ</t>
    </rPh>
    <rPh sb="4" eb="6">
      <t>ホウジン</t>
    </rPh>
    <rPh sb="8" eb="10">
      <t>メイショウ</t>
    </rPh>
    <phoneticPr fontId="2"/>
  </si>
  <si>
    <t>事業所番号</t>
    <rPh sb="0" eb="3">
      <t>ジギョウショ</t>
    </rPh>
    <rPh sb="3" eb="5">
      <t>バンゴウ</t>
    </rPh>
    <phoneticPr fontId="2"/>
  </si>
  <si>
    <t>スワン工舎新座</t>
    <rPh sb="3" eb="5">
      <t>コウシャ</t>
    </rPh>
    <rPh sb="5" eb="7">
      <t>ニイザ</t>
    </rPh>
    <phoneticPr fontId="2"/>
  </si>
  <si>
    <t>雑草授産センター</t>
    <rPh sb="0" eb="2">
      <t>ザッソウ</t>
    </rPh>
    <rPh sb="2" eb="4">
      <t>ジュサン</t>
    </rPh>
    <phoneticPr fontId="2"/>
  </si>
  <si>
    <t>寄居事業所</t>
    <rPh sb="0" eb="2">
      <t>ヨリイ</t>
    </rPh>
    <rPh sb="2" eb="5">
      <t>ジギョウショ</t>
    </rPh>
    <phoneticPr fontId="2"/>
  </si>
  <si>
    <t>飯能事業所</t>
    <rPh sb="0" eb="2">
      <t>ハンノウ</t>
    </rPh>
    <rPh sb="2" eb="5">
      <t>ジギョウショ</t>
    </rPh>
    <phoneticPr fontId="2"/>
  </si>
  <si>
    <t>おごせ福祉作業所</t>
    <rPh sb="3" eb="8">
      <t>フクシサギョウショ</t>
    </rPh>
    <phoneticPr fontId="2"/>
  </si>
  <si>
    <t>大樹作業所</t>
    <rPh sb="0" eb="2">
      <t>タイジュ</t>
    </rPh>
    <rPh sb="2" eb="5">
      <t>サギョウショ</t>
    </rPh>
    <phoneticPr fontId="2"/>
  </si>
  <si>
    <t>こやた大樹作業所</t>
    <rPh sb="3" eb="5">
      <t>タイジュ</t>
    </rPh>
    <rPh sb="5" eb="8">
      <t>サギョウショ</t>
    </rPh>
    <phoneticPr fontId="2"/>
  </si>
  <si>
    <t>さやま大樹作業所</t>
    <rPh sb="3" eb="5">
      <t>タイジュ</t>
    </rPh>
    <rPh sb="5" eb="8">
      <t>サギョウショ</t>
    </rPh>
    <phoneticPr fontId="2"/>
  </si>
  <si>
    <t>大樹の里</t>
    <rPh sb="0" eb="2">
      <t>タイジュ</t>
    </rPh>
    <rPh sb="3" eb="4">
      <t>サト</t>
    </rPh>
    <phoneticPr fontId="2"/>
  </si>
  <si>
    <t>大樹館</t>
    <rPh sb="0" eb="2">
      <t>タイジュ</t>
    </rPh>
    <rPh sb="2" eb="3">
      <t>カン</t>
    </rPh>
    <phoneticPr fontId="2"/>
  </si>
  <si>
    <t>大樹の家</t>
    <rPh sb="0" eb="2">
      <t>タイジュ</t>
    </rPh>
    <rPh sb="3" eb="4">
      <t>イエ</t>
    </rPh>
    <phoneticPr fontId="2"/>
  </si>
  <si>
    <t>大樹の森</t>
    <rPh sb="0" eb="2">
      <t>タイジュ</t>
    </rPh>
    <rPh sb="3" eb="4">
      <t>モリ</t>
    </rPh>
    <phoneticPr fontId="2"/>
  </si>
  <si>
    <t>すみれ事業所</t>
    <rPh sb="3" eb="6">
      <t>ジギョウショ</t>
    </rPh>
    <phoneticPr fontId="2"/>
  </si>
  <si>
    <t>すだち作業所</t>
    <rPh sb="3" eb="6">
      <t>サギョウショ</t>
    </rPh>
    <phoneticPr fontId="2"/>
  </si>
  <si>
    <t>国立障害者リハビリテーションセンター</t>
    <rPh sb="0" eb="2">
      <t>コクリツ</t>
    </rPh>
    <rPh sb="2" eb="5">
      <t>ショウガイシャ</t>
    </rPh>
    <phoneticPr fontId="2"/>
  </si>
  <si>
    <t>親愛南の里</t>
  </si>
  <si>
    <t>山鳩よりい</t>
    <rPh sb="0" eb="2">
      <t>ヤマバト</t>
    </rPh>
    <phoneticPr fontId="2"/>
  </si>
  <si>
    <t>松の実</t>
    <rPh sb="0" eb="1">
      <t>マツ</t>
    </rPh>
    <rPh sb="2" eb="3">
      <t>ミ</t>
    </rPh>
    <phoneticPr fontId="2"/>
  </si>
  <si>
    <t>サン・フレッシュ・メイト事業所</t>
    <rPh sb="12" eb="15">
      <t>ジギョウショ</t>
    </rPh>
    <phoneticPr fontId="2"/>
  </si>
  <si>
    <t>自立工房　山叶本舗</t>
    <rPh sb="0" eb="2">
      <t>ジリツ</t>
    </rPh>
    <rPh sb="2" eb="4">
      <t>コウボウ</t>
    </rPh>
    <rPh sb="5" eb="6">
      <t>ヤマ</t>
    </rPh>
    <rPh sb="6" eb="7">
      <t>カノウ</t>
    </rPh>
    <rPh sb="7" eb="9">
      <t>ホンポ</t>
    </rPh>
    <phoneticPr fontId="2"/>
  </si>
  <si>
    <t>はぐくみ園</t>
    <rPh sb="4" eb="5">
      <t>エン</t>
    </rPh>
    <phoneticPr fontId="2"/>
  </si>
  <si>
    <t>第二はぐくみ園</t>
    <rPh sb="0" eb="1">
      <t>ダイ</t>
    </rPh>
    <rPh sb="1" eb="2">
      <t>ニ</t>
    </rPh>
    <rPh sb="6" eb="7">
      <t>エン</t>
    </rPh>
    <phoneticPr fontId="2"/>
  </si>
  <si>
    <t>麦の穂</t>
    <rPh sb="0" eb="1">
      <t>ムギ</t>
    </rPh>
    <rPh sb="2" eb="3">
      <t>ホ</t>
    </rPh>
    <phoneticPr fontId="2"/>
  </si>
  <si>
    <t>けやき工房</t>
    <rPh sb="3" eb="5">
      <t>コウボウ</t>
    </rPh>
    <phoneticPr fontId="2"/>
  </si>
  <si>
    <t>みどりの風</t>
    <rPh sb="4" eb="5">
      <t>カゼ</t>
    </rPh>
    <phoneticPr fontId="2"/>
  </si>
  <si>
    <t>埼玉県</t>
    <rPh sb="0" eb="3">
      <t>サイタマケン</t>
    </rPh>
    <phoneticPr fontId="2"/>
  </si>
  <si>
    <t>ゆいの里</t>
    <rPh sb="3" eb="4">
      <t>サト</t>
    </rPh>
    <phoneticPr fontId="2"/>
  </si>
  <si>
    <t>埼玉県立嵐山郷</t>
    <rPh sb="0" eb="2">
      <t>サイタマ</t>
    </rPh>
    <rPh sb="2" eb="4">
      <t>ケンリツ</t>
    </rPh>
    <rPh sb="4" eb="6">
      <t>ランザン</t>
    </rPh>
    <rPh sb="6" eb="7">
      <t>ゴウ</t>
    </rPh>
    <phoneticPr fontId="2"/>
  </si>
  <si>
    <t>大地</t>
    <rPh sb="0" eb="2">
      <t>ダイチ</t>
    </rPh>
    <phoneticPr fontId="2"/>
  </si>
  <si>
    <t>川越駅から鴻巣行バス「八ッ林」下車徒歩30分</t>
    <rPh sb="0" eb="2">
      <t>カワゴエ</t>
    </rPh>
    <rPh sb="2" eb="3">
      <t>エキ</t>
    </rPh>
    <rPh sb="5" eb="7">
      <t>コウノス</t>
    </rPh>
    <rPh sb="7" eb="8">
      <t>イ</t>
    </rPh>
    <rPh sb="11" eb="12">
      <t>ヤツ</t>
    </rPh>
    <rPh sb="13" eb="14">
      <t>バヤシ</t>
    </rPh>
    <rPh sb="15" eb="17">
      <t>ゲシャ</t>
    </rPh>
    <rPh sb="17" eb="19">
      <t>トホ</t>
    </rPh>
    <rPh sb="21" eb="22">
      <t>プン</t>
    </rPh>
    <phoneticPr fontId="2"/>
  </si>
  <si>
    <t>川越駅から若葉駅行バス「中小坂」下車徒歩3分</t>
    <rPh sb="0" eb="2">
      <t>カワゴエ</t>
    </rPh>
    <rPh sb="2" eb="3">
      <t>エキ</t>
    </rPh>
    <rPh sb="5" eb="7">
      <t>ワカバ</t>
    </rPh>
    <rPh sb="7" eb="8">
      <t>エキ</t>
    </rPh>
    <rPh sb="8" eb="9">
      <t>イ</t>
    </rPh>
    <rPh sb="12" eb="15">
      <t>ナカオサカ</t>
    </rPh>
    <rPh sb="16" eb="18">
      <t>ゲシャ</t>
    </rPh>
    <rPh sb="18" eb="20">
      <t>トホ</t>
    </rPh>
    <rPh sb="21" eb="22">
      <t>プン</t>
    </rPh>
    <phoneticPr fontId="2"/>
  </si>
  <si>
    <t>所沢どんぐりの家</t>
    <rPh sb="0" eb="2">
      <t>トコロザワ</t>
    </rPh>
    <rPh sb="7" eb="8">
      <t>イエ</t>
    </rPh>
    <phoneticPr fontId="2"/>
  </si>
  <si>
    <t>創和ユニット</t>
    <rPh sb="0" eb="2">
      <t>ソウワ</t>
    </rPh>
    <phoneticPr fontId="2"/>
  </si>
  <si>
    <t>作業所ケルン</t>
    <rPh sb="0" eb="3">
      <t>サギョウショ</t>
    </rPh>
    <phoneticPr fontId="2"/>
  </si>
  <si>
    <t>志木事業所</t>
    <rPh sb="0" eb="5">
      <t>シキジギョウショ</t>
    </rPh>
    <phoneticPr fontId="2"/>
  </si>
  <si>
    <t>ワークスしんあい</t>
  </si>
  <si>
    <t>コスモスの里</t>
    <rPh sb="5" eb="6">
      <t>サト</t>
    </rPh>
    <phoneticPr fontId="2"/>
  </si>
  <si>
    <t>こすもす作業所</t>
    <rPh sb="4" eb="7">
      <t>サギョウショ</t>
    </rPh>
    <phoneticPr fontId="2"/>
  </si>
  <si>
    <t>颸埜扉カルミア</t>
    <rPh sb="2" eb="3">
      <t>トビラ</t>
    </rPh>
    <phoneticPr fontId="2"/>
  </si>
  <si>
    <t>北本市</t>
    <rPh sb="0" eb="3">
      <t>キタモトシ</t>
    </rPh>
    <phoneticPr fontId="2"/>
  </si>
  <si>
    <t>若草苑</t>
    <rPh sb="0" eb="2">
      <t>ワカクサ</t>
    </rPh>
    <rPh sb="2" eb="3">
      <t>エン</t>
    </rPh>
    <phoneticPr fontId="2"/>
  </si>
  <si>
    <t>花づな</t>
    <rPh sb="0" eb="1">
      <t>ハナ</t>
    </rPh>
    <phoneticPr fontId="2"/>
  </si>
  <si>
    <t>川口太陽の家</t>
    <rPh sb="0" eb="2">
      <t>カワグチ</t>
    </rPh>
    <rPh sb="2" eb="4">
      <t>タイヨウ</t>
    </rPh>
    <rPh sb="5" eb="6">
      <t>イエ</t>
    </rPh>
    <phoneticPr fontId="2"/>
  </si>
  <si>
    <t>事業所名</t>
    <rPh sb="0" eb="3">
      <t>ジギョウショ</t>
    </rPh>
    <rPh sb="3" eb="4">
      <t>メイ</t>
    </rPh>
    <phoneticPr fontId="2"/>
  </si>
  <si>
    <t>ふじ学園</t>
    <rPh sb="2" eb="4">
      <t>ガクエン</t>
    </rPh>
    <phoneticPr fontId="2"/>
  </si>
  <si>
    <t>大石事業所</t>
    <rPh sb="0" eb="2">
      <t>オオイシ</t>
    </rPh>
    <rPh sb="2" eb="5">
      <t>ジギョウショ</t>
    </rPh>
    <phoneticPr fontId="2"/>
  </si>
  <si>
    <t>上平事業所</t>
    <rPh sb="0" eb="2">
      <t>カミヒラ</t>
    </rPh>
    <rPh sb="2" eb="5">
      <t>ジギョウショ</t>
    </rPh>
    <phoneticPr fontId="2"/>
  </si>
  <si>
    <t>自立訓練</t>
    <rPh sb="0" eb="2">
      <t>ジリツ</t>
    </rPh>
    <rPh sb="2" eb="4">
      <t>クンレン</t>
    </rPh>
    <phoneticPr fontId="2"/>
  </si>
  <si>
    <t>一般</t>
    <rPh sb="0" eb="2">
      <t>イッパン</t>
    </rPh>
    <phoneticPr fontId="2"/>
  </si>
  <si>
    <t>養成</t>
    <rPh sb="0" eb="2">
      <t>ヨウセイ</t>
    </rPh>
    <phoneticPr fontId="2"/>
  </si>
  <si>
    <t>Ａ型</t>
    <rPh sb="1" eb="2">
      <t>ガタ</t>
    </rPh>
    <phoneticPr fontId="2"/>
  </si>
  <si>
    <t>Ｂ型</t>
    <rPh sb="1" eb="2">
      <t>ガタ</t>
    </rPh>
    <phoneticPr fontId="2"/>
  </si>
  <si>
    <t>生活</t>
    <rPh sb="0" eb="2">
      <t>セイカツ</t>
    </rPh>
    <phoneticPr fontId="2"/>
  </si>
  <si>
    <t>機能</t>
    <rPh sb="0" eb="2">
      <t>キノウ</t>
    </rPh>
    <phoneticPr fontId="2"/>
  </si>
  <si>
    <t>生活
介護</t>
    <rPh sb="0" eb="2">
      <t>セイカツ</t>
    </rPh>
    <rPh sb="3" eb="5">
      <t>カイゴ</t>
    </rPh>
    <phoneticPr fontId="2"/>
  </si>
  <si>
    <t>療養
介護</t>
    <rPh sb="0" eb="2">
      <t>リョウヨウ</t>
    </rPh>
    <rPh sb="3" eb="5">
      <t>カイゴ</t>
    </rPh>
    <phoneticPr fontId="2"/>
  </si>
  <si>
    <t>施設
入所</t>
    <rPh sb="0" eb="2">
      <t>シセツ</t>
    </rPh>
    <rPh sb="3" eb="5">
      <t>ニュウショ</t>
    </rPh>
    <phoneticPr fontId="2"/>
  </si>
  <si>
    <t>就労移行</t>
    <rPh sb="0" eb="2">
      <t>シュウロウ</t>
    </rPh>
    <rPh sb="2" eb="4">
      <t>イコウ</t>
    </rPh>
    <phoneticPr fontId="2"/>
  </si>
  <si>
    <t>就労継続</t>
    <rPh sb="0" eb="2">
      <t>シュウロウ</t>
    </rPh>
    <rPh sb="2" eb="4">
      <t>ケイゾク</t>
    </rPh>
    <phoneticPr fontId="2"/>
  </si>
  <si>
    <t>フレンドセンターまきの木</t>
    <rPh sb="11" eb="12">
      <t>キ</t>
    </rPh>
    <phoneticPr fontId="2"/>
  </si>
  <si>
    <t>かしの木ケアセンター</t>
    <rPh sb="3" eb="4">
      <t>キ</t>
    </rPh>
    <phoneticPr fontId="2"/>
  </si>
  <si>
    <t>北本市総合福祉センター</t>
    <rPh sb="0" eb="3">
      <t>キタモトシ</t>
    </rPh>
    <rPh sb="3" eb="5">
      <t>ソウゴウ</t>
    </rPh>
    <rPh sb="5" eb="7">
      <t>フクシ</t>
    </rPh>
    <phoneticPr fontId="2"/>
  </si>
  <si>
    <t>佐久間さんち</t>
    <rPh sb="0" eb="3">
      <t>サクマ</t>
    </rPh>
    <phoneticPr fontId="2"/>
  </si>
  <si>
    <t>コスモス共同作業所</t>
    <rPh sb="4" eb="6">
      <t>キョウドウ</t>
    </rPh>
    <rPh sb="6" eb="9">
      <t>サギョウショ</t>
    </rPh>
    <phoneticPr fontId="2"/>
  </si>
  <si>
    <t>(特非)あすなろ会</t>
    <rPh sb="0" eb="4">
      <t>トクヒ</t>
    </rPh>
    <rPh sb="8" eb="9">
      <t>カイ</t>
    </rPh>
    <phoneticPr fontId="2"/>
  </si>
  <si>
    <t>事業所あすなろ</t>
    <rPh sb="0" eb="3">
      <t>ジギョウショ</t>
    </rPh>
    <phoneticPr fontId="2"/>
  </si>
  <si>
    <t>比企郡小川町</t>
    <rPh sb="0" eb="3">
      <t>ヒキグン</t>
    </rPh>
    <rPh sb="3" eb="6">
      <t>オガワマチ</t>
    </rPh>
    <phoneticPr fontId="2"/>
  </si>
  <si>
    <t>笠原184-1</t>
    <rPh sb="0" eb="2">
      <t>カサハラ</t>
    </rPh>
    <phoneticPr fontId="2"/>
  </si>
  <si>
    <t>0493-59-8133</t>
    <phoneticPr fontId="2"/>
  </si>
  <si>
    <t>東武東上線東武竹沢駅下車タクシー2分</t>
    <rPh sb="0" eb="2">
      <t>トウブ</t>
    </rPh>
    <rPh sb="2" eb="4">
      <t>トウジョウ</t>
    </rPh>
    <rPh sb="4" eb="5">
      <t>セン</t>
    </rPh>
    <rPh sb="5" eb="7">
      <t>トウブ</t>
    </rPh>
    <rPh sb="7" eb="9">
      <t>タケザワ</t>
    </rPh>
    <rPh sb="9" eb="10">
      <t>エキ</t>
    </rPh>
    <rPh sb="10" eb="12">
      <t>ゲシャ</t>
    </rPh>
    <rPh sb="17" eb="18">
      <t>フン</t>
    </rPh>
    <phoneticPr fontId="2"/>
  </si>
  <si>
    <t>晴れ晴れ</t>
    <rPh sb="0" eb="1">
      <t>ハ</t>
    </rPh>
    <rPh sb="2" eb="3">
      <t>バ</t>
    </rPh>
    <phoneticPr fontId="2"/>
  </si>
  <si>
    <t>太陽の里</t>
    <rPh sb="0" eb="2">
      <t>タイヨウ</t>
    </rPh>
    <rPh sb="3" eb="4">
      <t>サト</t>
    </rPh>
    <phoneticPr fontId="2"/>
  </si>
  <si>
    <t>入間東部みよしの里</t>
    <rPh sb="0" eb="2">
      <t>イルマ</t>
    </rPh>
    <rPh sb="2" eb="4">
      <t>トウブ</t>
    </rPh>
    <rPh sb="8" eb="9">
      <t>サト</t>
    </rPh>
    <phoneticPr fontId="2"/>
  </si>
  <si>
    <t>かみふくおか作業所</t>
    <rPh sb="6" eb="9">
      <t>サギョウショ</t>
    </rPh>
    <phoneticPr fontId="2"/>
  </si>
  <si>
    <t>第３川越いもの子作業所</t>
    <rPh sb="0" eb="1">
      <t>ダイ</t>
    </rPh>
    <rPh sb="2" eb="4">
      <t>カワゴエ</t>
    </rPh>
    <rPh sb="7" eb="8">
      <t>コ</t>
    </rPh>
    <rPh sb="8" eb="11">
      <t>サギョウショ</t>
    </rPh>
    <phoneticPr fontId="2"/>
  </si>
  <si>
    <t>おおい作業所</t>
    <rPh sb="3" eb="6">
      <t>サギョウショ</t>
    </rPh>
    <phoneticPr fontId="2"/>
  </si>
  <si>
    <t>ふじの木作業所</t>
    <rPh sb="3" eb="4">
      <t>キ</t>
    </rPh>
    <rPh sb="4" eb="7">
      <t>サギョウショ</t>
    </rPh>
    <phoneticPr fontId="2"/>
  </si>
  <si>
    <t>入間東部むさしの作業所</t>
    <rPh sb="0" eb="2">
      <t>イルマ</t>
    </rPh>
    <rPh sb="2" eb="4">
      <t>トウブ</t>
    </rPh>
    <rPh sb="8" eb="11">
      <t>サギョウショ</t>
    </rPh>
    <phoneticPr fontId="2"/>
  </si>
  <si>
    <t>所沢しあわせの里</t>
    <rPh sb="0" eb="2">
      <t>トコロザワ</t>
    </rPh>
    <rPh sb="7" eb="8">
      <t>サト</t>
    </rPh>
    <phoneticPr fontId="2"/>
  </si>
  <si>
    <t>あかつき園</t>
    <rPh sb="4" eb="5">
      <t>エン</t>
    </rPh>
    <phoneticPr fontId="2"/>
  </si>
  <si>
    <t>(福)久美愛園</t>
  </si>
  <si>
    <t>めぐみ園</t>
    <phoneticPr fontId="2"/>
  </si>
  <si>
    <t>さいたま市</t>
    <phoneticPr fontId="2"/>
  </si>
  <si>
    <t>緑区三室1431</t>
    <phoneticPr fontId="2"/>
  </si>
  <si>
    <t>048-873-6461</t>
    <phoneticPr fontId="2"/>
  </si>
  <si>
    <t>互助の里</t>
    <phoneticPr fontId="2"/>
  </si>
  <si>
    <t>048-873-6462</t>
    <phoneticPr fontId="2"/>
  </si>
  <si>
    <t>夢知無恥</t>
    <rPh sb="0" eb="1">
      <t>ユメ</t>
    </rPh>
    <rPh sb="1" eb="2">
      <t>シ</t>
    </rPh>
    <rPh sb="2" eb="4">
      <t>ムチ</t>
    </rPh>
    <phoneticPr fontId="2"/>
  </si>
  <si>
    <t>熊谷</t>
    <rPh sb="0" eb="2">
      <t>クマガヤ</t>
    </rPh>
    <phoneticPr fontId="2"/>
  </si>
  <si>
    <t>グリーンヒル美里</t>
    <rPh sb="6" eb="8">
      <t>ミサト</t>
    </rPh>
    <phoneticPr fontId="2"/>
  </si>
  <si>
    <t>春日園</t>
    <rPh sb="0" eb="2">
      <t>カスガ</t>
    </rPh>
    <rPh sb="2" eb="3">
      <t>エン</t>
    </rPh>
    <phoneticPr fontId="2"/>
  </si>
  <si>
    <t>第２春日園</t>
    <rPh sb="0" eb="1">
      <t>ダイ</t>
    </rPh>
    <rPh sb="2" eb="4">
      <t>カスガ</t>
    </rPh>
    <rPh sb="4" eb="5">
      <t>エン</t>
    </rPh>
    <phoneticPr fontId="2"/>
  </si>
  <si>
    <t>第２かわせみ</t>
    <rPh sb="0" eb="1">
      <t>ダイ</t>
    </rPh>
    <phoneticPr fontId="2"/>
  </si>
  <si>
    <t>りんごの家</t>
    <rPh sb="4" eb="5">
      <t>イエ</t>
    </rPh>
    <phoneticPr fontId="2"/>
  </si>
  <si>
    <t>熊谷たんぽぽ</t>
    <rPh sb="0" eb="2">
      <t>クマガヤ</t>
    </rPh>
    <phoneticPr fontId="2"/>
  </si>
  <si>
    <t>第２川越いもの子作業所</t>
    <rPh sb="0" eb="1">
      <t>ダイ</t>
    </rPh>
    <rPh sb="2" eb="4">
      <t>カワゴエ</t>
    </rPh>
    <rPh sb="7" eb="8">
      <t>コ</t>
    </rPh>
    <rPh sb="8" eb="11">
      <t>サギョウショ</t>
    </rPh>
    <phoneticPr fontId="2"/>
  </si>
  <si>
    <t>ウッドワーク川本</t>
    <rPh sb="6" eb="8">
      <t>カワモト</t>
    </rPh>
    <phoneticPr fontId="2"/>
  </si>
  <si>
    <t>短期入所</t>
    <rPh sb="0" eb="2">
      <t>タンキ</t>
    </rPh>
    <rPh sb="2" eb="4">
      <t>ニュウショ</t>
    </rPh>
    <phoneticPr fontId="2"/>
  </si>
  <si>
    <t>048-294-0955</t>
  </si>
  <si>
    <t>048-269-8288</t>
  </si>
  <si>
    <t>049-233-2940</t>
  </si>
  <si>
    <t>049-246-3345</t>
  </si>
  <si>
    <t>0480-93-1101</t>
  </si>
  <si>
    <t>0480-85-0681</t>
  </si>
  <si>
    <t>048-767-6511</t>
  </si>
  <si>
    <t>048-958-0018</t>
  </si>
  <si>
    <t>048-959-1615</t>
  </si>
  <si>
    <t>048-781-2222</t>
  </si>
  <si>
    <t>048-770-0808</t>
  </si>
  <si>
    <t>048-771-0537</t>
  </si>
  <si>
    <t>048-777-2611</t>
  </si>
  <si>
    <t>048-777-6031</t>
  </si>
  <si>
    <t>048-772-3522</t>
  </si>
  <si>
    <t>048-778-3532</t>
  </si>
  <si>
    <t>048-294-4458</t>
  </si>
  <si>
    <t>048-240-1788</t>
  </si>
  <si>
    <t>049-234-2940</t>
  </si>
  <si>
    <t>049-224-5045</t>
  </si>
  <si>
    <t>049-224-5037</t>
  </si>
  <si>
    <t>0480-93-1486</t>
  </si>
  <si>
    <t>048-958-0170</t>
  </si>
  <si>
    <t>048-781-1552</t>
  </si>
  <si>
    <t>048-770-0807</t>
  </si>
  <si>
    <t>048-771-0593</t>
  </si>
  <si>
    <t>048-777-2613</t>
  </si>
  <si>
    <t>048-787-4494</t>
  </si>
  <si>
    <t>048-773-0105</t>
  </si>
  <si>
    <t>048-772-5022</t>
  </si>
  <si>
    <t>048-778-3533</t>
  </si>
  <si>
    <t>048-543-3638</t>
  </si>
  <si>
    <t>048-471-9331</t>
  </si>
  <si>
    <t>048-471-9332</t>
  </si>
  <si>
    <t>048-476-8064</t>
  </si>
  <si>
    <t>048-475-0014</t>
  </si>
  <si>
    <t>049-258-0515</t>
  </si>
  <si>
    <t>049-258-0989</t>
  </si>
  <si>
    <t>049-258-8130</t>
  </si>
  <si>
    <t>049-258-8095</t>
  </si>
  <si>
    <t>049-292-2817</t>
  </si>
  <si>
    <t>04-2995-3100</t>
  </si>
  <si>
    <t>風座</t>
    <rPh sb="0" eb="2">
      <t>カゼザ</t>
    </rPh>
    <phoneticPr fontId="2"/>
  </si>
  <si>
    <t>04-2992-1928</t>
  </si>
  <si>
    <t>04-2945-1038</t>
  </si>
  <si>
    <t>04-2945-1049</t>
  </si>
  <si>
    <t>04-2926-5744</t>
  </si>
  <si>
    <t>04-2947-9191</t>
  </si>
  <si>
    <t>04-2947-6969</t>
  </si>
  <si>
    <t>04-2921-5566</t>
  </si>
  <si>
    <t>04-2921-6666</t>
  </si>
  <si>
    <t>042-973-9879</t>
  </si>
  <si>
    <t>042-973-9830</t>
  </si>
  <si>
    <t>04-2958-2941</t>
  </si>
  <si>
    <t>04-2958-2942</t>
  </si>
  <si>
    <t>04-2955-8008</t>
  </si>
  <si>
    <t>04-2955-8870</t>
  </si>
  <si>
    <t>04-2955-2941</t>
  </si>
  <si>
    <t>04-2955-2942</t>
  </si>
  <si>
    <t>04-2964-3965</t>
  </si>
  <si>
    <t>04-2963-7890</t>
  </si>
  <si>
    <t>04-2966-1941</t>
  </si>
  <si>
    <t>04-2966-3500</t>
  </si>
  <si>
    <t>04-2966-0066</t>
  </si>
  <si>
    <t>04-2966-0003</t>
  </si>
  <si>
    <t>04-2936-2511</t>
  </si>
  <si>
    <t>04-2936-2600</t>
  </si>
  <si>
    <t>04-2963-3927</t>
  </si>
  <si>
    <t>049-268-6680</t>
  </si>
  <si>
    <t>049-268-6681</t>
  </si>
  <si>
    <t>049-252-5270</t>
  </si>
  <si>
    <t>049-252-5279</t>
  </si>
  <si>
    <t>049-254-0683</t>
  </si>
  <si>
    <t>049-265-0078</t>
  </si>
  <si>
    <t>049-265-1213</t>
  </si>
  <si>
    <t>049-266-8763</t>
  </si>
  <si>
    <t>048-521-8727</t>
  </si>
  <si>
    <t>048-527-3020</t>
  </si>
  <si>
    <t>048-527-4013</t>
  </si>
  <si>
    <t>048-527-0144</t>
  </si>
  <si>
    <t>048-524-5277</t>
  </si>
  <si>
    <t>048-588-5266</t>
  </si>
  <si>
    <t>048-525-9442</t>
  </si>
  <si>
    <t>0493-62-6221</t>
  </si>
  <si>
    <t>0493-62-8944</t>
  </si>
  <si>
    <t>0493-63-0436</t>
  </si>
  <si>
    <t>0493-63-0437</t>
  </si>
  <si>
    <t>0493-36-1108</t>
  </si>
  <si>
    <t>0493-36-1121</t>
  </si>
  <si>
    <t>0493-23-8989</t>
  </si>
  <si>
    <t>0493-23-8979</t>
  </si>
  <si>
    <t>0493-22-0208</t>
  </si>
  <si>
    <t>0493-24-0108</t>
  </si>
  <si>
    <t>0493-22-8624</t>
  </si>
  <si>
    <t>048-554-8815</t>
  </si>
  <si>
    <t>048-554-8814</t>
  </si>
  <si>
    <t>048-557-5888</t>
  </si>
  <si>
    <t>048-557-5889</t>
  </si>
  <si>
    <t>0480-61-5788</t>
  </si>
  <si>
    <t>0480-61-5789</t>
  </si>
  <si>
    <t>0495-75-1200</t>
  </si>
  <si>
    <t>0495-76-4411</t>
  </si>
  <si>
    <t>0495-76-0404</t>
  </si>
  <si>
    <t>0495-76-0572</t>
  </si>
  <si>
    <t>0495-76-0055</t>
  </si>
  <si>
    <t>0495-76-3733</t>
  </si>
  <si>
    <t>0495-72-7887</t>
  </si>
  <si>
    <t>0495-72-7939</t>
  </si>
  <si>
    <t>0495-22-7417</t>
  </si>
  <si>
    <t>0495-22-7427</t>
  </si>
  <si>
    <t>0495-22-9300</t>
  </si>
  <si>
    <t>048-537-0050</t>
  </si>
  <si>
    <t>048-537-0681</t>
  </si>
  <si>
    <t>048-536-9074</t>
  </si>
  <si>
    <t>048-581-8050</t>
  </si>
  <si>
    <t>048-581-8850</t>
  </si>
  <si>
    <t>048-582-4831</t>
  </si>
  <si>
    <t>048-582-4834</t>
  </si>
  <si>
    <t>048-580-2211</t>
  </si>
  <si>
    <t>048-580-2212</t>
  </si>
  <si>
    <t>048-583-5777</t>
  </si>
  <si>
    <t>048-572-1668</t>
  </si>
  <si>
    <t>048-574-7013</t>
  </si>
  <si>
    <t>048-583-5451</t>
  </si>
  <si>
    <t>048-583-5498</t>
  </si>
  <si>
    <t>048-584-6590</t>
  </si>
  <si>
    <t>048-573-1231</t>
  </si>
  <si>
    <t>048-584-4255</t>
  </si>
  <si>
    <t>0494-24-9951</t>
  </si>
  <si>
    <t>0494-22-7910</t>
  </si>
  <si>
    <t>0494-22-8806</t>
  </si>
  <si>
    <t>0494-23-4871</t>
  </si>
  <si>
    <t>0494-23-4884</t>
  </si>
  <si>
    <t>048-480-3367</t>
  </si>
  <si>
    <t>048-479-5873</t>
  </si>
  <si>
    <t>048-786-2213</t>
  </si>
  <si>
    <t>048-787-0408</t>
  </si>
  <si>
    <t>048-728-9843</t>
  </si>
  <si>
    <t>048-728-9844</t>
  </si>
  <si>
    <t>048-593-2961</t>
  </si>
  <si>
    <t>山田1431-1</t>
    <rPh sb="0" eb="2">
      <t>ヤマダ</t>
    </rPh>
    <phoneticPr fontId="2"/>
  </si>
  <si>
    <t>049-298-3303</t>
    <phoneticPr fontId="2"/>
  </si>
  <si>
    <t>048-592-9442</t>
  </si>
  <si>
    <t>就労支援センターＺＡＣ</t>
    <rPh sb="0" eb="2">
      <t>シュウロウ</t>
    </rPh>
    <rPh sb="2" eb="4">
      <t>シエン</t>
    </rPh>
    <phoneticPr fontId="2"/>
  </si>
  <si>
    <t>048-764-3881</t>
  </si>
  <si>
    <t>048-764-7788</t>
  </si>
  <si>
    <t>048-768-1161</t>
  </si>
  <si>
    <t>048-769-5347</t>
  </si>
  <si>
    <t>049-277-8605</t>
  </si>
  <si>
    <t>0480-42-0890</t>
  </si>
  <si>
    <t>042-985-5354</t>
  </si>
  <si>
    <t>042-985-7725</t>
  </si>
  <si>
    <t>042-985-8668</t>
  </si>
  <si>
    <t>電話番号</t>
    <rPh sb="0" eb="2">
      <t>デンワ</t>
    </rPh>
    <rPh sb="2" eb="4">
      <t>バンゴウ</t>
    </rPh>
    <phoneticPr fontId="2"/>
  </si>
  <si>
    <t>(福)みぬま福祉会</t>
    <rPh sb="6" eb="9">
      <t>フクシカイ</t>
    </rPh>
    <phoneticPr fontId="2"/>
  </si>
  <si>
    <t>(福)皆の郷</t>
    <rPh sb="3" eb="4">
      <t>ミナ</t>
    </rPh>
    <rPh sb="5" eb="6">
      <t>サト</t>
    </rPh>
    <phoneticPr fontId="2"/>
  </si>
  <si>
    <t>(福)翅会</t>
    <rPh sb="4" eb="5">
      <t>カイ</t>
    </rPh>
    <phoneticPr fontId="2"/>
  </si>
  <si>
    <t>(福)ともに福祉会</t>
    <rPh sb="6" eb="9">
      <t>フクシカイ</t>
    </rPh>
    <phoneticPr fontId="2"/>
  </si>
  <si>
    <t>(福)川の郷福祉会</t>
    <rPh sb="3" eb="4">
      <t>カワ</t>
    </rPh>
    <rPh sb="5" eb="6">
      <t>サト</t>
    </rPh>
    <rPh sb="6" eb="9">
      <t>フクシカイ</t>
    </rPh>
    <phoneticPr fontId="2"/>
  </si>
  <si>
    <t>(福)緑の風福祉会</t>
    <rPh sb="3" eb="4">
      <t>ミドリ</t>
    </rPh>
    <rPh sb="5" eb="6">
      <t>カゼ</t>
    </rPh>
    <rPh sb="6" eb="9">
      <t>フクシカイ</t>
    </rPh>
    <phoneticPr fontId="2"/>
  </si>
  <si>
    <t>(福)とまとの会</t>
    <rPh sb="7" eb="8">
      <t>カイ</t>
    </rPh>
    <phoneticPr fontId="2"/>
  </si>
  <si>
    <t>(福)埼玉県社会福祉事業団</t>
    <rPh sb="3" eb="6">
      <t>サイタマケン</t>
    </rPh>
    <rPh sb="6" eb="8">
      <t>シャカイ</t>
    </rPh>
    <rPh sb="8" eb="10">
      <t>フクシ</t>
    </rPh>
    <rPh sb="10" eb="13">
      <t>ジギョウダン</t>
    </rPh>
    <phoneticPr fontId="2"/>
  </si>
  <si>
    <t>○</t>
  </si>
  <si>
    <t>(福)恩賜財団済生会支部埼玉県済生会</t>
    <rPh sb="3" eb="5">
      <t>オンシ</t>
    </rPh>
    <phoneticPr fontId="2"/>
  </si>
  <si>
    <t>(福)上尾あゆみ会</t>
    <rPh sb="3" eb="5">
      <t>アゲオ</t>
    </rPh>
    <rPh sb="8" eb="9">
      <t>カイ</t>
    </rPh>
    <phoneticPr fontId="2"/>
  </si>
  <si>
    <t>(特非)すみれ福祉会</t>
    <rPh sb="7" eb="10">
      <t>フクシカイ</t>
    </rPh>
    <phoneticPr fontId="2"/>
  </si>
  <si>
    <t>(福)あげお福祉会</t>
    <rPh sb="6" eb="9">
      <t>フクシカイ</t>
    </rPh>
    <phoneticPr fontId="2"/>
  </si>
  <si>
    <t>(福)一粒</t>
    <rPh sb="3" eb="5">
      <t>ヒトツブ</t>
    </rPh>
    <phoneticPr fontId="2"/>
  </si>
  <si>
    <t>(福)戸田わかくさ会</t>
    <rPh sb="3" eb="5">
      <t>トダ</t>
    </rPh>
    <rPh sb="9" eb="10">
      <t>カイ</t>
    </rPh>
    <phoneticPr fontId="2"/>
  </si>
  <si>
    <t>西武新宿線新所沢駅東口から西武フラワーヒル行バス「十四軒」下車徒歩2分</t>
    <rPh sb="0" eb="2">
      <t>セイブ</t>
    </rPh>
    <rPh sb="2" eb="4">
      <t>シンジュク</t>
    </rPh>
    <rPh sb="4" eb="5">
      <t>セン</t>
    </rPh>
    <rPh sb="5" eb="8">
      <t>シントコロザワ</t>
    </rPh>
    <rPh sb="8" eb="9">
      <t>エキ</t>
    </rPh>
    <rPh sb="9" eb="11">
      <t>ヒガシグチ</t>
    </rPh>
    <rPh sb="13" eb="15">
      <t>セイブ</t>
    </rPh>
    <rPh sb="21" eb="22">
      <t>イ</t>
    </rPh>
    <rPh sb="25" eb="27">
      <t>ジュウシ</t>
    </rPh>
    <rPh sb="27" eb="28">
      <t>ケン</t>
    </rPh>
    <rPh sb="29" eb="31">
      <t>ゲシャ</t>
    </rPh>
    <rPh sb="31" eb="33">
      <t>トホ</t>
    </rPh>
    <rPh sb="34" eb="35">
      <t>フン</t>
    </rPh>
    <phoneticPr fontId="2"/>
  </si>
  <si>
    <t>(福)志木市社会福祉協議会</t>
    <rPh sb="3" eb="6">
      <t>シキシ</t>
    </rPh>
    <rPh sb="6" eb="8">
      <t>シャカイ</t>
    </rPh>
    <rPh sb="8" eb="10">
      <t>フクシ</t>
    </rPh>
    <rPh sb="10" eb="13">
      <t>キョウギカイ</t>
    </rPh>
    <phoneticPr fontId="2"/>
  </si>
  <si>
    <t>(福)めぐみ会</t>
    <rPh sb="6" eb="7">
      <t>カイ</t>
    </rPh>
    <phoneticPr fontId="2"/>
  </si>
  <si>
    <t>(福)入間東部福祉会</t>
    <rPh sb="3" eb="5">
      <t>イルマ</t>
    </rPh>
    <rPh sb="5" eb="7">
      <t>トウブ</t>
    </rPh>
    <rPh sb="7" eb="10">
      <t>フクシカイ</t>
    </rPh>
    <phoneticPr fontId="2"/>
  </si>
  <si>
    <t>(福)所沢しいのき会</t>
    <rPh sb="3" eb="5">
      <t>トコロザワ</t>
    </rPh>
    <rPh sb="9" eb="10">
      <t>カイ</t>
    </rPh>
    <phoneticPr fontId="2"/>
  </si>
  <si>
    <t>(特非)ゆうき福祉会</t>
    <rPh sb="7" eb="10">
      <t>フクシカイ</t>
    </rPh>
    <phoneticPr fontId="2"/>
  </si>
  <si>
    <t>(福)皆成会</t>
    <rPh sb="3" eb="6">
      <t>カイセイカイ</t>
    </rPh>
    <phoneticPr fontId="2"/>
  </si>
  <si>
    <t>(福)安心会</t>
    <rPh sb="3" eb="5">
      <t>アンシン</t>
    </rPh>
    <rPh sb="5" eb="6">
      <t>カイ</t>
    </rPh>
    <phoneticPr fontId="2"/>
  </si>
  <si>
    <t>(福)おぶすま福祉会</t>
    <rPh sb="7" eb="10">
      <t>フクシカイ</t>
    </rPh>
    <phoneticPr fontId="2"/>
  </si>
  <si>
    <t>(福)茶の花福祉会</t>
    <rPh sb="3" eb="4">
      <t>チャ</t>
    </rPh>
    <rPh sb="5" eb="6">
      <t>ハナ</t>
    </rPh>
    <rPh sb="6" eb="9">
      <t>フクシカイ</t>
    </rPh>
    <phoneticPr fontId="2"/>
  </si>
  <si>
    <t>(福)創和</t>
    <rPh sb="3" eb="5">
      <t>ソウワ</t>
    </rPh>
    <phoneticPr fontId="2"/>
  </si>
  <si>
    <t>(福)ゆいの里福祉会</t>
    <rPh sb="6" eb="7">
      <t>サト</t>
    </rPh>
    <rPh sb="7" eb="10">
      <t>フクシカイ</t>
    </rPh>
    <phoneticPr fontId="2"/>
  </si>
  <si>
    <t>(福)黎明会</t>
    <rPh sb="3" eb="5">
      <t>レイメイ</t>
    </rPh>
    <rPh sb="5" eb="6">
      <t>カイ</t>
    </rPh>
    <phoneticPr fontId="2"/>
  </si>
  <si>
    <t>(特非)自立生活センター遊ＴＯピア</t>
    <rPh sb="4" eb="6">
      <t>ジリツ</t>
    </rPh>
    <rPh sb="6" eb="8">
      <t>セイカツ</t>
    </rPh>
    <rPh sb="12" eb="13">
      <t>ユウ</t>
    </rPh>
    <phoneticPr fontId="2"/>
  </si>
  <si>
    <t>(福)埼玉のぞみの園</t>
    <rPh sb="3" eb="5">
      <t>サイタマ</t>
    </rPh>
    <rPh sb="9" eb="10">
      <t>ソノ</t>
    </rPh>
    <phoneticPr fontId="2"/>
  </si>
  <si>
    <t>(福)たんぽぽ福祉会</t>
    <rPh sb="7" eb="10">
      <t>フクシカイ</t>
    </rPh>
    <phoneticPr fontId="2"/>
  </si>
  <si>
    <t>(福)昴</t>
    <rPh sb="3" eb="4">
      <t>スバル</t>
    </rPh>
    <phoneticPr fontId="2"/>
  </si>
  <si>
    <t>(特非)みんなの風福祉会</t>
    <rPh sb="8" eb="9">
      <t>カゼ</t>
    </rPh>
    <rPh sb="9" eb="12">
      <t>フクシカイ</t>
    </rPh>
    <phoneticPr fontId="2"/>
  </si>
  <si>
    <t>風舎</t>
    <rPh sb="0" eb="1">
      <t>カゼ</t>
    </rPh>
    <rPh sb="1" eb="2">
      <t>シャ</t>
    </rPh>
    <phoneticPr fontId="2"/>
  </si>
  <si>
    <t>中央区桜丘1-1891-1</t>
    <rPh sb="0" eb="3">
      <t>チュウオウク</t>
    </rPh>
    <rPh sb="3" eb="5">
      <t>サクラオカ</t>
    </rPh>
    <phoneticPr fontId="2"/>
  </si>
  <si>
    <t>国</t>
    <rPh sb="0" eb="1">
      <t>クニ</t>
    </rPh>
    <phoneticPr fontId="2"/>
  </si>
  <si>
    <t>宿泊</t>
    <rPh sb="0" eb="2">
      <t>シュクハク</t>
    </rPh>
    <phoneticPr fontId="2"/>
  </si>
  <si>
    <t>高崎線熊谷駅北口から妻沼行又は太田西小泉行バス「報恩寺」下車徒歩10分</t>
    <rPh sb="0" eb="2">
      <t>タカサキ</t>
    </rPh>
    <rPh sb="2" eb="3">
      <t>セン</t>
    </rPh>
    <rPh sb="3" eb="5">
      <t>クマガヤ</t>
    </rPh>
    <rPh sb="5" eb="6">
      <t>エキ</t>
    </rPh>
    <rPh sb="6" eb="8">
      <t>キタグチ</t>
    </rPh>
    <rPh sb="10" eb="12">
      <t>メヌマ</t>
    </rPh>
    <rPh sb="12" eb="13">
      <t>イ</t>
    </rPh>
    <rPh sb="13" eb="14">
      <t>マタ</t>
    </rPh>
    <rPh sb="15" eb="17">
      <t>オオタ</t>
    </rPh>
    <rPh sb="17" eb="18">
      <t>ニシ</t>
    </rPh>
    <rPh sb="18" eb="20">
      <t>コイズミ</t>
    </rPh>
    <rPh sb="20" eb="21">
      <t>イ</t>
    </rPh>
    <rPh sb="24" eb="26">
      <t>ホウオン</t>
    </rPh>
    <rPh sb="26" eb="27">
      <t>ジ</t>
    </rPh>
    <rPh sb="28" eb="30">
      <t>ゲシャ</t>
    </rPh>
    <rPh sb="30" eb="32">
      <t>トホ</t>
    </rPh>
    <rPh sb="34" eb="35">
      <t>プン</t>
    </rPh>
    <phoneticPr fontId="2"/>
  </si>
  <si>
    <t>本石2-146</t>
    <rPh sb="0" eb="2">
      <t>モトイシ</t>
    </rPh>
    <phoneticPr fontId="2"/>
  </si>
  <si>
    <t>048-525-5623</t>
    <phoneticPr fontId="2"/>
  </si>
  <si>
    <t>妻沼小島2058-1</t>
    <rPh sb="0" eb="2">
      <t>メヌマ</t>
    </rPh>
    <rPh sb="2" eb="4">
      <t>コジマ</t>
    </rPh>
    <phoneticPr fontId="2"/>
  </si>
  <si>
    <t>高崎線熊谷駅下車タクシー40分</t>
    <rPh sb="0" eb="2">
      <t>タカサキ</t>
    </rPh>
    <rPh sb="2" eb="3">
      <t>セン</t>
    </rPh>
    <rPh sb="3" eb="5">
      <t>クマガヤ</t>
    </rPh>
    <rPh sb="5" eb="6">
      <t>エキ</t>
    </rPh>
    <rPh sb="6" eb="8">
      <t>ゲシャ</t>
    </rPh>
    <rPh sb="14" eb="15">
      <t>プン</t>
    </rPh>
    <phoneticPr fontId="2"/>
  </si>
  <si>
    <t>比企郡嵐山町</t>
    <phoneticPr fontId="2"/>
  </si>
  <si>
    <t>鎌形1340-3</t>
    <phoneticPr fontId="2"/>
  </si>
  <si>
    <t>0493-63-0151</t>
    <phoneticPr fontId="2"/>
  </si>
  <si>
    <t>0493-63-0141</t>
    <phoneticPr fontId="2"/>
  </si>
  <si>
    <t>デイセンターウィズ</t>
    <phoneticPr fontId="2"/>
  </si>
  <si>
    <t>東武東上線武蔵嵐山駅下車徒歩25分</t>
    <rPh sb="0" eb="2">
      <t>トウブ</t>
    </rPh>
    <rPh sb="2" eb="4">
      <t>トウジョウ</t>
    </rPh>
    <rPh sb="4" eb="5">
      <t>セン</t>
    </rPh>
    <rPh sb="5" eb="7">
      <t>ムサシ</t>
    </rPh>
    <rPh sb="7" eb="9">
      <t>ランザン</t>
    </rPh>
    <rPh sb="9" eb="10">
      <t>エキ</t>
    </rPh>
    <rPh sb="10" eb="12">
      <t>ゲシャ</t>
    </rPh>
    <rPh sb="12" eb="14">
      <t>トホ</t>
    </rPh>
    <rPh sb="16" eb="17">
      <t>フン</t>
    </rPh>
    <phoneticPr fontId="2"/>
  </si>
  <si>
    <t>ワーク＆ライクのびっこ</t>
    <phoneticPr fontId="2"/>
  </si>
  <si>
    <t>比企郡川島町</t>
    <phoneticPr fontId="2"/>
  </si>
  <si>
    <t>下八ツ林871-5</t>
    <phoneticPr fontId="2"/>
  </si>
  <si>
    <t>049-297-7405</t>
    <phoneticPr fontId="2"/>
  </si>
  <si>
    <t>049-297-7461</t>
    <phoneticPr fontId="2"/>
  </si>
  <si>
    <t>東武東上線東松山駅から熊谷行バス「藤山」下車徒歩30分</t>
    <rPh sb="0" eb="2">
      <t>トウブ</t>
    </rPh>
    <rPh sb="2" eb="4">
      <t>トウジョウ</t>
    </rPh>
    <rPh sb="4" eb="5">
      <t>セン</t>
    </rPh>
    <rPh sb="5" eb="8">
      <t>ヒガシマツヤマ</t>
    </rPh>
    <rPh sb="8" eb="9">
      <t>エキ</t>
    </rPh>
    <rPh sb="11" eb="13">
      <t>クマガヤ</t>
    </rPh>
    <rPh sb="13" eb="14">
      <t>イ</t>
    </rPh>
    <rPh sb="17" eb="19">
      <t>フジヤマ</t>
    </rPh>
    <rPh sb="20" eb="22">
      <t>ゲシャ</t>
    </rPh>
    <rPh sb="22" eb="24">
      <t>トホ</t>
    </rPh>
    <rPh sb="26" eb="27">
      <t>フン</t>
    </rPh>
    <phoneticPr fontId="2"/>
  </si>
  <si>
    <t>○</t>
    <phoneticPr fontId="2"/>
  </si>
  <si>
    <t>小松原町17-19</t>
    <rPh sb="0" eb="4">
      <t>コマツバラチョウ</t>
    </rPh>
    <phoneticPr fontId="2"/>
  </si>
  <si>
    <t>秩父鉄道東行田駅下車徒歩20分</t>
    <rPh sb="0" eb="2">
      <t>チチブ</t>
    </rPh>
    <rPh sb="2" eb="4">
      <t>テツドウ</t>
    </rPh>
    <rPh sb="4" eb="7">
      <t>ヒガシギョウダ</t>
    </rPh>
    <rPh sb="7" eb="8">
      <t>エキ</t>
    </rPh>
    <rPh sb="8" eb="10">
      <t>ゲシャ</t>
    </rPh>
    <rPh sb="10" eb="12">
      <t>トホ</t>
    </rPh>
    <rPh sb="14" eb="15">
      <t>プン</t>
    </rPh>
    <phoneticPr fontId="2"/>
  </si>
  <si>
    <t>レイズアップ</t>
    <phoneticPr fontId="2"/>
  </si>
  <si>
    <t>前谷504-1</t>
    <rPh sb="0" eb="2">
      <t>マエヤ</t>
    </rPh>
    <phoneticPr fontId="2"/>
  </si>
  <si>
    <t>048-594-6113</t>
    <phoneticPr fontId="2"/>
  </si>
  <si>
    <t>048-594-6114</t>
    <phoneticPr fontId="2"/>
  </si>
  <si>
    <t>緑町13-31</t>
    <rPh sb="0" eb="1">
      <t>ミドリ</t>
    </rPh>
    <rPh sb="1" eb="2">
      <t>マチ</t>
    </rPh>
    <phoneticPr fontId="2"/>
  </si>
  <si>
    <t>東武伊勢崎線南羽生駅下車徒歩25分</t>
    <rPh sb="0" eb="2">
      <t>トウブ</t>
    </rPh>
    <rPh sb="2" eb="5">
      <t>イセサキ</t>
    </rPh>
    <rPh sb="5" eb="6">
      <t>セン</t>
    </rPh>
    <rPh sb="6" eb="9">
      <t>ミナミハニュウ</t>
    </rPh>
    <rPh sb="9" eb="10">
      <t>エキ</t>
    </rPh>
    <rPh sb="10" eb="12">
      <t>ゲシャ</t>
    </rPh>
    <rPh sb="12" eb="14">
      <t>トホ</t>
    </rPh>
    <rPh sb="16" eb="17">
      <t>フン</t>
    </rPh>
    <phoneticPr fontId="2"/>
  </si>
  <si>
    <t>(福)新</t>
    <rPh sb="3" eb="4">
      <t>アラタ</t>
    </rPh>
    <phoneticPr fontId="2"/>
  </si>
  <si>
    <t>羽生市</t>
    <phoneticPr fontId="2"/>
  </si>
  <si>
    <t>048-565-1646</t>
    <phoneticPr fontId="2"/>
  </si>
  <si>
    <t>チューリップ</t>
    <phoneticPr fontId="2"/>
  </si>
  <si>
    <t>上手子林467</t>
    <rPh sb="0" eb="4">
      <t>カミテコバヤシ</t>
    </rPh>
    <phoneticPr fontId="2"/>
  </si>
  <si>
    <t>048-563-4060</t>
    <phoneticPr fontId="2"/>
  </si>
  <si>
    <t>048-562-4045</t>
    <phoneticPr fontId="2"/>
  </si>
  <si>
    <t>高崎線岡部駅下車タクシー10分</t>
    <rPh sb="0" eb="2">
      <t>タカサキ</t>
    </rPh>
    <rPh sb="2" eb="3">
      <t>セン</t>
    </rPh>
    <rPh sb="3" eb="5">
      <t>オカベ</t>
    </rPh>
    <rPh sb="5" eb="6">
      <t>エキ</t>
    </rPh>
    <rPh sb="6" eb="8">
      <t>ゲシャ</t>
    </rPh>
    <rPh sb="14" eb="15">
      <t>フン</t>
    </rPh>
    <phoneticPr fontId="2"/>
  </si>
  <si>
    <t>アナン</t>
    <phoneticPr fontId="2"/>
  </si>
  <si>
    <t>高崎線本庄駅から寄居行バス「小茂田」下車徒歩5分</t>
    <rPh sb="0" eb="2">
      <t>タカサキ</t>
    </rPh>
    <rPh sb="2" eb="3">
      <t>セン</t>
    </rPh>
    <rPh sb="3" eb="5">
      <t>ホンジョウ</t>
    </rPh>
    <rPh sb="5" eb="6">
      <t>エキ</t>
    </rPh>
    <rPh sb="8" eb="10">
      <t>ヨリイ</t>
    </rPh>
    <rPh sb="10" eb="11">
      <t>イ</t>
    </rPh>
    <rPh sb="14" eb="17">
      <t>コモダ</t>
    </rPh>
    <rPh sb="18" eb="20">
      <t>ゲシャ</t>
    </rPh>
    <rPh sb="20" eb="22">
      <t>トホ</t>
    </rPh>
    <rPh sb="23" eb="24">
      <t>フン</t>
    </rPh>
    <phoneticPr fontId="2"/>
  </si>
  <si>
    <t>高崎線熊谷駅から森林公園行バス「文殊寺」下車徒歩15分</t>
    <rPh sb="0" eb="2">
      <t>タカサキ</t>
    </rPh>
    <rPh sb="2" eb="3">
      <t>セン</t>
    </rPh>
    <rPh sb="3" eb="5">
      <t>クマガヤ</t>
    </rPh>
    <rPh sb="5" eb="6">
      <t>エキ</t>
    </rPh>
    <rPh sb="8" eb="10">
      <t>シンリン</t>
    </rPh>
    <rPh sb="10" eb="12">
      <t>コウエン</t>
    </rPh>
    <rPh sb="12" eb="13">
      <t>イ</t>
    </rPh>
    <rPh sb="16" eb="18">
      <t>モンジュ</t>
    </rPh>
    <rPh sb="18" eb="19">
      <t>ジ</t>
    </rPh>
    <rPh sb="20" eb="22">
      <t>ゲシャ</t>
    </rPh>
    <rPh sb="22" eb="24">
      <t>トホ</t>
    </rPh>
    <rPh sb="26" eb="27">
      <t>フン</t>
    </rPh>
    <phoneticPr fontId="2"/>
  </si>
  <si>
    <t>大里郡寄居町</t>
    <phoneticPr fontId="2"/>
  </si>
  <si>
    <t>藤田322-1</t>
    <phoneticPr fontId="2"/>
  </si>
  <si>
    <t>048-581-5868</t>
    <phoneticPr fontId="2"/>
  </si>
  <si>
    <t>048-581-8868</t>
    <phoneticPr fontId="2"/>
  </si>
  <si>
    <t>寄居駅下車徒歩20分</t>
    <rPh sb="0" eb="2">
      <t>ヨリイ</t>
    </rPh>
    <rPh sb="2" eb="3">
      <t>エキ</t>
    </rPh>
    <rPh sb="3" eb="5">
      <t>ゲシャ</t>
    </rPh>
    <rPh sb="5" eb="7">
      <t>トホ</t>
    </rPh>
    <rPh sb="9" eb="10">
      <t>プン</t>
    </rPh>
    <phoneticPr fontId="2"/>
  </si>
  <si>
    <t>寄居駅下車タクシー15分</t>
    <rPh sb="0" eb="2">
      <t>ヨリイ</t>
    </rPh>
    <rPh sb="2" eb="3">
      <t>エキ</t>
    </rPh>
    <rPh sb="3" eb="5">
      <t>ゲシャ</t>
    </rPh>
    <rPh sb="11" eb="12">
      <t>フン</t>
    </rPh>
    <phoneticPr fontId="2"/>
  </si>
  <si>
    <t>秩父鉄道波久礼駅下車徒歩10分</t>
    <rPh sb="0" eb="2">
      <t>チチブ</t>
    </rPh>
    <rPh sb="2" eb="4">
      <t>テツドウ</t>
    </rPh>
    <rPh sb="4" eb="7">
      <t>ハグレ</t>
    </rPh>
    <rPh sb="7" eb="8">
      <t>エキ</t>
    </rPh>
    <rPh sb="8" eb="10">
      <t>ゲシャ</t>
    </rPh>
    <rPh sb="10" eb="12">
      <t>トホ</t>
    </rPh>
    <rPh sb="14" eb="15">
      <t>プン</t>
    </rPh>
    <phoneticPr fontId="2"/>
  </si>
  <si>
    <t>秩父鉄道武川駅下車タクシー10分</t>
    <rPh sb="0" eb="2">
      <t>チチブ</t>
    </rPh>
    <rPh sb="2" eb="4">
      <t>テツドウ</t>
    </rPh>
    <rPh sb="4" eb="6">
      <t>タケカワ</t>
    </rPh>
    <rPh sb="6" eb="7">
      <t>エキ</t>
    </rPh>
    <rPh sb="7" eb="9">
      <t>ゲシャ</t>
    </rPh>
    <rPh sb="15" eb="16">
      <t>プン</t>
    </rPh>
    <phoneticPr fontId="2"/>
  </si>
  <si>
    <t>-</t>
    <phoneticPr fontId="2"/>
  </si>
  <si>
    <t>高崎線深谷駅から寄居行バス「人見」下車徒歩12分</t>
    <rPh sb="0" eb="2">
      <t>タカサキ</t>
    </rPh>
    <rPh sb="2" eb="3">
      <t>セン</t>
    </rPh>
    <rPh sb="3" eb="5">
      <t>フカヤ</t>
    </rPh>
    <rPh sb="5" eb="6">
      <t>エキ</t>
    </rPh>
    <rPh sb="8" eb="10">
      <t>ヨリイ</t>
    </rPh>
    <rPh sb="10" eb="11">
      <t>イ</t>
    </rPh>
    <rPh sb="14" eb="16">
      <t>ヒトミ</t>
    </rPh>
    <rPh sb="17" eb="19">
      <t>ゲシャ</t>
    </rPh>
    <rPh sb="19" eb="21">
      <t>トホ</t>
    </rPh>
    <rPh sb="23" eb="24">
      <t>フン</t>
    </rPh>
    <phoneticPr fontId="2"/>
  </si>
  <si>
    <t>熊谷駅から循環器呼吸器病センター行バス終点下車徒歩25分</t>
    <rPh sb="0" eb="2">
      <t>クマガヤ</t>
    </rPh>
    <rPh sb="2" eb="3">
      <t>エキ</t>
    </rPh>
    <rPh sb="5" eb="8">
      <t>ジュンカンキ</t>
    </rPh>
    <rPh sb="8" eb="12">
      <t>コキュウキビョウ</t>
    </rPh>
    <rPh sb="16" eb="17">
      <t>イ</t>
    </rPh>
    <rPh sb="19" eb="21">
      <t>シュウテン</t>
    </rPh>
    <rPh sb="21" eb="23">
      <t>ゲシャ</t>
    </rPh>
    <rPh sb="23" eb="25">
      <t>トホ</t>
    </rPh>
    <rPh sb="27" eb="28">
      <t>フン</t>
    </rPh>
    <phoneticPr fontId="2"/>
  </si>
  <si>
    <t>ワークショップ・チボリ</t>
    <phoneticPr fontId="2"/>
  </si>
  <si>
    <t>深谷市</t>
    <phoneticPr fontId="2"/>
  </si>
  <si>
    <t>山河1058-3</t>
    <phoneticPr fontId="2"/>
  </si>
  <si>
    <t>048-585-1412</t>
    <phoneticPr fontId="2"/>
  </si>
  <si>
    <t>048-585-1499</t>
    <phoneticPr fontId="2"/>
  </si>
  <si>
    <t>東大沢3-2-5</t>
    <rPh sb="0" eb="1">
      <t>ヒガシ</t>
    </rPh>
    <rPh sb="1" eb="3">
      <t>オオサワ</t>
    </rPh>
    <phoneticPr fontId="2"/>
  </si>
  <si>
    <t>東武伊勢崎線北越谷駅東口より老人福祉センター行茨城急行バス「さぎたか第二公園」下車徒歩1分</t>
    <rPh sb="0" eb="2">
      <t>トウブ</t>
    </rPh>
    <rPh sb="2" eb="5">
      <t>イセサキ</t>
    </rPh>
    <rPh sb="5" eb="6">
      <t>セン</t>
    </rPh>
    <rPh sb="6" eb="9">
      <t>キタコシガヤ</t>
    </rPh>
    <rPh sb="9" eb="10">
      <t>エキ</t>
    </rPh>
    <rPh sb="10" eb="12">
      <t>ヒガシグチ</t>
    </rPh>
    <rPh sb="14" eb="16">
      <t>ロウジン</t>
    </rPh>
    <rPh sb="16" eb="18">
      <t>フクシ</t>
    </rPh>
    <rPh sb="22" eb="23">
      <t>イ</t>
    </rPh>
    <rPh sb="34" eb="36">
      <t>ダイニ</t>
    </rPh>
    <rPh sb="36" eb="38">
      <t>コウエン</t>
    </rPh>
    <rPh sb="39" eb="41">
      <t>ゲシャ</t>
    </rPh>
    <rPh sb="41" eb="43">
      <t>トホ</t>
    </rPh>
    <rPh sb="44" eb="45">
      <t>フン</t>
    </rPh>
    <phoneticPr fontId="2"/>
  </si>
  <si>
    <t>(福)川越にじの会</t>
  </si>
  <si>
    <t>川越市</t>
    <phoneticPr fontId="2"/>
  </si>
  <si>
    <t>古谷本郷992</t>
    <phoneticPr fontId="2"/>
  </si>
  <si>
    <t>049-236-0666</t>
    <phoneticPr fontId="2"/>
  </si>
  <si>
    <t>049-236-0665</t>
    <phoneticPr fontId="2"/>
  </si>
  <si>
    <t>にじの家</t>
    <rPh sb="3" eb="4">
      <t>イエ</t>
    </rPh>
    <phoneticPr fontId="2"/>
  </si>
  <si>
    <t>○</t>
    <phoneticPr fontId="2"/>
  </si>
  <si>
    <t>○</t>
    <phoneticPr fontId="2"/>
  </si>
  <si>
    <t>(福)昴</t>
    <rPh sb="0" eb="3">
      <t>フク</t>
    </rPh>
    <rPh sb="3" eb="4">
      <t>スバル</t>
    </rPh>
    <phoneticPr fontId="2"/>
  </si>
  <si>
    <t>アドヴァンス</t>
    <phoneticPr fontId="2"/>
  </si>
  <si>
    <t>大谷590</t>
    <rPh sb="0" eb="2">
      <t>オオヤ</t>
    </rPh>
    <phoneticPr fontId="2"/>
  </si>
  <si>
    <t>0493-39-1131</t>
    <phoneticPr fontId="2"/>
  </si>
  <si>
    <t>0493-39-1248</t>
    <phoneticPr fontId="2"/>
  </si>
  <si>
    <t>東松山駅下車タクシー20分</t>
    <rPh sb="0" eb="3">
      <t>ヒガシマツヤマ</t>
    </rPh>
    <rPh sb="3" eb="4">
      <t>エキ</t>
    </rPh>
    <rPh sb="4" eb="6">
      <t>ゲシャ</t>
    </rPh>
    <rPh sb="12" eb="13">
      <t>プン</t>
    </rPh>
    <phoneticPr fontId="2"/>
  </si>
  <si>
    <t>武蔵浦和駅下車徒歩10分</t>
    <rPh sb="0" eb="2">
      <t>ムサシ</t>
    </rPh>
    <rPh sb="2" eb="4">
      <t>ウラワ</t>
    </rPh>
    <rPh sb="4" eb="5">
      <t>エキ</t>
    </rPh>
    <rPh sb="5" eb="7">
      <t>ゲシャ</t>
    </rPh>
    <rPh sb="7" eb="9">
      <t>トホ</t>
    </rPh>
    <rPh sb="11" eb="12">
      <t>プン</t>
    </rPh>
    <phoneticPr fontId="2"/>
  </si>
  <si>
    <t>西部</t>
    <rPh sb="0" eb="2">
      <t>セイブ</t>
    </rPh>
    <phoneticPr fontId="2"/>
  </si>
  <si>
    <t>北部</t>
    <rPh sb="0" eb="2">
      <t>ホクブ</t>
    </rPh>
    <phoneticPr fontId="2"/>
  </si>
  <si>
    <t>東部</t>
    <rPh sb="0" eb="2">
      <t>トウブ</t>
    </rPh>
    <phoneticPr fontId="2"/>
  </si>
  <si>
    <t>(福)翠浩会</t>
  </si>
  <si>
    <t>(福)埼玉県社会福祉事業団</t>
  </si>
  <si>
    <t>(福)埼玉朝日会</t>
  </si>
  <si>
    <t>(福)平徳会</t>
  </si>
  <si>
    <t>(福)杉風会</t>
  </si>
  <si>
    <t>(福)藤の実会</t>
  </si>
  <si>
    <t>(福)いずみ会</t>
  </si>
  <si>
    <t>(福)朝霞地区福祉会</t>
  </si>
  <si>
    <t>(福)銀杏会</t>
  </si>
  <si>
    <t>(福)かがやきの会</t>
  </si>
  <si>
    <t>(福)幸仁会</t>
  </si>
  <si>
    <t>(福)葭の里</t>
  </si>
  <si>
    <t>(福)恩賜財団済生会支部埼玉県済生会</t>
    <rPh sb="3" eb="5">
      <t>オンシ</t>
    </rPh>
    <rPh sb="5" eb="7">
      <t>ザイダン</t>
    </rPh>
    <rPh sb="7" eb="10">
      <t>サイセイカイ</t>
    </rPh>
    <rPh sb="10" eb="12">
      <t>シブ</t>
    </rPh>
    <rPh sb="12" eb="15">
      <t>サイタマケン</t>
    </rPh>
    <rPh sb="15" eb="18">
      <t>サイセイカイ</t>
    </rPh>
    <phoneticPr fontId="2"/>
  </si>
  <si>
    <t>八幡田868-1</t>
    <rPh sb="0" eb="2">
      <t>ハチマン</t>
    </rPh>
    <rPh sb="2" eb="3">
      <t>タ</t>
    </rPh>
    <phoneticPr fontId="2"/>
  </si>
  <si>
    <t>新光苑</t>
    <phoneticPr fontId="2"/>
  </si>
  <si>
    <t>熊谷市</t>
    <phoneticPr fontId="2"/>
  </si>
  <si>
    <t>羽生市</t>
    <phoneticPr fontId="2"/>
  </si>
  <si>
    <t>皆光園</t>
    <phoneticPr fontId="2"/>
  </si>
  <si>
    <t>埼玉朝日園</t>
    <phoneticPr fontId="2"/>
  </si>
  <si>
    <t>こしがや希望の里</t>
    <phoneticPr fontId="2"/>
  </si>
  <si>
    <t>越谷市</t>
    <phoneticPr fontId="2"/>
  </si>
  <si>
    <t>庄内</t>
    <phoneticPr fontId="2"/>
  </si>
  <si>
    <t>北葛飾郡杉戸町</t>
    <phoneticPr fontId="2"/>
  </si>
  <si>
    <t>所沢市</t>
    <phoneticPr fontId="2"/>
  </si>
  <si>
    <t>西山荘</t>
    <phoneticPr fontId="2"/>
  </si>
  <si>
    <t>比企郡鳩山町</t>
    <phoneticPr fontId="2"/>
  </si>
  <si>
    <t>すずらん</t>
    <phoneticPr fontId="2"/>
  </si>
  <si>
    <t>志木市</t>
    <phoneticPr fontId="2"/>
  </si>
  <si>
    <t>ゆめみ野工房</t>
    <phoneticPr fontId="2"/>
  </si>
  <si>
    <t>北葛飾郡松伏町</t>
    <phoneticPr fontId="2"/>
  </si>
  <si>
    <t>小島527</t>
    <phoneticPr fontId="2"/>
  </si>
  <si>
    <t>048-532-0665</t>
    <phoneticPr fontId="2"/>
  </si>
  <si>
    <t>048-532-7794</t>
    <phoneticPr fontId="2"/>
  </si>
  <si>
    <t>048-565-1311</t>
    <phoneticPr fontId="2"/>
  </si>
  <si>
    <t>048-565-3337</t>
    <phoneticPr fontId="2"/>
  </si>
  <si>
    <t>深谷市</t>
    <phoneticPr fontId="2"/>
  </si>
  <si>
    <t>人見1998</t>
    <phoneticPr fontId="2"/>
  </si>
  <si>
    <t>048-573-2021</t>
    <phoneticPr fontId="2"/>
  </si>
  <si>
    <t>048-573-2022</t>
    <phoneticPr fontId="2"/>
  </si>
  <si>
    <t>本田3512-1</t>
    <phoneticPr fontId="2"/>
  </si>
  <si>
    <t>048-583-3416</t>
    <phoneticPr fontId="2"/>
  </si>
  <si>
    <t>048-583-6688</t>
    <phoneticPr fontId="2"/>
  </si>
  <si>
    <t>向畑231</t>
    <phoneticPr fontId="2"/>
  </si>
  <si>
    <t>048-978-2111</t>
    <phoneticPr fontId="2"/>
  </si>
  <si>
    <t>048-978-2500</t>
    <phoneticPr fontId="2"/>
  </si>
  <si>
    <t>才羽113</t>
    <phoneticPr fontId="2"/>
  </si>
  <si>
    <t>0480-38-1118</t>
    <phoneticPr fontId="2"/>
  </si>
  <si>
    <t>0480-38-1571</t>
    <phoneticPr fontId="2"/>
  </si>
  <si>
    <t>大橋44-1</t>
    <phoneticPr fontId="2"/>
  </si>
  <si>
    <t>049-296-5775</t>
    <phoneticPr fontId="2"/>
  </si>
  <si>
    <t>049-296-6188</t>
    <phoneticPr fontId="2"/>
  </si>
  <si>
    <t>下宗岡1-23-1</t>
    <phoneticPr fontId="2"/>
  </si>
  <si>
    <t>048-470-3216</t>
    <phoneticPr fontId="2"/>
  </si>
  <si>
    <t>048-471-7110</t>
    <phoneticPr fontId="2"/>
  </si>
  <si>
    <t>ゆめみ野東3-14-10</t>
    <phoneticPr fontId="2"/>
  </si>
  <si>
    <t>048-993-1110</t>
    <phoneticPr fontId="2"/>
  </si>
  <si>
    <t>048-993-1112</t>
    <phoneticPr fontId="2"/>
  </si>
  <si>
    <t>かがやき共同作業所</t>
    <phoneticPr fontId="2"/>
  </si>
  <si>
    <t>行田市</t>
    <phoneticPr fontId="2"/>
  </si>
  <si>
    <t>野1368ー1</t>
    <phoneticPr fontId="2"/>
  </si>
  <si>
    <t>048-559-1034</t>
    <phoneticPr fontId="2"/>
  </si>
  <si>
    <t>048-559-2424</t>
    <phoneticPr fontId="2"/>
  </si>
  <si>
    <t>川本園</t>
    <phoneticPr fontId="2"/>
  </si>
  <si>
    <t>本田7080-8</t>
    <phoneticPr fontId="2"/>
  </si>
  <si>
    <t>048-583-5908</t>
    <phoneticPr fontId="2"/>
  </si>
  <si>
    <t>048-583-7277</t>
    <phoneticPr fontId="2"/>
  </si>
  <si>
    <t>吉川市</t>
    <phoneticPr fontId="2"/>
  </si>
  <si>
    <t>中井3-177-2</t>
    <phoneticPr fontId="2"/>
  </si>
  <si>
    <t>048-981-8833</t>
    <phoneticPr fontId="2"/>
  </si>
  <si>
    <t>048-981-8855</t>
    <phoneticPr fontId="2"/>
  </si>
  <si>
    <t>048-596-2220</t>
    <phoneticPr fontId="2"/>
  </si>
  <si>
    <t>048-596-7327</t>
    <phoneticPr fontId="2"/>
  </si>
  <si>
    <t>○</t>
    <phoneticPr fontId="2"/>
  </si>
  <si>
    <t>(福)翼会</t>
    <phoneticPr fontId="2"/>
  </si>
  <si>
    <t>わーくほーむ江南</t>
    <rPh sb="6" eb="8">
      <t>コウナン</t>
    </rPh>
    <phoneticPr fontId="2"/>
  </si>
  <si>
    <t>わーくほーむ結</t>
    <rPh sb="6" eb="7">
      <t>ユ</t>
    </rPh>
    <phoneticPr fontId="2"/>
  </si>
  <si>
    <t>板井925-2</t>
    <rPh sb="0" eb="2">
      <t>イタイ</t>
    </rPh>
    <phoneticPr fontId="2"/>
  </si>
  <si>
    <t>熊谷駅北口から太田・妻沼行朝日バス「三ツ橋」下車徒歩10分</t>
    <rPh sb="0" eb="2">
      <t>クマガヤ</t>
    </rPh>
    <rPh sb="2" eb="3">
      <t>エキ</t>
    </rPh>
    <rPh sb="3" eb="5">
      <t>キタグチ</t>
    </rPh>
    <rPh sb="7" eb="9">
      <t>オオタ</t>
    </rPh>
    <rPh sb="10" eb="12">
      <t>メヌマ</t>
    </rPh>
    <rPh sb="12" eb="13">
      <t>イ</t>
    </rPh>
    <rPh sb="13" eb="15">
      <t>アサヒ</t>
    </rPh>
    <rPh sb="18" eb="19">
      <t>ミツ</t>
    </rPh>
    <rPh sb="20" eb="21">
      <t>バシ</t>
    </rPh>
    <rPh sb="22" eb="24">
      <t>ゲシャ</t>
    </rPh>
    <rPh sb="24" eb="26">
      <t>トホ</t>
    </rPh>
    <rPh sb="28" eb="29">
      <t>プン</t>
    </rPh>
    <phoneticPr fontId="2"/>
  </si>
  <si>
    <t>(特非)障害者の自立を考えるあしたの会</t>
    <rPh sb="0" eb="4">
      <t>トクヒ</t>
    </rPh>
    <rPh sb="4" eb="7">
      <t>ショウガイシャ</t>
    </rPh>
    <rPh sb="8" eb="10">
      <t>ジリツ</t>
    </rPh>
    <rPh sb="11" eb="12">
      <t>カンガ</t>
    </rPh>
    <rPh sb="18" eb="19">
      <t>カイ</t>
    </rPh>
    <phoneticPr fontId="2"/>
  </si>
  <si>
    <t>蕨市</t>
    <rPh sb="0" eb="2">
      <t>ワラビシ</t>
    </rPh>
    <phoneticPr fontId="2"/>
  </si>
  <si>
    <t>0480-32-5589</t>
    <phoneticPr fontId="2"/>
  </si>
  <si>
    <t>(特非)パレット秩父</t>
    <rPh sb="0" eb="4">
      <t>トクヒ</t>
    </rPh>
    <rPh sb="8" eb="10">
      <t>チチブ</t>
    </rPh>
    <phoneticPr fontId="2"/>
  </si>
  <si>
    <t>パレット秩父</t>
    <rPh sb="4" eb="6">
      <t>チチブ</t>
    </rPh>
    <phoneticPr fontId="2"/>
  </si>
  <si>
    <t>○</t>
    <phoneticPr fontId="2"/>
  </si>
  <si>
    <t>○</t>
    <phoneticPr fontId="2"/>
  </si>
  <si>
    <t>(特非)ＮｏＳｉｄｅ</t>
    <rPh sb="0" eb="4">
      <t>トクヒ</t>
    </rPh>
    <phoneticPr fontId="2"/>
  </si>
  <si>
    <t>ＮｏＳｉｄｅ</t>
    <phoneticPr fontId="2"/>
  </si>
  <si>
    <t>わいわい亭</t>
    <rPh sb="4" eb="5">
      <t>テイ</t>
    </rPh>
    <phoneticPr fontId="2"/>
  </si>
  <si>
    <t>今井130-4</t>
    <rPh sb="0" eb="2">
      <t>イマイ</t>
    </rPh>
    <phoneticPr fontId="2"/>
  </si>
  <si>
    <t>048-520-3337</t>
    <phoneticPr fontId="2"/>
  </si>
  <si>
    <t>048-520-3307</t>
    <phoneticPr fontId="2"/>
  </si>
  <si>
    <t>ひだまり作業所</t>
    <rPh sb="4" eb="7">
      <t>サギョウショ</t>
    </rPh>
    <phoneticPr fontId="2"/>
  </si>
  <si>
    <t>(福)日高市社会福祉協議会</t>
    <rPh sb="0" eb="3">
      <t>フク</t>
    </rPh>
    <rPh sb="3" eb="6">
      <t>ヒダカシ</t>
    </rPh>
    <rPh sb="6" eb="8">
      <t>シャカイ</t>
    </rPh>
    <rPh sb="8" eb="10">
      <t>フクシ</t>
    </rPh>
    <rPh sb="10" eb="13">
      <t>キョウギカイ</t>
    </rPh>
    <phoneticPr fontId="2"/>
  </si>
  <si>
    <t>こまのさと作業所</t>
    <rPh sb="5" eb="8">
      <t>サギョウショ</t>
    </rPh>
    <phoneticPr fontId="2"/>
  </si>
  <si>
    <t>楡木201</t>
    <rPh sb="0" eb="2">
      <t>ニレギ</t>
    </rPh>
    <phoneticPr fontId="2"/>
  </si>
  <si>
    <t>042-985-1411</t>
    <phoneticPr fontId="2"/>
  </si>
  <si>
    <t>○</t>
    <phoneticPr fontId="2"/>
  </si>
  <si>
    <t>高麗川駅から飯能駅行国際興業バス「総合福祉センター」下車徒歩1分</t>
    <rPh sb="0" eb="3">
      <t>コマガワ</t>
    </rPh>
    <rPh sb="3" eb="4">
      <t>エキ</t>
    </rPh>
    <rPh sb="6" eb="8">
      <t>ハンノウ</t>
    </rPh>
    <rPh sb="8" eb="9">
      <t>エキ</t>
    </rPh>
    <rPh sb="9" eb="10">
      <t>イ</t>
    </rPh>
    <rPh sb="10" eb="12">
      <t>コクサイ</t>
    </rPh>
    <rPh sb="12" eb="14">
      <t>コウギョウ</t>
    </rPh>
    <rPh sb="17" eb="19">
      <t>ソウゴウ</t>
    </rPh>
    <rPh sb="19" eb="21">
      <t>フクシ</t>
    </rPh>
    <rPh sb="26" eb="28">
      <t>ゲシャ</t>
    </rPh>
    <rPh sb="28" eb="30">
      <t>トホ</t>
    </rPh>
    <rPh sb="31" eb="32">
      <t>プン</t>
    </rPh>
    <phoneticPr fontId="2"/>
  </si>
  <si>
    <t>SAIFUKU</t>
    <phoneticPr fontId="2"/>
  </si>
  <si>
    <t>(特非)プラウド</t>
    <rPh sb="0" eb="4">
      <t>トクヒ</t>
    </rPh>
    <phoneticPr fontId="2"/>
  </si>
  <si>
    <t>砂久保ファクトリー</t>
    <rPh sb="0" eb="3">
      <t>スナクボ</t>
    </rPh>
    <phoneticPr fontId="2"/>
  </si>
  <si>
    <t>砂久保127-2</t>
    <rPh sb="0" eb="3">
      <t>スナクボ</t>
    </rPh>
    <phoneticPr fontId="2"/>
  </si>
  <si>
    <t>049-293-4577</t>
    <phoneticPr fontId="2"/>
  </si>
  <si>
    <t>049-293-4588</t>
    <phoneticPr fontId="2"/>
  </si>
  <si>
    <t>川越駅から新所沢駅行バス「今福」下車徒歩10分</t>
    <rPh sb="0" eb="2">
      <t>カワゴエ</t>
    </rPh>
    <rPh sb="2" eb="3">
      <t>エキ</t>
    </rPh>
    <rPh sb="5" eb="8">
      <t>シントコロザワ</t>
    </rPh>
    <rPh sb="8" eb="9">
      <t>エキ</t>
    </rPh>
    <rPh sb="9" eb="10">
      <t>イ</t>
    </rPh>
    <rPh sb="13" eb="15">
      <t>イマフク</t>
    </rPh>
    <rPh sb="16" eb="18">
      <t>ゲシャ</t>
    </rPh>
    <rPh sb="18" eb="20">
      <t>トホ</t>
    </rPh>
    <rPh sb="22" eb="23">
      <t>プン</t>
    </rPh>
    <phoneticPr fontId="2"/>
  </si>
  <si>
    <t>高崎線鴻巣駅東口から鴻巣病院への送迎バス有</t>
    <rPh sb="0" eb="3">
      <t>タカサキセン</t>
    </rPh>
    <rPh sb="3" eb="6">
      <t>コウノスエキ</t>
    </rPh>
    <rPh sb="6" eb="8">
      <t>ヒガシグチ</t>
    </rPh>
    <rPh sb="10" eb="12">
      <t>コウノス</t>
    </rPh>
    <rPh sb="12" eb="14">
      <t>ビョウイン</t>
    </rPh>
    <rPh sb="16" eb="18">
      <t>ソウゲイ</t>
    </rPh>
    <rPh sb="20" eb="21">
      <t>アリ</t>
    </rPh>
    <phoneticPr fontId="2"/>
  </si>
  <si>
    <t>042-985-6778</t>
    <phoneticPr fontId="2"/>
  </si>
  <si>
    <t>埼玉県済生会ワークステーションみのり</t>
    <rPh sb="0" eb="3">
      <t>サイタマケン</t>
    </rPh>
    <rPh sb="3" eb="6">
      <t>サイセイカイ</t>
    </rPh>
    <phoneticPr fontId="2"/>
  </si>
  <si>
    <t>048-589-1165</t>
    <phoneticPr fontId="2"/>
  </si>
  <si>
    <t>東武動物公園駅西口下車徒歩15分</t>
    <rPh sb="0" eb="7">
      <t>トウブドウブツコウエンエキ</t>
    </rPh>
    <rPh sb="7" eb="9">
      <t>ニシグチ</t>
    </rPh>
    <rPh sb="9" eb="11">
      <t>ゲシャ</t>
    </rPh>
    <rPh sb="11" eb="13">
      <t>トホ</t>
    </rPh>
    <rPh sb="15" eb="16">
      <t>フン</t>
    </rPh>
    <phoneticPr fontId="2"/>
  </si>
  <si>
    <t>○</t>
    <phoneticPr fontId="2"/>
  </si>
  <si>
    <t>熊谷駅より循環器呼吸器病センター行バス終点下車徒歩20分</t>
    <rPh sb="0" eb="3">
      <t>クマガヤエキ</t>
    </rPh>
    <rPh sb="5" eb="8">
      <t>ジュンカンキ</t>
    </rPh>
    <rPh sb="8" eb="11">
      <t>コキュウキ</t>
    </rPh>
    <rPh sb="11" eb="12">
      <t>ビョウ</t>
    </rPh>
    <rPh sb="16" eb="17">
      <t>イ</t>
    </rPh>
    <rPh sb="19" eb="21">
      <t>シュウテン</t>
    </rPh>
    <rPh sb="21" eb="23">
      <t>ゲシャ</t>
    </rPh>
    <rPh sb="23" eb="25">
      <t>トホ</t>
    </rPh>
    <rPh sb="27" eb="28">
      <t>プン</t>
    </rPh>
    <phoneticPr fontId="2"/>
  </si>
  <si>
    <t>熊谷駅より循環器呼吸器病センター行バス終点下車徒歩5分</t>
    <rPh sb="0" eb="3">
      <t>クマガヤエキ</t>
    </rPh>
    <rPh sb="5" eb="8">
      <t>ジュンカンキ</t>
    </rPh>
    <rPh sb="8" eb="11">
      <t>コキュウキ</t>
    </rPh>
    <rPh sb="11" eb="12">
      <t>ビョウ</t>
    </rPh>
    <rPh sb="16" eb="17">
      <t>イ</t>
    </rPh>
    <rPh sb="19" eb="21">
      <t>シュウテン</t>
    </rPh>
    <rPh sb="21" eb="23">
      <t>ゲシャ</t>
    </rPh>
    <rPh sb="23" eb="25">
      <t>トホ</t>
    </rPh>
    <rPh sb="26" eb="27">
      <t>プン</t>
    </rPh>
    <phoneticPr fontId="2"/>
  </si>
  <si>
    <t>北朝霞(朝霞台)駅から下宗岡循環バス「宝蔵寺」下車徒歩2分</t>
    <rPh sb="0" eb="1">
      <t>キタ</t>
    </rPh>
    <rPh sb="1" eb="3">
      <t>アサカ</t>
    </rPh>
    <rPh sb="4" eb="7">
      <t>アサカダイ</t>
    </rPh>
    <rPh sb="8" eb="9">
      <t>エキ</t>
    </rPh>
    <rPh sb="11" eb="12">
      <t>シモ</t>
    </rPh>
    <rPh sb="12" eb="14">
      <t>ムネオカ</t>
    </rPh>
    <rPh sb="14" eb="16">
      <t>ジュンカン</t>
    </rPh>
    <rPh sb="19" eb="21">
      <t>ホウゾウ</t>
    </rPh>
    <rPh sb="21" eb="22">
      <t>ジ</t>
    </rPh>
    <rPh sb="23" eb="25">
      <t>ゲシャ</t>
    </rPh>
    <rPh sb="25" eb="27">
      <t>トホ</t>
    </rPh>
    <rPh sb="28" eb="29">
      <t>フン</t>
    </rPh>
    <phoneticPr fontId="2"/>
  </si>
  <si>
    <t>高崎線北鴻巣駅下車タクシー10分</t>
    <rPh sb="0" eb="3">
      <t>タカサキセン</t>
    </rPh>
    <rPh sb="3" eb="4">
      <t>キタ</t>
    </rPh>
    <rPh sb="4" eb="7">
      <t>コウノスエキ</t>
    </rPh>
    <rPh sb="7" eb="9">
      <t>ゲシャ</t>
    </rPh>
    <rPh sb="15" eb="16">
      <t>プン</t>
    </rPh>
    <phoneticPr fontId="2"/>
  </si>
  <si>
    <t>道場1-13-50</t>
    <rPh sb="0" eb="2">
      <t>ドウジョウ</t>
    </rPh>
    <phoneticPr fontId="2"/>
  </si>
  <si>
    <t>048-479-8695</t>
    <phoneticPr fontId="2"/>
  </si>
  <si>
    <t>048-483-5061</t>
    <phoneticPr fontId="2"/>
  </si>
  <si>
    <t>東武東上線志木駅よりひばりヶ丘駅行西武バス「堀の内橋」下車徒歩2分</t>
    <rPh sb="0" eb="5">
      <t>トウブトウジョウセン</t>
    </rPh>
    <rPh sb="5" eb="8">
      <t>シキエキ</t>
    </rPh>
    <rPh sb="14" eb="15">
      <t>オカ</t>
    </rPh>
    <rPh sb="15" eb="16">
      <t>エキ</t>
    </rPh>
    <rPh sb="16" eb="17">
      <t>イ</t>
    </rPh>
    <rPh sb="17" eb="19">
      <t>セイブ</t>
    </rPh>
    <rPh sb="22" eb="23">
      <t>ホリ</t>
    </rPh>
    <rPh sb="24" eb="25">
      <t>ウチ</t>
    </rPh>
    <rPh sb="25" eb="26">
      <t>ハシ</t>
    </rPh>
    <rPh sb="27" eb="29">
      <t>ゲシャ</t>
    </rPh>
    <rPh sb="29" eb="31">
      <t>トホ</t>
    </rPh>
    <rPh sb="32" eb="33">
      <t>フン</t>
    </rPh>
    <phoneticPr fontId="2"/>
  </si>
  <si>
    <t>けやきの家</t>
    <rPh sb="4" eb="5">
      <t>イエ</t>
    </rPh>
    <phoneticPr fontId="2"/>
  </si>
  <si>
    <t>0494-24-6163</t>
    <phoneticPr fontId="2"/>
  </si>
  <si>
    <t>○</t>
    <phoneticPr fontId="2"/>
  </si>
  <si>
    <t>中村町3-12-23 秩父市ふれあいセンター内</t>
    <rPh sb="0" eb="3">
      <t>ナカムラチョウ</t>
    </rPh>
    <rPh sb="11" eb="14">
      <t>チチブシ</t>
    </rPh>
    <rPh sb="22" eb="23">
      <t>ナイ</t>
    </rPh>
    <phoneticPr fontId="2"/>
  </si>
  <si>
    <t>らくらく</t>
    <phoneticPr fontId="2"/>
  </si>
  <si>
    <t>中央7-21-8</t>
    <rPh sb="0" eb="2">
      <t>チュウオウ</t>
    </rPh>
    <phoneticPr fontId="2"/>
  </si>
  <si>
    <t>048-431-8815</t>
    <phoneticPr fontId="2"/>
  </si>
  <si>
    <t>京浜東北線蕨駅西口から西川口行国際興業バス「中央7丁目」下車すぐ</t>
    <rPh sb="0" eb="2">
      <t>ケイヒン</t>
    </rPh>
    <rPh sb="2" eb="5">
      <t>トウホクセン</t>
    </rPh>
    <rPh sb="5" eb="7">
      <t>ワラビエキ</t>
    </rPh>
    <rPh sb="7" eb="9">
      <t>ニシグチ</t>
    </rPh>
    <rPh sb="11" eb="14">
      <t>ニシカワグチ</t>
    </rPh>
    <rPh sb="14" eb="15">
      <t>イ</t>
    </rPh>
    <rPh sb="15" eb="17">
      <t>コクサイ</t>
    </rPh>
    <rPh sb="17" eb="19">
      <t>コウギョウ</t>
    </rPh>
    <rPh sb="22" eb="24">
      <t>チュウオウ</t>
    </rPh>
    <rPh sb="25" eb="27">
      <t>チョウメ</t>
    </rPh>
    <rPh sb="28" eb="30">
      <t>ゲシャ</t>
    </rPh>
    <phoneticPr fontId="2"/>
  </si>
  <si>
    <t>熊谷駅より市ゆうゆうバス「運動公園」下車徒歩2分</t>
    <rPh sb="0" eb="3">
      <t>クマガヤエキ</t>
    </rPh>
    <rPh sb="5" eb="6">
      <t>シ</t>
    </rPh>
    <rPh sb="13" eb="15">
      <t>ウンドウ</t>
    </rPh>
    <rPh sb="15" eb="17">
      <t>コウエン</t>
    </rPh>
    <rPh sb="18" eb="20">
      <t>ゲシャ</t>
    </rPh>
    <rPh sb="20" eb="22">
      <t>トホ</t>
    </rPh>
    <rPh sb="23" eb="24">
      <t>フン</t>
    </rPh>
    <phoneticPr fontId="2"/>
  </si>
  <si>
    <t>西武新宿線航空公園駅からエステシティー所沢行西武バス「若松町」下車徒歩1分</t>
    <rPh sb="0" eb="5">
      <t>セイブシンジュクセン</t>
    </rPh>
    <rPh sb="5" eb="7">
      <t>コウクウ</t>
    </rPh>
    <rPh sb="7" eb="9">
      <t>コウエン</t>
    </rPh>
    <rPh sb="9" eb="10">
      <t>エキ</t>
    </rPh>
    <rPh sb="19" eb="21">
      <t>トコロザワ</t>
    </rPh>
    <rPh sb="21" eb="22">
      <t>イ</t>
    </rPh>
    <rPh sb="22" eb="24">
      <t>セイブ</t>
    </rPh>
    <rPh sb="27" eb="29">
      <t>ワカマツ</t>
    </rPh>
    <rPh sb="29" eb="30">
      <t>チョウ</t>
    </rPh>
    <rPh sb="31" eb="33">
      <t>ゲシャ</t>
    </rPh>
    <rPh sb="33" eb="35">
      <t>トホ</t>
    </rPh>
    <rPh sb="36" eb="37">
      <t>プン</t>
    </rPh>
    <phoneticPr fontId="2"/>
  </si>
  <si>
    <t>東武東上線坂戸駅北口より大橋行川越観光バス終点下車徒歩15分</t>
    <rPh sb="0" eb="5">
      <t>トウブトウジョウセン</t>
    </rPh>
    <rPh sb="5" eb="8">
      <t>サカドエキ</t>
    </rPh>
    <rPh sb="8" eb="10">
      <t>キタグチ</t>
    </rPh>
    <rPh sb="12" eb="14">
      <t>オオハシ</t>
    </rPh>
    <rPh sb="14" eb="15">
      <t>イ</t>
    </rPh>
    <rPh sb="15" eb="17">
      <t>カワゴエ</t>
    </rPh>
    <rPh sb="17" eb="19">
      <t>カンコウ</t>
    </rPh>
    <rPh sb="21" eb="23">
      <t>シュウテン</t>
    </rPh>
    <rPh sb="23" eb="25">
      <t>ゲシャ</t>
    </rPh>
    <rPh sb="25" eb="27">
      <t>トホ</t>
    </rPh>
    <rPh sb="29" eb="30">
      <t>フン</t>
    </rPh>
    <phoneticPr fontId="2"/>
  </si>
  <si>
    <t>熊谷駅北口より葛和田行国際十王バス「赤城神社前」下車徒歩1分</t>
    <rPh sb="0" eb="3">
      <t>クマガヤエキ</t>
    </rPh>
    <rPh sb="3" eb="5">
      <t>キタグチ</t>
    </rPh>
    <rPh sb="7" eb="8">
      <t>クズ</t>
    </rPh>
    <rPh sb="8" eb="10">
      <t>ワダ</t>
    </rPh>
    <rPh sb="10" eb="11">
      <t>イ</t>
    </rPh>
    <rPh sb="11" eb="13">
      <t>コクサイ</t>
    </rPh>
    <rPh sb="13" eb="15">
      <t>ジュウオウ</t>
    </rPh>
    <rPh sb="18" eb="20">
      <t>アカギ</t>
    </rPh>
    <rPh sb="20" eb="22">
      <t>ジンジャ</t>
    </rPh>
    <rPh sb="22" eb="23">
      <t>マエ</t>
    </rPh>
    <rPh sb="24" eb="26">
      <t>ゲシャ</t>
    </rPh>
    <rPh sb="26" eb="28">
      <t>トホ</t>
    </rPh>
    <rPh sb="29" eb="30">
      <t>プン</t>
    </rPh>
    <phoneticPr fontId="2"/>
  </si>
  <si>
    <t>東武動物公園駅東口から関宿中央ターミナル行バス「田宮」下車徒歩15分</t>
    <rPh sb="0" eb="7">
      <t>トウブドウブツコウエンエキ</t>
    </rPh>
    <rPh sb="7" eb="9">
      <t>ヒガシグチ</t>
    </rPh>
    <rPh sb="11" eb="13">
      <t>セキヤド</t>
    </rPh>
    <rPh sb="13" eb="15">
      <t>チュウオウ</t>
    </rPh>
    <rPh sb="20" eb="21">
      <t>イ</t>
    </rPh>
    <rPh sb="24" eb="26">
      <t>タミヤ</t>
    </rPh>
    <rPh sb="27" eb="29">
      <t>ゲシャ</t>
    </rPh>
    <rPh sb="29" eb="31">
      <t>トホ</t>
    </rPh>
    <rPh sb="33" eb="34">
      <t>フン</t>
    </rPh>
    <phoneticPr fontId="2"/>
  </si>
  <si>
    <t>東武伊勢崎線南羽生駅下車徒歩10分
　※「主たる対象者」における△は就労Ｂのみ</t>
    <rPh sb="0" eb="2">
      <t>トウブ</t>
    </rPh>
    <rPh sb="2" eb="5">
      <t>イセサキ</t>
    </rPh>
    <rPh sb="5" eb="6">
      <t>セン</t>
    </rPh>
    <rPh sb="6" eb="9">
      <t>ミナミハニュウ</t>
    </rPh>
    <rPh sb="9" eb="10">
      <t>エキ</t>
    </rPh>
    <rPh sb="10" eb="12">
      <t>ゲシャ</t>
    </rPh>
    <rPh sb="12" eb="14">
      <t>トホ</t>
    </rPh>
    <rPh sb="16" eb="17">
      <t>プン</t>
    </rPh>
    <rPh sb="34" eb="36">
      <t>シュウロウ</t>
    </rPh>
    <phoneticPr fontId="2"/>
  </si>
  <si>
    <t>希望の里</t>
    <phoneticPr fontId="2"/>
  </si>
  <si>
    <t>東武伊勢崎線南羽生駅下車徒歩30分</t>
    <rPh sb="0" eb="2">
      <t>トウブ</t>
    </rPh>
    <rPh sb="2" eb="5">
      <t>イセサキ</t>
    </rPh>
    <rPh sb="5" eb="6">
      <t>セン</t>
    </rPh>
    <rPh sb="6" eb="9">
      <t>ミナミハニュウ</t>
    </rPh>
    <rPh sb="9" eb="10">
      <t>エキ</t>
    </rPh>
    <rPh sb="10" eb="12">
      <t>ゲシャ</t>
    </rPh>
    <rPh sb="12" eb="14">
      <t>トホ</t>
    </rPh>
    <rPh sb="16" eb="17">
      <t>プン</t>
    </rPh>
    <phoneticPr fontId="2"/>
  </si>
  <si>
    <t>武蔵野線吉川駅から市民交流センターおあしす行東武バス「集会所前」下車徒歩5分</t>
    <rPh sb="0" eb="3">
      <t>ムサシノ</t>
    </rPh>
    <rPh sb="3" eb="4">
      <t>セン</t>
    </rPh>
    <rPh sb="4" eb="6">
      <t>ヨシカワ</t>
    </rPh>
    <rPh sb="6" eb="7">
      <t>エキ</t>
    </rPh>
    <rPh sb="9" eb="11">
      <t>シミン</t>
    </rPh>
    <rPh sb="11" eb="13">
      <t>コウリュウ</t>
    </rPh>
    <rPh sb="21" eb="22">
      <t>イ</t>
    </rPh>
    <rPh sb="22" eb="24">
      <t>トウブ</t>
    </rPh>
    <rPh sb="27" eb="30">
      <t>シュウカイジョ</t>
    </rPh>
    <rPh sb="30" eb="31">
      <t>マエ</t>
    </rPh>
    <rPh sb="32" eb="34">
      <t>ゲシャ</t>
    </rPh>
    <rPh sb="34" eb="36">
      <t>トホ</t>
    </rPh>
    <rPh sb="37" eb="38">
      <t>フン</t>
    </rPh>
    <phoneticPr fontId="2"/>
  </si>
  <si>
    <t>東武伊勢崎線北越谷駅からくすのき荘行バス終点下車徒歩10分</t>
    <rPh sb="0" eb="2">
      <t>トウブ</t>
    </rPh>
    <rPh sb="2" eb="5">
      <t>イセサキ</t>
    </rPh>
    <rPh sb="5" eb="6">
      <t>セン</t>
    </rPh>
    <rPh sb="6" eb="9">
      <t>キタコシガヤ</t>
    </rPh>
    <rPh sb="9" eb="10">
      <t>エキ</t>
    </rPh>
    <rPh sb="16" eb="17">
      <t>ソウ</t>
    </rPh>
    <rPh sb="17" eb="18">
      <t>イ</t>
    </rPh>
    <rPh sb="20" eb="22">
      <t>シュウテン</t>
    </rPh>
    <rPh sb="22" eb="24">
      <t>ゲシャ</t>
    </rPh>
    <rPh sb="24" eb="26">
      <t>トホ</t>
    </rPh>
    <rPh sb="28" eb="29">
      <t>プン</t>
    </rPh>
    <phoneticPr fontId="2"/>
  </si>
  <si>
    <t>(特非)大宮あゆむ会</t>
    <rPh sb="0" eb="4">
      <t>トクヒ</t>
    </rPh>
    <rPh sb="4" eb="6">
      <t>オオミヤ</t>
    </rPh>
    <rPh sb="9" eb="10">
      <t>カイ</t>
    </rPh>
    <phoneticPr fontId="2"/>
  </si>
  <si>
    <t>さいたま市みずき園</t>
    <rPh sb="4" eb="5">
      <t>シ</t>
    </rPh>
    <rPh sb="8" eb="9">
      <t>エン</t>
    </rPh>
    <phoneticPr fontId="2"/>
  </si>
  <si>
    <t>歩歩舎</t>
    <rPh sb="0" eb="1">
      <t>アル</t>
    </rPh>
    <rPh sb="1" eb="2">
      <t>アル</t>
    </rPh>
    <rPh sb="2" eb="3">
      <t>シャ</t>
    </rPh>
    <phoneticPr fontId="2"/>
  </si>
  <si>
    <t>宇都宮線土呂駅下車徒歩5分</t>
    <rPh sb="0" eb="3">
      <t>ウツノミヤ</t>
    </rPh>
    <rPh sb="3" eb="4">
      <t>セン</t>
    </rPh>
    <rPh sb="4" eb="6">
      <t>トロ</t>
    </rPh>
    <rPh sb="6" eb="7">
      <t>エキ</t>
    </rPh>
    <rPh sb="7" eb="9">
      <t>ゲシャ</t>
    </rPh>
    <rPh sb="9" eb="11">
      <t>トホ</t>
    </rPh>
    <rPh sb="12" eb="13">
      <t>フン</t>
    </rPh>
    <phoneticPr fontId="2"/>
  </si>
  <si>
    <t>○</t>
    <phoneticPr fontId="2"/>
  </si>
  <si>
    <t>菖蒲町菖蒲21</t>
    <rPh sb="0" eb="3">
      <t>ショウブマチ</t>
    </rPh>
    <rPh sb="3" eb="5">
      <t>ショウブ</t>
    </rPh>
    <phoneticPr fontId="2"/>
  </si>
  <si>
    <t>久喜市</t>
    <rPh sb="0" eb="3">
      <t>クキシ</t>
    </rPh>
    <phoneticPr fontId="2"/>
  </si>
  <si>
    <t>南西部</t>
    <rPh sb="0" eb="3">
      <t>ナンセイブ</t>
    </rPh>
    <phoneticPr fontId="2"/>
  </si>
  <si>
    <t>南部</t>
    <rPh sb="0" eb="2">
      <t>ナンブ</t>
    </rPh>
    <phoneticPr fontId="2"/>
  </si>
  <si>
    <t>県央</t>
    <rPh sb="0" eb="2">
      <t>ケンオウ</t>
    </rPh>
    <phoneticPr fontId="2"/>
  </si>
  <si>
    <t>GAHAHA’ｓ HOUSE</t>
    <phoneticPr fontId="2"/>
  </si>
  <si>
    <t>芝6813-3</t>
    <rPh sb="0" eb="1">
      <t>シバ</t>
    </rPh>
    <phoneticPr fontId="2"/>
  </si>
  <si>
    <t>048-262-2711</t>
    <phoneticPr fontId="2"/>
  </si>
  <si>
    <t>京浜東北線蕨駅西口から芝支所行バス終点下車徒歩1分</t>
    <rPh sb="0" eb="2">
      <t>ケイヒン</t>
    </rPh>
    <rPh sb="2" eb="4">
      <t>トウホク</t>
    </rPh>
    <rPh sb="4" eb="5">
      <t>セン</t>
    </rPh>
    <rPh sb="5" eb="6">
      <t>ワラビ</t>
    </rPh>
    <rPh sb="6" eb="7">
      <t>エキ</t>
    </rPh>
    <rPh sb="7" eb="9">
      <t>ニシグチ</t>
    </rPh>
    <rPh sb="11" eb="12">
      <t>シバ</t>
    </rPh>
    <rPh sb="12" eb="14">
      <t>シショ</t>
    </rPh>
    <rPh sb="14" eb="15">
      <t>イキ</t>
    </rPh>
    <rPh sb="15" eb="16">
      <t>カワツラ</t>
    </rPh>
    <rPh sb="17" eb="19">
      <t>シュウテン</t>
    </rPh>
    <rPh sb="19" eb="21">
      <t>ゲシャ</t>
    </rPh>
    <rPh sb="21" eb="23">
      <t>トホ</t>
    </rPh>
    <rPh sb="24" eb="25">
      <t>フン</t>
    </rPh>
    <phoneticPr fontId="2"/>
  </si>
  <si>
    <t>(特非)ひだまりの会</t>
    <rPh sb="1" eb="2">
      <t>トク</t>
    </rPh>
    <rPh sb="2" eb="3">
      <t>ヒ</t>
    </rPh>
    <rPh sb="9" eb="10">
      <t>カイ</t>
    </rPh>
    <phoneticPr fontId="2"/>
  </si>
  <si>
    <t>(特非)My Job</t>
    <rPh sb="1" eb="2">
      <t>トク</t>
    </rPh>
    <rPh sb="2" eb="3">
      <t>ヒ</t>
    </rPh>
    <phoneticPr fontId="2"/>
  </si>
  <si>
    <t>寄居366-3</t>
    <rPh sb="0" eb="2">
      <t>ヨリイ</t>
    </rPh>
    <phoneticPr fontId="2"/>
  </si>
  <si>
    <t>寄居駅下車徒歩８分</t>
    <rPh sb="0" eb="2">
      <t>ヨリイ</t>
    </rPh>
    <rPh sb="2" eb="3">
      <t>エキ</t>
    </rPh>
    <rPh sb="3" eb="5">
      <t>ゲシャ</t>
    </rPh>
    <rPh sb="5" eb="7">
      <t>トホ</t>
    </rPh>
    <rPh sb="8" eb="9">
      <t>フン</t>
    </rPh>
    <phoneticPr fontId="2"/>
  </si>
  <si>
    <t>十四軒大樹作業所</t>
    <rPh sb="0" eb="2">
      <t>ジュウシ</t>
    </rPh>
    <rPh sb="2" eb="3">
      <t>ケン</t>
    </rPh>
    <rPh sb="3" eb="5">
      <t>タイジュ</t>
    </rPh>
    <rPh sb="5" eb="8">
      <t>サギョウショ</t>
    </rPh>
    <phoneticPr fontId="2"/>
  </si>
  <si>
    <t>048-586-1605</t>
    <phoneticPr fontId="2"/>
  </si>
  <si>
    <t>下富1028-１</t>
    <rPh sb="0" eb="2">
      <t>シモトミ</t>
    </rPh>
    <phoneticPr fontId="2"/>
  </si>
  <si>
    <t>04-2943-9000</t>
    <phoneticPr fontId="2"/>
  </si>
  <si>
    <t>04-2943-9090</t>
    <phoneticPr fontId="2"/>
  </si>
  <si>
    <t>○</t>
    <phoneticPr fontId="2"/>
  </si>
  <si>
    <t>(福)元気村</t>
    <rPh sb="1" eb="2">
      <t>フク</t>
    </rPh>
    <rPh sb="3" eb="5">
      <t>ゲンキ</t>
    </rPh>
    <rPh sb="5" eb="6">
      <t>ムラ</t>
    </rPh>
    <phoneticPr fontId="2"/>
  </si>
  <si>
    <t>夢工房翔裕園</t>
    <rPh sb="0" eb="1">
      <t>ユメ</t>
    </rPh>
    <rPh sb="1" eb="3">
      <t>コウボウ</t>
    </rPh>
    <rPh sb="3" eb="4">
      <t>ショウ</t>
    </rPh>
    <rPh sb="4" eb="5">
      <t>ユウ</t>
    </rPh>
    <rPh sb="5" eb="6">
      <t>ソノ</t>
    </rPh>
    <phoneticPr fontId="2"/>
  </si>
  <si>
    <t>高崎線北本駅又は鴻巣駅からコミュニティバスフラワー号「下谷谷中」下車徒歩１分</t>
    <rPh sb="0" eb="2">
      <t>タカサキ</t>
    </rPh>
    <rPh sb="2" eb="3">
      <t>セン</t>
    </rPh>
    <rPh sb="3" eb="5">
      <t>キタモト</t>
    </rPh>
    <rPh sb="5" eb="6">
      <t>エキ</t>
    </rPh>
    <rPh sb="6" eb="7">
      <t>マタ</t>
    </rPh>
    <rPh sb="8" eb="10">
      <t>コウノス</t>
    </rPh>
    <rPh sb="10" eb="11">
      <t>エキ</t>
    </rPh>
    <rPh sb="25" eb="26">
      <t>ゴウ</t>
    </rPh>
    <rPh sb="27" eb="29">
      <t>シモタニ</t>
    </rPh>
    <rPh sb="29" eb="31">
      <t>ヤナカ</t>
    </rPh>
    <rPh sb="32" eb="34">
      <t>ゲシャ</t>
    </rPh>
    <rPh sb="34" eb="36">
      <t>トホ</t>
    </rPh>
    <rPh sb="37" eb="38">
      <t>プン</t>
    </rPh>
    <phoneticPr fontId="2"/>
  </si>
  <si>
    <t>(福)茶の花福祉会</t>
    <rPh sb="1" eb="2">
      <t>フク</t>
    </rPh>
    <rPh sb="3" eb="4">
      <t>チャ</t>
    </rPh>
    <rPh sb="5" eb="6">
      <t>ハナ</t>
    </rPh>
    <rPh sb="6" eb="9">
      <t>フクシカイ</t>
    </rPh>
    <phoneticPr fontId="2"/>
  </si>
  <si>
    <t>(福)光陽会</t>
    <rPh sb="3" eb="6">
      <t>コウヨウカイ</t>
    </rPh>
    <phoneticPr fontId="2"/>
  </si>
  <si>
    <t>草加市</t>
    <rPh sb="0" eb="3">
      <t>ソウカシ</t>
    </rPh>
    <phoneticPr fontId="2"/>
  </si>
  <si>
    <t>青空の家</t>
    <rPh sb="0" eb="2">
      <t>アオゾラ</t>
    </rPh>
    <rPh sb="3" eb="4">
      <t>イエ</t>
    </rPh>
    <phoneticPr fontId="2"/>
  </si>
  <si>
    <t>西町303-1</t>
    <rPh sb="0" eb="2">
      <t>ニシチョウ</t>
    </rPh>
    <phoneticPr fontId="2"/>
  </si>
  <si>
    <t>340-0035</t>
    <phoneticPr fontId="2"/>
  </si>
  <si>
    <t>048-925-3885</t>
    <phoneticPr fontId="2"/>
  </si>
  <si>
    <t>東武伊勢崎線草加駅下車徒歩10分</t>
    <rPh sb="0" eb="2">
      <t>トウブ</t>
    </rPh>
    <rPh sb="2" eb="5">
      <t>イセサキ</t>
    </rPh>
    <rPh sb="5" eb="6">
      <t>セン</t>
    </rPh>
    <rPh sb="6" eb="8">
      <t>ソウカ</t>
    </rPh>
    <rPh sb="8" eb="9">
      <t>エキ</t>
    </rPh>
    <rPh sb="9" eb="11">
      <t>ゲシャ</t>
    </rPh>
    <rPh sb="11" eb="13">
      <t>トホ</t>
    </rPh>
    <rPh sb="15" eb="16">
      <t>フン</t>
    </rPh>
    <phoneticPr fontId="2"/>
  </si>
  <si>
    <t>(福)歩む会福祉会</t>
    <rPh sb="1" eb="2">
      <t>フク</t>
    </rPh>
    <rPh sb="3" eb="4">
      <t>アユ</t>
    </rPh>
    <rPh sb="5" eb="6">
      <t>カイ</t>
    </rPh>
    <rPh sb="6" eb="9">
      <t>フクシカイ</t>
    </rPh>
    <phoneticPr fontId="2"/>
  </si>
  <si>
    <t>山ばと作業所</t>
    <rPh sb="0" eb="1">
      <t>ヤマ</t>
    </rPh>
    <rPh sb="3" eb="6">
      <t>サギョウショ</t>
    </rPh>
    <phoneticPr fontId="2"/>
  </si>
  <si>
    <t>0495-21-7273</t>
  </si>
  <si>
    <t>高崎線本庄駅下車タクシー10分</t>
    <rPh sb="0" eb="2">
      <t>タカサキ</t>
    </rPh>
    <rPh sb="2" eb="3">
      <t>セン</t>
    </rPh>
    <rPh sb="3" eb="5">
      <t>ホンジョウ</t>
    </rPh>
    <rPh sb="5" eb="6">
      <t>エキ</t>
    </rPh>
    <rPh sb="6" eb="8">
      <t>ゲシャ</t>
    </rPh>
    <rPh sb="14" eb="15">
      <t>フン</t>
    </rPh>
    <phoneticPr fontId="2"/>
  </si>
  <si>
    <t>中央区新中里1-3-3埼大通りﾒﾃﾞｨｶﾙﾋﾞﾙ4F</t>
    <rPh sb="0" eb="3">
      <t>チュウオウク</t>
    </rPh>
    <rPh sb="3" eb="6">
      <t>シンナカザト</t>
    </rPh>
    <rPh sb="11" eb="12">
      <t>サキ</t>
    </rPh>
    <rPh sb="12" eb="14">
      <t>オオドオ</t>
    </rPh>
    <phoneticPr fontId="2"/>
  </si>
  <si>
    <t>338-0011</t>
    <phoneticPr fontId="2"/>
  </si>
  <si>
    <t>048-835-3047</t>
    <phoneticPr fontId="2"/>
  </si>
  <si>
    <t>048-835-3048</t>
    <phoneticPr fontId="2"/>
  </si>
  <si>
    <t>京浜東北線北浦和駅西口下車徒歩12分
埼京線南与野駅下車徒歩12分</t>
    <rPh sb="0" eb="2">
      <t>ケイヒン</t>
    </rPh>
    <rPh sb="2" eb="4">
      <t>トウホク</t>
    </rPh>
    <rPh sb="4" eb="5">
      <t>セン</t>
    </rPh>
    <rPh sb="5" eb="8">
      <t>キタウラワ</t>
    </rPh>
    <rPh sb="8" eb="9">
      <t>エキ</t>
    </rPh>
    <rPh sb="9" eb="11">
      <t>ニシグチ</t>
    </rPh>
    <rPh sb="11" eb="13">
      <t>ゲシャ</t>
    </rPh>
    <rPh sb="13" eb="15">
      <t>トホ</t>
    </rPh>
    <rPh sb="17" eb="18">
      <t>フン</t>
    </rPh>
    <rPh sb="19" eb="21">
      <t>サイキョウ</t>
    </rPh>
    <rPh sb="21" eb="22">
      <t>セン</t>
    </rPh>
    <rPh sb="22" eb="25">
      <t>ミナミヨノ</t>
    </rPh>
    <rPh sb="25" eb="26">
      <t>エキ</t>
    </rPh>
    <rPh sb="26" eb="28">
      <t>ゲシャ</t>
    </rPh>
    <rPh sb="28" eb="30">
      <t>トホ</t>
    </rPh>
    <rPh sb="32" eb="33">
      <t>フン</t>
    </rPh>
    <phoneticPr fontId="2"/>
  </si>
  <si>
    <t>(特非)友垣の里</t>
    <rPh sb="1" eb="2">
      <t>トク</t>
    </rPh>
    <rPh sb="2" eb="3">
      <t>ヒ</t>
    </rPh>
    <rPh sb="4" eb="6">
      <t>トモガキ</t>
    </rPh>
    <rPh sb="7" eb="8">
      <t>サト</t>
    </rPh>
    <phoneticPr fontId="2"/>
  </si>
  <si>
    <t>友垣の里</t>
    <rPh sb="0" eb="2">
      <t>トモガキ</t>
    </rPh>
    <rPh sb="3" eb="4">
      <t>サト</t>
    </rPh>
    <phoneticPr fontId="2"/>
  </si>
  <si>
    <t>上青木西3-4-12</t>
    <rPh sb="0" eb="3">
      <t>カミアオキ</t>
    </rPh>
    <rPh sb="3" eb="4">
      <t>ニシ</t>
    </rPh>
    <phoneticPr fontId="2"/>
  </si>
  <si>
    <t>333-0845</t>
    <phoneticPr fontId="2"/>
  </si>
  <si>
    <t>048-262-1031</t>
    <phoneticPr fontId="2"/>
  </si>
  <si>
    <t>048-267-2230</t>
    <phoneticPr fontId="2"/>
  </si>
  <si>
    <t>○</t>
    <phoneticPr fontId="2"/>
  </si>
  <si>
    <t>京浜東北線西川口駅東口から総合高校経由上青木循環バス｢川口総合高校｣下車徒歩5分</t>
    <rPh sb="0" eb="2">
      <t>ケイヒン</t>
    </rPh>
    <rPh sb="2" eb="4">
      <t>トウホク</t>
    </rPh>
    <rPh sb="4" eb="5">
      <t>セン</t>
    </rPh>
    <rPh sb="5" eb="6">
      <t>ニシ</t>
    </rPh>
    <rPh sb="6" eb="8">
      <t>カワグチ</t>
    </rPh>
    <rPh sb="8" eb="9">
      <t>エキ</t>
    </rPh>
    <rPh sb="9" eb="11">
      <t>ヒガシグチ</t>
    </rPh>
    <rPh sb="13" eb="15">
      <t>ソウゴウ</t>
    </rPh>
    <rPh sb="15" eb="17">
      <t>コウコウ</t>
    </rPh>
    <rPh sb="17" eb="19">
      <t>ケイユ</t>
    </rPh>
    <rPh sb="19" eb="22">
      <t>カミアオキ</t>
    </rPh>
    <rPh sb="22" eb="24">
      <t>ジュンカン</t>
    </rPh>
    <rPh sb="24" eb="25">
      <t>カワツラ</t>
    </rPh>
    <rPh sb="27" eb="29">
      <t>カワグチ</t>
    </rPh>
    <rPh sb="29" eb="31">
      <t>ソウゴウ</t>
    </rPh>
    <rPh sb="31" eb="33">
      <t>コウコウ</t>
    </rPh>
    <rPh sb="34" eb="36">
      <t>ゲシャ</t>
    </rPh>
    <rPh sb="36" eb="38">
      <t>トホ</t>
    </rPh>
    <rPh sb="39" eb="40">
      <t>フン</t>
    </rPh>
    <phoneticPr fontId="2"/>
  </si>
  <si>
    <t>048-537-0140</t>
    <phoneticPr fontId="2"/>
  </si>
  <si>
    <t>本町5-2-4ジュネス鴻巣</t>
    <rPh sb="0" eb="2">
      <t>ホンチョウ</t>
    </rPh>
    <rPh sb="11" eb="13">
      <t>コウノス</t>
    </rPh>
    <phoneticPr fontId="2"/>
  </si>
  <si>
    <t>高崎線鴻巣駅下車徒歩5分</t>
    <rPh sb="0" eb="2">
      <t>タカサキ</t>
    </rPh>
    <rPh sb="2" eb="3">
      <t>セン</t>
    </rPh>
    <rPh sb="3" eb="5">
      <t>コウノス</t>
    </rPh>
    <rPh sb="5" eb="6">
      <t>エキ</t>
    </rPh>
    <rPh sb="6" eb="8">
      <t>ゲシャ</t>
    </rPh>
    <rPh sb="8" eb="10">
      <t>トホ</t>
    </rPh>
    <rPh sb="11" eb="12">
      <t>プン</t>
    </rPh>
    <phoneticPr fontId="2"/>
  </si>
  <si>
    <t>(医)弥生会</t>
    <rPh sb="1" eb="2">
      <t>イ</t>
    </rPh>
    <rPh sb="3" eb="6">
      <t>ヤヨイカイ</t>
    </rPh>
    <phoneticPr fontId="2"/>
  </si>
  <si>
    <t>ひこばえ</t>
    <phoneticPr fontId="2"/>
  </si>
  <si>
    <t>上奈良1259-4</t>
    <rPh sb="0" eb="1">
      <t>カミ</t>
    </rPh>
    <rPh sb="1" eb="3">
      <t>ナラ</t>
    </rPh>
    <phoneticPr fontId="2"/>
  </si>
  <si>
    <t>048-501-1415</t>
    <phoneticPr fontId="2"/>
  </si>
  <si>
    <t>048-525-6115</t>
    <phoneticPr fontId="2"/>
  </si>
  <si>
    <t>○</t>
    <phoneticPr fontId="2"/>
  </si>
  <si>
    <t>熊谷駅北口よりﾊﾞｲﾊﾟｽ経由妻沼行あさひバス「日赤血液ｾﾝﾀｰ前」下車徒歩13分</t>
    <rPh sb="0" eb="3">
      <t>クマガヤエキ</t>
    </rPh>
    <rPh sb="3" eb="5">
      <t>キタグチ</t>
    </rPh>
    <rPh sb="13" eb="15">
      <t>ケイユ</t>
    </rPh>
    <rPh sb="15" eb="17">
      <t>メヌマ</t>
    </rPh>
    <rPh sb="17" eb="18">
      <t>カズユキ</t>
    </rPh>
    <rPh sb="24" eb="26">
      <t>ケツエキ</t>
    </rPh>
    <rPh sb="26" eb="30">
      <t>センター</t>
    </rPh>
    <rPh sb="32" eb="34">
      <t>ゲシャ</t>
    </rPh>
    <rPh sb="34" eb="36">
      <t>ゲシャ</t>
    </rPh>
    <rPh sb="36" eb="38">
      <t>トホ</t>
    </rPh>
    <rPh sb="40" eb="41">
      <t>プン</t>
    </rPh>
    <phoneticPr fontId="2"/>
  </si>
  <si>
    <t>(福)小川町社会福祉協議会</t>
    <rPh sb="1" eb="2">
      <t>フク</t>
    </rPh>
    <rPh sb="3" eb="6">
      <t>オガワマチ</t>
    </rPh>
    <rPh sb="6" eb="8">
      <t>シャカイ</t>
    </rPh>
    <rPh sb="8" eb="10">
      <t>フクシ</t>
    </rPh>
    <rPh sb="10" eb="13">
      <t>キョウギカイ</t>
    </rPh>
    <phoneticPr fontId="2"/>
  </si>
  <si>
    <t>けやき</t>
    <phoneticPr fontId="2"/>
  </si>
  <si>
    <t>腰越618</t>
    <rPh sb="0" eb="1">
      <t>コシ</t>
    </rPh>
    <rPh sb="1" eb="2">
      <t>コシ</t>
    </rPh>
    <phoneticPr fontId="2"/>
  </si>
  <si>
    <t>0493-74-0082</t>
    <phoneticPr fontId="2"/>
  </si>
  <si>
    <t>東武東上線小川町駅から白石車庫行バス｢パトリシアおがわ｣下車徒歩1分</t>
    <rPh sb="0" eb="2">
      <t>トウブ</t>
    </rPh>
    <rPh sb="2" eb="4">
      <t>トウジョウ</t>
    </rPh>
    <rPh sb="4" eb="5">
      <t>セン</t>
    </rPh>
    <rPh sb="5" eb="8">
      <t>オガワマチ</t>
    </rPh>
    <rPh sb="8" eb="9">
      <t>エキ</t>
    </rPh>
    <rPh sb="11" eb="13">
      <t>シライシ</t>
    </rPh>
    <rPh sb="13" eb="15">
      <t>シャコ</t>
    </rPh>
    <rPh sb="15" eb="16">
      <t>イ</t>
    </rPh>
    <rPh sb="28" eb="30">
      <t>ゲシャ</t>
    </rPh>
    <rPh sb="30" eb="32">
      <t>トホ</t>
    </rPh>
    <rPh sb="33" eb="34">
      <t>フン</t>
    </rPh>
    <phoneticPr fontId="2"/>
  </si>
  <si>
    <t>(特非)いちご福祉会</t>
    <rPh sb="1" eb="2">
      <t>トク</t>
    </rPh>
    <rPh sb="2" eb="3">
      <t>ヒ</t>
    </rPh>
    <rPh sb="7" eb="10">
      <t>フクシカイ</t>
    </rPh>
    <phoneticPr fontId="2"/>
  </si>
  <si>
    <t>コットンハウス作業所</t>
    <rPh sb="7" eb="10">
      <t>サギョウショ</t>
    </rPh>
    <phoneticPr fontId="2"/>
  </si>
  <si>
    <t>安行慈林996-1</t>
    <rPh sb="0" eb="2">
      <t>アンギョウ</t>
    </rPh>
    <rPh sb="2" eb="3">
      <t>ジ</t>
    </rPh>
    <rPh sb="3" eb="4">
      <t>リン</t>
    </rPh>
    <phoneticPr fontId="2"/>
  </si>
  <si>
    <t>048-286-3648</t>
    <phoneticPr fontId="2"/>
  </si>
  <si>
    <t>武蔵野線東川口駅南口から西川口駅行バス｢慈林｣下車徒歩1分</t>
    <rPh sb="0" eb="3">
      <t>ムサシノ</t>
    </rPh>
    <rPh sb="3" eb="4">
      <t>セン</t>
    </rPh>
    <rPh sb="4" eb="5">
      <t>ヒガシ</t>
    </rPh>
    <rPh sb="5" eb="7">
      <t>カワグチ</t>
    </rPh>
    <rPh sb="7" eb="8">
      <t>エキ</t>
    </rPh>
    <rPh sb="8" eb="10">
      <t>ミナミグチ</t>
    </rPh>
    <rPh sb="12" eb="15">
      <t>ニシカワグチ</t>
    </rPh>
    <rPh sb="15" eb="16">
      <t>エキ</t>
    </rPh>
    <rPh sb="16" eb="17">
      <t>イ</t>
    </rPh>
    <rPh sb="17" eb="18">
      <t>カワツラ</t>
    </rPh>
    <rPh sb="20" eb="22">
      <t>ジリン</t>
    </rPh>
    <rPh sb="23" eb="25">
      <t>ゲシャ</t>
    </rPh>
    <rPh sb="25" eb="27">
      <t>トホ</t>
    </rPh>
    <rPh sb="28" eb="29">
      <t>フン</t>
    </rPh>
    <phoneticPr fontId="2"/>
  </si>
  <si>
    <t>(特非)ネットワークあゆみ</t>
    <rPh sb="1" eb="2">
      <t>トク</t>
    </rPh>
    <rPh sb="2" eb="3">
      <t>ヒ</t>
    </rPh>
    <phoneticPr fontId="2"/>
  </si>
  <si>
    <t>ネットワークあゆみ</t>
    <phoneticPr fontId="2"/>
  </si>
  <si>
    <t>北原台3-3-10</t>
    <rPh sb="0" eb="3">
      <t>キタハラダイ</t>
    </rPh>
    <phoneticPr fontId="2"/>
  </si>
  <si>
    <t>048-290-6500</t>
    <phoneticPr fontId="2"/>
  </si>
  <si>
    <t>048-290-6558</t>
    <phoneticPr fontId="2"/>
  </si>
  <si>
    <t>(特非)春日部ゆい</t>
    <rPh sb="1" eb="2">
      <t>トク</t>
    </rPh>
    <rPh sb="2" eb="3">
      <t>ヒ</t>
    </rPh>
    <rPh sb="4" eb="7">
      <t>カスカベ</t>
    </rPh>
    <phoneticPr fontId="2"/>
  </si>
  <si>
    <t>上蛭田54-1</t>
    <rPh sb="0" eb="1">
      <t>カミ</t>
    </rPh>
    <rPh sb="1" eb="2">
      <t>ヒル</t>
    </rPh>
    <rPh sb="2" eb="3">
      <t>タ</t>
    </rPh>
    <phoneticPr fontId="2"/>
  </si>
  <si>
    <t>東武野田線豊春駅徒歩8分</t>
    <rPh sb="0" eb="2">
      <t>トウブ</t>
    </rPh>
    <rPh sb="2" eb="4">
      <t>ノダ</t>
    </rPh>
    <rPh sb="4" eb="5">
      <t>セン</t>
    </rPh>
    <rPh sb="5" eb="7">
      <t>トヨハル</t>
    </rPh>
    <rPh sb="7" eb="8">
      <t>エキ</t>
    </rPh>
    <rPh sb="8" eb="10">
      <t>トホ</t>
    </rPh>
    <rPh sb="11" eb="12">
      <t>フン</t>
    </rPh>
    <phoneticPr fontId="2"/>
  </si>
  <si>
    <t>武蔵野線東川口駅から川口駅行バス｢北原台３丁目｣下車徒歩5分</t>
    <rPh sb="0" eb="3">
      <t>ムサシノ</t>
    </rPh>
    <rPh sb="3" eb="4">
      <t>セン</t>
    </rPh>
    <rPh sb="4" eb="5">
      <t>ヒガシ</t>
    </rPh>
    <rPh sb="5" eb="7">
      <t>カワグチ</t>
    </rPh>
    <rPh sb="7" eb="8">
      <t>エキ</t>
    </rPh>
    <rPh sb="10" eb="12">
      <t>カワグチ</t>
    </rPh>
    <rPh sb="12" eb="13">
      <t>エキ</t>
    </rPh>
    <rPh sb="13" eb="14">
      <t>イ</t>
    </rPh>
    <rPh sb="14" eb="15">
      <t>カワツラ</t>
    </rPh>
    <rPh sb="17" eb="20">
      <t>キタハラダイ</t>
    </rPh>
    <rPh sb="21" eb="23">
      <t>チョウメ</t>
    </rPh>
    <rPh sb="24" eb="26">
      <t>ゲシャ</t>
    </rPh>
    <rPh sb="26" eb="28">
      <t>トホ</t>
    </rPh>
    <rPh sb="29" eb="30">
      <t>フン</t>
    </rPh>
    <phoneticPr fontId="2"/>
  </si>
  <si>
    <t>下谷41</t>
    <rPh sb="0" eb="2">
      <t>シモタニ</t>
    </rPh>
    <phoneticPr fontId="2"/>
  </si>
  <si>
    <t>048-970-3003</t>
    <phoneticPr fontId="2"/>
  </si>
  <si>
    <t>048-970-3004</t>
    <phoneticPr fontId="2"/>
  </si>
  <si>
    <t>ステージワン</t>
    <phoneticPr fontId="2"/>
  </si>
  <si>
    <t>児玉郡神川町</t>
    <rPh sb="0" eb="3">
      <t>コダマグン</t>
    </rPh>
    <rPh sb="3" eb="6">
      <t>カミカワマチ</t>
    </rPh>
    <phoneticPr fontId="2"/>
  </si>
  <si>
    <t>南区別所3-16-1埼玉ビル2階</t>
    <rPh sb="0" eb="2">
      <t>ミナミク</t>
    </rPh>
    <rPh sb="2" eb="4">
      <t>ベッショ</t>
    </rPh>
    <rPh sb="10" eb="12">
      <t>サイタマ</t>
    </rPh>
    <rPh sb="15" eb="16">
      <t>カイ</t>
    </rPh>
    <phoneticPr fontId="2"/>
  </si>
  <si>
    <t>○</t>
    <phoneticPr fontId="2"/>
  </si>
  <si>
    <t>高崎線籠原駅下車徒歩15分</t>
    <rPh sb="0" eb="2">
      <t>タカサキ</t>
    </rPh>
    <rPh sb="2" eb="3">
      <t>セン</t>
    </rPh>
    <rPh sb="3" eb="5">
      <t>カゴハラ</t>
    </rPh>
    <rPh sb="5" eb="6">
      <t>エキ</t>
    </rPh>
    <rPh sb="6" eb="8">
      <t>ゲシャ</t>
    </rPh>
    <rPh sb="8" eb="10">
      <t>トホ</t>
    </rPh>
    <rPh sb="12" eb="13">
      <t>フン</t>
    </rPh>
    <phoneticPr fontId="2"/>
  </si>
  <si>
    <t>(福)福寿会</t>
    <rPh sb="3" eb="5">
      <t>フクジュ</t>
    </rPh>
    <rPh sb="5" eb="6">
      <t>カイ</t>
    </rPh>
    <phoneticPr fontId="2"/>
  </si>
  <si>
    <t>ワークピア・はにゅう</t>
    <phoneticPr fontId="2"/>
  </si>
  <si>
    <t>上手子林845</t>
    <rPh sb="0" eb="4">
      <t>カミテコバヤシ</t>
    </rPh>
    <phoneticPr fontId="2"/>
  </si>
  <si>
    <t>048-565-4322</t>
    <phoneticPr fontId="2"/>
  </si>
  <si>
    <t>048-565-4324</t>
    <phoneticPr fontId="2"/>
  </si>
  <si>
    <t>東武伊勢崎線南羽生駅下車徒歩15分</t>
    <rPh sb="0" eb="2">
      <t>トウブ</t>
    </rPh>
    <rPh sb="2" eb="5">
      <t>イセサキ</t>
    </rPh>
    <rPh sb="5" eb="6">
      <t>セン</t>
    </rPh>
    <rPh sb="6" eb="9">
      <t>ミナミハニュウ</t>
    </rPh>
    <rPh sb="9" eb="10">
      <t>エキ</t>
    </rPh>
    <rPh sb="10" eb="12">
      <t>ゲシャ</t>
    </rPh>
    <rPh sb="12" eb="14">
      <t>トホ</t>
    </rPh>
    <rPh sb="16" eb="17">
      <t>プン</t>
    </rPh>
    <phoneticPr fontId="2"/>
  </si>
  <si>
    <t>きぼう工房</t>
    <rPh sb="3" eb="5">
      <t>コウボウ</t>
    </rPh>
    <phoneticPr fontId="2"/>
  </si>
  <si>
    <t>04-2990-5502</t>
    <phoneticPr fontId="2"/>
  </si>
  <si>
    <t>04-2990-5503</t>
    <phoneticPr fontId="2"/>
  </si>
  <si>
    <t>西武新宿線新所沢駅東口から西武フラワーヒル行バス「富岡」下車徒歩11分</t>
    <rPh sb="0" eb="2">
      <t>セイブ</t>
    </rPh>
    <rPh sb="2" eb="4">
      <t>シンジュク</t>
    </rPh>
    <rPh sb="4" eb="5">
      <t>セン</t>
    </rPh>
    <rPh sb="5" eb="8">
      <t>シントコロザワ</t>
    </rPh>
    <rPh sb="8" eb="9">
      <t>エキ</t>
    </rPh>
    <rPh sb="9" eb="11">
      <t>ヒガシグチ</t>
    </rPh>
    <rPh sb="13" eb="15">
      <t>セイブ</t>
    </rPh>
    <rPh sb="21" eb="22">
      <t>イ</t>
    </rPh>
    <rPh sb="25" eb="27">
      <t>トミオカ</t>
    </rPh>
    <rPh sb="27" eb="28">
      <t>シケン</t>
    </rPh>
    <rPh sb="28" eb="30">
      <t>ゲシャ</t>
    </rPh>
    <rPh sb="30" eb="32">
      <t>トホ</t>
    </rPh>
    <rPh sb="34" eb="35">
      <t>フン</t>
    </rPh>
    <phoneticPr fontId="2"/>
  </si>
  <si>
    <t>多機能型事業所あかしあの森</t>
    <rPh sb="0" eb="4">
      <t>タキノウガタ</t>
    </rPh>
    <rPh sb="4" eb="7">
      <t>ジギョウショ</t>
    </rPh>
    <rPh sb="12" eb="13">
      <t>モリ</t>
    </rPh>
    <phoneticPr fontId="2"/>
  </si>
  <si>
    <t>ながい寮</t>
    <phoneticPr fontId="2"/>
  </si>
  <si>
    <t>(福)むさしの郷</t>
    <rPh sb="7" eb="8">
      <t>サト</t>
    </rPh>
    <phoneticPr fontId="2"/>
  </si>
  <si>
    <t>熊谷市</t>
    <phoneticPr fontId="2"/>
  </si>
  <si>
    <t>熊谷駅から東松山駅行バス「南村岡」下車徒歩2分</t>
    <rPh sb="0" eb="2">
      <t>クマガヤ</t>
    </rPh>
    <rPh sb="2" eb="3">
      <t>エキ</t>
    </rPh>
    <rPh sb="5" eb="8">
      <t>ヒガシマツヤマ</t>
    </rPh>
    <rPh sb="8" eb="9">
      <t>エキ</t>
    </rPh>
    <rPh sb="9" eb="10">
      <t>イ</t>
    </rPh>
    <rPh sb="13" eb="14">
      <t>ミナミ</t>
    </rPh>
    <rPh sb="14" eb="16">
      <t>ムラオカ</t>
    </rPh>
    <rPh sb="17" eb="19">
      <t>ゲシャ</t>
    </rPh>
    <rPh sb="19" eb="21">
      <t>トホ</t>
    </rPh>
    <rPh sb="22" eb="23">
      <t>フン</t>
    </rPh>
    <phoneticPr fontId="2"/>
  </si>
  <si>
    <t>上恩田514-2</t>
    <rPh sb="0" eb="1">
      <t>ウエ</t>
    </rPh>
    <rPh sb="1" eb="3">
      <t>オンダ</t>
    </rPh>
    <phoneticPr fontId="2"/>
  </si>
  <si>
    <t>048-598-7007</t>
    <phoneticPr fontId="2"/>
  </si>
  <si>
    <t>048-598-7008</t>
    <phoneticPr fontId="2"/>
  </si>
  <si>
    <t>(特非)松ぼっくりの会</t>
    <rPh sb="4" eb="5">
      <t>マツ</t>
    </rPh>
    <rPh sb="10" eb="11">
      <t>カイ</t>
    </rPh>
    <phoneticPr fontId="2"/>
  </si>
  <si>
    <t>ワークケア　松ぼっくり</t>
    <rPh sb="6" eb="7">
      <t>マツ</t>
    </rPh>
    <phoneticPr fontId="2"/>
  </si>
  <si>
    <t>阿那志1886-1</t>
    <rPh sb="0" eb="1">
      <t>ア</t>
    </rPh>
    <rPh sb="1" eb="2">
      <t>ナ</t>
    </rPh>
    <rPh sb="2" eb="3">
      <t>シ</t>
    </rPh>
    <phoneticPr fontId="2"/>
  </si>
  <si>
    <t>0495-76-4984</t>
    <phoneticPr fontId="2"/>
  </si>
  <si>
    <t>高崎線上尾駅から上尾市内循環バス（ぐるっとくん）「ふじ学園前」下車徒歩1分</t>
    <rPh sb="0" eb="2">
      <t>タカサキ</t>
    </rPh>
    <rPh sb="2" eb="3">
      <t>セン</t>
    </rPh>
    <rPh sb="3" eb="5">
      <t>アゲオ</t>
    </rPh>
    <rPh sb="5" eb="6">
      <t>エキ</t>
    </rPh>
    <rPh sb="8" eb="10">
      <t>アゲオ</t>
    </rPh>
    <rPh sb="10" eb="12">
      <t>シナイ</t>
    </rPh>
    <rPh sb="12" eb="14">
      <t>ジュンカン</t>
    </rPh>
    <rPh sb="27" eb="30">
      <t>ガクエンマエ</t>
    </rPh>
    <rPh sb="31" eb="33">
      <t>ゲシャ</t>
    </rPh>
    <rPh sb="33" eb="35">
      <t>トホ</t>
    </rPh>
    <rPh sb="36" eb="37">
      <t>フン</t>
    </rPh>
    <phoneticPr fontId="2"/>
  </si>
  <si>
    <t>(福)はなわ福祉会</t>
  </si>
  <si>
    <t>はなわの杜</t>
    <rPh sb="4" eb="5">
      <t>モリ</t>
    </rPh>
    <phoneticPr fontId="2"/>
  </si>
  <si>
    <t>本庄市</t>
    <phoneticPr fontId="2"/>
  </si>
  <si>
    <t>児玉町金屋1284-1</t>
    <phoneticPr fontId="2"/>
  </si>
  <si>
    <t>0495-72-2901</t>
    <phoneticPr fontId="2"/>
  </si>
  <si>
    <t>八高線児玉駅下車徒歩15分</t>
    <rPh sb="0" eb="2">
      <t>ハチコウ</t>
    </rPh>
    <rPh sb="2" eb="3">
      <t>セン</t>
    </rPh>
    <rPh sb="3" eb="5">
      <t>コダマ</t>
    </rPh>
    <rPh sb="5" eb="6">
      <t>エキ</t>
    </rPh>
    <rPh sb="6" eb="8">
      <t>ゲシャ</t>
    </rPh>
    <rPh sb="8" eb="10">
      <t>トホ</t>
    </rPh>
    <rPh sb="12" eb="13">
      <t>フン</t>
    </rPh>
    <phoneticPr fontId="2"/>
  </si>
  <si>
    <t>0495-72-6054</t>
    <phoneticPr fontId="2"/>
  </si>
  <si>
    <t>(福)埼玉県ブルーバードホーム</t>
  </si>
  <si>
    <t>江南愛の家</t>
    <rPh sb="0" eb="2">
      <t>コウナン</t>
    </rPh>
    <rPh sb="2" eb="3">
      <t>アイ</t>
    </rPh>
    <rPh sb="4" eb="5">
      <t>イエ</t>
    </rPh>
    <phoneticPr fontId="2"/>
  </si>
  <si>
    <t>熊谷市</t>
    <phoneticPr fontId="2"/>
  </si>
  <si>
    <t>野原245</t>
    <phoneticPr fontId="2"/>
  </si>
  <si>
    <t>048-536-3333</t>
    <phoneticPr fontId="2"/>
  </si>
  <si>
    <t>高崎線熊谷駅から小川駅行バス「畜産試験場前」下車徒歩10分</t>
    <rPh sb="0" eb="2">
      <t>タカサキ</t>
    </rPh>
    <rPh sb="2" eb="3">
      <t>セン</t>
    </rPh>
    <rPh sb="3" eb="5">
      <t>クマガヤ</t>
    </rPh>
    <rPh sb="5" eb="6">
      <t>エキ</t>
    </rPh>
    <rPh sb="8" eb="10">
      <t>オガワ</t>
    </rPh>
    <rPh sb="10" eb="11">
      <t>エキ</t>
    </rPh>
    <rPh sb="11" eb="12">
      <t>ギョウ</t>
    </rPh>
    <rPh sb="12" eb="13">
      <t>キミユキ</t>
    </rPh>
    <rPh sb="15" eb="17">
      <t>チクサン</t>
    </rPh>
    <rPh sb="17" eb="20">
      <t>シケンジョウ</t>
    </rPh>
    <rPh sb="20" eb="21">
      <t>マエ</t>
    </rPh>
    <rPh sb="22" eb="24">
      <t>ゲシャ</t>
    </rPh>
    <rPh sb="24" eb="26">
      <t>トホ</t>
    </rPh>
    <rPh sb="28" eb="29">
      <t>フン</t>
    </rPh>
    <phoneticPr fontId="2"/>
  </si>
  <si>
    <t>048-536-8333</t>
    <phoneticPr fontId="2"/>
  </si>
  <si>
    <t>朝霞地区一部事務組合</t>
    <rPh sb="0" eb="2">
      <t>アサカ</t>
    </rPh>
    <rPh sb="2" eb="4">
      <t>チク</t>
    </rPh>
    <rPh sb="4" eb="6">
      <t>イチブ</t>
    </rPh>
    <rPh sb="6" eb="8">
      <t>ジム</t>
    </rPh>
    <rPh sb="8" eb="10">
      <t>クミアイ</t>
    </rPh>
    <phoneticPr fontId="2"/>
  </si>
  <si>
    <t>朝霞地区一部事務組合立障害者支援施設すわ緑風園</t>
    <rPh sb="0" eb="2">
      <t>アサカ</t>
    </rPh>
    <rPh sb="2" eb="4">
      <t>チク</t>
    </rPh>
    <rPh sb="4" eb="6">
      <t>イチブ</t>
    </rPh>
    <rPh sb="6" eb="8">
      <t>ジム</t>
    </rPh>
    <rPh sb="8" eb="10">
      <t>クミアイ</t>
    </rPh>
    <rPh sb="10" eb="11">
      <t>リツ</t>
    </rPh>
    <rPh sb="11" eb="14">
      <t>ショウガイシャ</t>
    </rPh>
    <rPh sb="14" eb="16">
      <t>シエン</t>
    </rPh>
    <rPh sb="16" eb="18">
      <t>シセツ</t>
    </rPh>
    <rPh sb="20" eb="22">
      <t>リョクフウ</t>
    </rPh>
    <rPh sb="22" eb="23">
      <t>エン</t>
    </rPh>
    <phoneticPr fontId="2"/>
  </si>
  <si>
    <t>和光市</t>
    <phoneticPr fontId="2"/>
  </si>
  <si>
    <t>南2-3-2</t>
    <phoneticPr fontId="2"/>
  </si>
  <si>
    <t>048-461-3028</t>
    <phoneticPr fontId="2"/>
  </si>
  <si>
    <t>048-461-1996</t>
    <phoneticPr fontId="2"/>
  </si>
  <si>
    <t>東武東上線和光市駅南口から大泉学園行バス「税務大学校和光校舎」下車徒歩8分</t>
    <rPh sb="0" eb="2">
      <t>トウブ</t>
    </rPh>
    <rPh sb="2" eb="4">
      <t>トウジョウ</t>
    </rPh>
    <rPh sb="4" eb="5">
      <t>セン</t>
    </rPh>
    <rPh sb="5" eb="7">
      <t>ワコウ</t>
    </rPh>
    <rPh sb="7" eb="8">
      <t>シ</t>
    </rPh>
    <rPh sb="8" eb="9">
      <t>エキ</t>
    </rPh>
    <rPh sb="9" eb="11">
      <t>ミナミグチ</t>
    </rPh>
    <rPh sb="13" eb="15">
      <t>オオイズミ</t>
    </rPh>
    <rPh sb="15" eb="17">
      <t>ガクエン</t>
    </rPh>
    <rPh sb="17" eb="18">
      <t>ユ</t>
    </rPh>
    <rPh sb="21" eb="23">
      <t>ゼイム</t>
    </rPh>
    <rPh sb="23" eb="25">
      <t>ダイガク</t>
    </rPh>
    <rPh sb="26" eb="28">
      <t>ワコウ</t>
    </rPh>
    <rPh sb="28" eb="30">
      <t>コウシャ</t>
    </rPh>
    <rPh sb="31" eb="33">
      <t>ゲシャ</t>
    </rPh>
    <rPh sb="33" eb="35">
      <t>トホ</t>
    </rPh>
    <rPh sb="36" eb="37">
      <t>プン</t>
    </rPh>
    <phoneticPr fontId="2"/>
  </si>
  <si>
    <t>所沢市・(福)皆成会</t>
  </si>
  <si>
    <t>所沢市立キャンバス</t>
    <phoneticPr fontId="2"/>
  </si>
  <si>
    <t>所沢市</t>
    <phoneticPr fontId="2"/>
  </si>
  <si>
    <t>下富653-5</t>
    <phoneticPr fontId="2"/>
  </si>
  <si>
    <t>西武新宿線新所沢駅からフラワーヒル行西武バス「下富」下車徒歩3分</t>
    <rPh sb="0" eb="5">
      <t>セイブシンジュクセン</t>
    </rPh>
    <rPh sb="5" eb="8">
      <t>シントコロザワ</t>
    </rPh>
    <rPh sb="8" eb="9">
      <t>エキ</t>
    </rPh>
    <rPh sb="17" eb="18">
      <t>ショギョウ</t>
    </rPh>
    <rPh sb="18" eb="20">
      <t>セイブ</t>
    </rPh>
    <rPh sb="23" eb="25">
      <t>シモトミ</t>
    </rPh>
    <rPh sb="26" eb="28">
      <t>ゲシャ</t>
    </rPh>
    <rPh sb="28" eb="30">
      <t>トホ</t>
    </rPh>
    <rPh sb="31" eb="32">
      <t>プン</t>
    </rPh>
    <phoneticPr fontId="2"/>
  </si>
  <si>
    <t>三芳太陽の家</t>
    <rPh sb="0" eb="2">
      <t>ミヨシ</t>
    </rPh>
    <rPh sb="2" eb="4">
      <t>タイヨウ</t>
    </rPh>
    <rPh sb="5" eb="6">
      <t>イエ</t>
    </rPh>
    <phoneticPr fontId="2"/>
  </si>
  <si>
    <t>049-259-0058</t>
  </si>
  <si>
    <t>049-259-0196</t>
  </si>
  <si>
    <t>所沢市・(福)所沢市社会福祉協議会</t>
  </si>
  <si>
    <t>所沢市立プロペラ</t>
    <phoneticPr fontId="2"/>
  </si>
  <si>
    <t>坂之下673-1</t>
    <phoneticPr fontId="2"/>
  </si>
  <si>
    <t>04-2945-7777</t>
    <phoneticPr fontId="2"/>
  </si>
  <si>
    <t>04-2945-7161</t>
    <phoneticPr fontId="2"/>
  </si>
  <si>
    <t>武蔵野線東所沢駅から志木駅行バス「坂の下上」下車徒歩15分</t>
    <rPh sb="0" eb="3">
      <t>ムサシノ</t>
    </rPh>
    <rPh sb="3" eb="4">
      <t>セン</t>
    </rPh>
    <rPh sb="4" eb="7">
      <t>ヒガシトコロザワ</t>
    </rPh>
    <rPh sb="7" eb="8">
      <t>エキ</t>
    </rPh>
    <rPh sb="10" eb="12">
      <t>シキ</t>
    </rPh>
    <rPh sb="12" eb="13">
      <t>エキ</t>
    </rPh>
    <rPh sb="13" eb="14">
      <t>イ</t>
    </rPh>
    <rPh sb="17" eb="18">
      <t>サカ</t>
    </rPh>
    <rPh sb="19" eb="20">
      <t>シタ</t>
    </rPh>
    <rPh sb="20" eb="21">
      <t>ウエ</t>
    </rPh>
    <rPh sb="22" eb="24">
      <t>ゲシャ</t>
    </rPh>
    <rPh sb="24" eb="26">
      <t>トホ</t>
    </rPh>
    <rPh sb="28" eb="29">
      <t>フン</t>
    </rPh>
    <phoneticPr fontId="2"/>
  </si>
  <si>
    <t>杉戸町・(福)杉風会</t>
  </si>
  <si>
    <t>デイケアかわせみ</t>
    <phoneticPr fontId="0"/>
  </si>
  <si>
    <t>倉松828-6</t>
  </si>
  <si>
    <t>0480-37-2682</t>
  </si>
  <si>
    <t>東武動物公園駅から西宝珠花行バス「第２小学校前」下車徒歩10分</t>
    <rPh sb="0" eb="7">
      <t>トウブドウブツコウエンエキ</t>
    </rPh>
    <rPh sb="9" eb="10">
      <t>ニシ</t>
    </rPh>
    <rPh sb="10" eb="11">
      <t>タカラ</t>
    </rPh>
    <rPh sb="13" eb="14">
      <t>ユキ</t>
    </rPh>
    <rPh sb="14" eb="15">
      <t>ナカユキ</t>
    </rPh>
    <rPh sb="17" eb="18">
      <t>ダイ</t>
    </rPh>
    <rPh sb="19" eb="22">
      <t>ショウガッコウ</t>
    </rPh>
    <rPh sb="22" eb="23">
      <t>マエ</t>
    </rPh>
    <rPh sb="24" eb="26">
      <t>ゲシャ</t>
    </rPh>
    <rPh sb="26" eb="28">
      <t>トホ</t>
    </rPh>
    <rPh sb="30" eb="31">
      <t>フン</t>
    </rPh>
    <phoneticPr fontId="2"/>
  </si>
  <si>
    <t>(福)梨花の里</t>
  </si>
  <si>
    <t>梨花の里</t>
    <phoneticPr fontId="2"/>
  </si>
  <si>
    <t>児玉郡上里町</t>
    <phoneticPr fontId="2"/>
  </si>
  <si>
    <t>七本木417-1</t>
    <phoneticPr fontId="2"/>
  </si>
  <si>
    <t>0495-33-3321</t>
    <phoneticPr fontId="2"/>
  </si>
  <si>
    <t>0495-33-3302</t>
    <phoneticPr fontId="2"/>
  </si>
  <si>
    <t>むさしの青年寮</t>
    <phoneticPr fontId="2"/>
  </si>
  <si>
    <t>東松山市</t>
    <phoneticPr fontId="2"/>
  </si>
  <si>
    <t>大谷4730</t>
    <phoneticPr fontId="2"/>
  </si>
  <si>
    <t>0493-39-1895</t>
    <phoneticPr fontId="2"/>
  </si>
  <si>
    <t>0493-39-1380</t>
    <phoneticPr fontId="2"/>
  </si>
  <si>
    <t>(福)皆成会</t>
    <phoneticPr fontId="2"/>
  </si>
  <si>
    <t>光の園</t>
    <phoneticPr fontId="2"/>
  </si>
  <si>
    <t>東狭山ケ丘6-2833-2</t>
    <phoneticPr fontId="2"/>
  </si>
  <si>
    <t>西武池袋線狭山ヶ丘駅下車徒歩13分</t>
    <rPh sb="0" eb="5">
      <t>セイブイケブクロセン</t>
    </rPh>
    <rPh sb="5" eb="9">
      <t>サヤマガオカ</t>
    </rPh>
    <rPh sb="9" eb="10">
      <t>エキ</t>
    </rPh>
    <rPh sb="10" eb="12">
      <t>ゲシャ</t>
    </rPh>
    <rPh sb="12" eb="14">
      <t>トホ</t>
    </rPh>
    <rPh sb="16" eb="17">
      <t>プン</t>
    </rPh>
    <phoneticPr fontId="2"/>
  </si>
  <si>
    <t>羽生市</t>
    <phoneticPr fontId="2"/>
  </si>
  <si>
    <t>上川俣1476</t>
    <phoneticPr fontId="2"/>
  </si>
  <si>
    <t>048-563-0551</t>
    <phoneticPr fontId="2"/>
  </si>
  <si>
    <t>むさしの園</t>
    <phoneticPr fontId="2"/>
  </si>
  <si>
    <t>048-563-0552</t>
    <phoneticPr fontId="2"/>
  </si>
  <si>
    <t>東武伊勢崎線羽生駅下車タクシー10分</t>
    <rPh sb="0" eb="2">
      <t>トウブ</t>
    </rPh>
    <rPh sb="2" eb="5">
      <t>イセサキ</t>
    </rPh>
    <rPh sb="5" eb="6">
      <t>セン</t>
    </rPh>
    <rPh sb="6" eb="8">
      <t>ハニュウ</t>
    </rPh>
    <rPh sb="8" eb="9">
      <t>エキ</t>
    </rPh>
    <rPh sb="9" eb="11">
      <t>ゲシャ</t>
    </rPh>
    <rPh sb="17" eb="18">
      <t>プン</t>
    </rPh>
    <phoneticPr fontId="2"/>
  </si>
  <si>
    <t>吹上富士見2-2-14</t>
    <rPh sb="0" eb="2">
      <t>フキアゲ</t>
    </rPh>
    <rPh sb="2" eb="5">
      <t>フジミ</t>
    </rPh>
    <phoneticPr fontId="2"/>
  </si>
  <si>
    <t>高崎線吹上駅南口から徒歩15分</t>
    <rPh sb="0" eb="2">
      <t>タカサキ</t>
    </rPh>
    <rPh sb="2" eb="3">
      <t>セン</t>
    </rPh>
    <rPh sb="3" eb="5">
      <t>フキアゲ</t>
    </rPh>
    <rPh sb="5" eb="6">
      <t>エキ</t>
    </rPh>
    <rPh sb="6" eb="8">
      <t>ミナミグチ</t>
    </rPh>
    <rPh sb="10" eb="12">
      <t>トホ</t>
    </rPh>
    <rPh sb="14" eb="15">
      <t>フン</t>
    </rPh>
    <phoneticPr fontId="2"/>
  </si>
  <si>
    <t>そうか光生園</t>
    <phoneticPr fontId="2"/>
  </si>
  <si>
    <t>草加市</t>
    <phoneticPr fontId="2"/>
  </si>
  <si>
    <t>柿木町1215-1</t>
    <phoneticPr fontId="2"/>
  </si>
  <si>
    <t>048-936-5088</t>
    <phoneticPr fontId="2"/>
  </si>
  <si>
    <t>048-932-1311</t>
    <phoneticPr fontId="2"/>
  </si>
  <si>
    <t>身</t>
    <rPh sb="0" eb="1">
      <t>ミ</t>
    </rPh>
    <phoneticPr fontId="2"/>
  </si>
  <si>
    <t>泉井1003-1</t>
    <phoneticPr fontId="2"/>
  </si>
  <si>
    <t>049-296-2284</t>
    <phoneticPr fontId="2"/>
  </si>
  <si>
    <t>049-296-6474</t>
    <phoneticPr fontId="2"/>
  </si>
  <si>
    <t>東武東上線坂戸駅より大橋行バス「熊井」下車徒歩1分</t>
    <rPh sb="0" eb="5">
      <t>トウブトウジョウセン</t>
    </rPh>
    <rPh sb="5" eb="8">
      <t>サカドエキ</t>
    </rPh>
    <rPh sb="10" eb="12">
      <t>オオハシ</t>
    </rPh>
    <rPh sb="12" eb="13">
      <t>イ</t>
    </rPh>
    <rPh sb="16" eb="18">
      <t>クマイ</t>
    </rPh>
    <rPh sb="19" eb="21">
      <t>ゲシャ</t>
    </rPh>
    <rPh sb="21" eb="23">
      <t>トホ</t>
    </rPh>
    <rPh sb="24" eb="25">
      <t>フン</t>
    </rPh>
    <phoneticPr fontId="2"/>
  </si>
  <si>
    <t>(財)西熊谷病院</t>
    <rPh sb="1" eb="2">
      <t>ザイ</t>
    </rPh>
    <rPh sb="3" eb="6">
      <t>ニシクマガヤ</t>
    </rPh>
    <rPh sb="6" eb="8">
      <t>ビョウイン</t>
    </rPh>
    <phoneticPr fontId="2"/>
  </si>
  <si>
    <t>向陽寮</t>
    <rPh sb="0" eb="2">
      <t>コウヨウ</t>
    </rPh>
    <rPh sb="2" eb="3">
      <t>リョウ</t>
    </rPh>
    <phoneticPr fontId="2"/>
  </si>
  <si>
    <t>石原519-5</t>
    <rPh sb="0" eb="2">
      <t>イシハラ</t>
    </rPh>
    <phoneticPr fontId="2"/>
  </si>
  <si>
    <t>048-520-5520</t>
    <phoneticPr fontId="2"/>
  </si>
  <si>
    <t>048-520-5528</t>
    <phoneticPr fontId="2"/>
  </si>
  <si>
    <t>熊谷駅から深谷駅行又は新島車庫行バス「西熊谷病院前」下車徒歩1分</t>
    <rPh sb="0" eb="2">
      <t>クマガヤ</t>
    </rPh>
    <rPh sb="2" eb="3">
      <t>エキ</t>
    </rPh>
    <rPh sb="5" eb="7">
      <t>フカヤ</t>
    </rPh>
    <rPh sb="7" eb="8">
      <t>エキ</t>
    </rPh>
    <rPh sb="8" eb="9">
      <t>イ</t>
    </rPh>
    <rPh sb="9" eb="10">
      <t>マタ</t>
    </rPh>
    <rPh sb="11" eb="13">
      <t>ニイジマ</t>
    </rPh>
    <rPh sb="13" eb="15">
      <t>シャコ</t>
    </rPh>
    <rPh sb="15" eb="16">
      <t>イ</t>
    </rPh>
    <rPh sb="19" eb="20">
      <t>ニシ</t>
    </rPh>
    <rPh sb="20" eb="22">
      <t>クマガヤ</t>
    </rPh>
    <rPh sb="22" eb="24">
      <t>ビョウイン</t>
    </rPh>
    <rPh sb="24" eb="25">
      <t>マエ</t>
    </rPh>
    <rPh sb="26" eb="28">
      <t>ゲシャ</t>
    </rPh>
    <rPh sb="28" eb="30">
      <t>トホ</t>
    </rPh>
    <rPh sb="31" eb="32">
      <t>プン</t>
    </rPh>
    <phoneticPr fontId="2"/>
  </si>
  <si>
    <t>京浜東北線川口駅東口からサンテピア行バス「サンテピア」下車徒歩3分</t>
    <rPh sb="0" eb="2">
      <t>ケイヒン</t>
    </rPh>
    <rPh sb="2" eb="4">
      <t>トウホク</t>
    </rPh>
    <rPh sb="4" eb="5">
      <t>セン</t>
    </rPh>
    <rPh sb="5" eb="7">
      <t>カワグチ</t>
    </rPh>
    <rPh sb="7" eb="8">
      <t>エキ</t>
    </rPh>
    <rPh sb="8" eb="10">
      <t>ヒガシグチ</t>
    </rPh>
    <rPh sb="17" eb="18">
      <t>イ</t>
    </rPh>
    <rPh sb="27" eb="29">
      <t>ゲシャ</t>
    </rPh>
    <rPh sb="29" eb="31">
      <t>トホ</t>
    </rPh>
    <rPh sb="32" eb="33">
      <t>フン</t>
    </rPh>
    <phoneticPr fontId="2"/>
  </si>
  <si>
    <t>○</t>
    <phoneticPr fontId="2"/>
  </si>
  <si>
    <t>048-284-3451</t>
    <phoneticPr fontId="2"/>
  </si>
  <si>
    <t>048-284-3450</t>
    <phoneticPr fontId="2"/>
  </si>
  <si>
    <t>赤井1227</t>
    <rPh sb="0" eb="2">
      <t>アカイ</t>
    </rPh>
    <phoneticPr fontId="2"/>
  </si>
  <si>
    <t>川口市心身障害福祉センターわかゆり学園</t>
    <rPh sb="0" eb="3">
      <t>カワグチシ</t>
    </rPh>
    <rPh sb="3" eb="5">
      <t>シンシン</t>
    </rPh>
    <rPh sb="5" eb="7">
      <t>ショウガイ</t>
    </rPh>
    <rPh sb="7" eb="9">
      <t>フクシ</t>
    </rPh>
    <rPh sb="17" eb="19">
      <t>ガクエン</t>
    </rPh>
    <phoneticPr fontId="2"/>
  </si>
  <si>
    <t>東武野田線南桜井駅下車徒歩6分</t>
    <rPh sb="0" eb="2">
      <t>トウブ</t>
    </rPh>
    <rPh sb="2" eb="4">
      <t>ノダ</t>
    </rPh>
    <rPh sb="4" eb="5">
      <t>セン</t>
    </rPh>
    <rPh sb="5" eb="8">
      <t>ミナミサクライ</t>
    </rPh>
    <rPh sb="8" eb="9">
      <t>エキ</t>
    </rPh>
    <rPh sb="9" eb="11">
      <t>ゲシャ</t>
    </rPh>
    <rPh sb="11" eb="13">
      <t>トホ</t>
    </rPh>
    <rPh sb="14" eb="15">
      <t>フン</t>
    </rPh>
    <phoneticPr fontId="2"/>
  </si>
  <si>
    <t>048-718-2012</t>
    <phoneticPr fontId="2"/>
  </si>
  <si>
    <t>048-718-2011</t>
    <phoneticPr fontId="2"/>
  </si>
  <si>
    <t>大衾496-455</t>
    <rPh sb="0" eb="1">
      <t>オオ</t>
    </rPh>
    <phoneticPr fontId="2"/>
  </si>
  <si>
    <t>ひまわり園</t>
    <rPh sb="4" eb="5">
      <t>エン</t>
    </rPh>
    <phoneticPr fontId="2"/>
  </si>
  <si>
    <t>春日部駅下車徒歩17分</t>
    <rPh sb="0" eb="3">
      <t>カスカベ</t>
    </rPh>
    <rPh sb="3" eb="4">
      <t>エキ</t>
    </rPh>
    <rPh sb="4" eb="6">
      <t>ゲシャ</t>
    </rPh>
    <rPh sb="6" eb="8">
      <t>トホ</t>
    </rPh>
    <rPh sb="10" eb="11">
      <t>フン</t>
    </rPh>
    <phoneticPr fontId="2"/>
  </si>
  <si>
    <t>樋堀369-1</t>
    <rPh sb="0" eb="1">
      <t>ヒ</t>
    </rPh>
    <rPh sb="1" eb="2">
      <t>ホリ</t>
    </rPh>
    <phoneticPr fontId="2"/>
  </si>
  <si>
    <t>武蔵野線三郷駅南口から金町駅南口行バス「総合体育館」下車徒歩2分</t>
    <rPh sb="0" eb="3">
      <t>ムサシノ</t>
    </rPh>
    <rPh sb="3" eb="4">
      <t>セン</t>
    </rPh>
    <rPh sb="4" eb="6">
      <t>ミサト</t>
    </rPh>
    <rPh sb="6" eb="7">
      <t>エキ</t>
    </rPh>
    <rPh sb="7" eb="9">
      <t>ミナミグチ</t>
    </rPh>
    <rPh sb="11" eb="13">
      <t>カナマチ</t>
    </rPh>
    <rPh sb="13" eb="14">
      <t>エキ</t>
    </rPh>
    <rPh sb="14" eb="16">
      <t>ミナミグチ</t>
    </rPh>
    <rPh sb="16" eb="17">
      <t>イ</t>
    </rPh>
    <rPh sb="20" eb="22">
      <t>ソウゴウ</t>
    </rPh>
    <rPh sb="22" eb="25">
      <t>タイイクカン</t>
    </rPh>
    <rPh sb="26" eb="28">
      <t>ゲシャ</t>
    </rPh>
    <rPh sb="28" eb="30">
      <t>トホ</t>
    </rPh>
    <rPh sb="31" eb="32">
      <t>フン</t>
    </rPh>
    <phoneticPr fontId="2"/>
  </si>
  <si>
    <t>048-953-4779</t>
    <phoneticPr fontId="2"/>
  </si>
  <si>
    <t>048-953-4789</t>
    <phoneticPr fontId="2"/>
  </si>
  <si>
    <t>三郷市障がい者福祉施設みさと</t>
    <rPh sb="0" eb="3">
      <t>ミサトシ</t>
    </rPh>
    <rPh sb="3" eb="4">
      <t>ショウ</t>
    </rPh>
    <rPh sb="6" eb="7">
      <t>シャ</t>
    </rPh>
    <rPh sb="7" eb="9">
      <t>フクシ</t>
    </rPh>
    <rPh sb="9" eb="11">
      <t>シセツ</t>
    </rPh>
    <phoneticPr fontId="2"/>
  </si>
  <si>
    <t>東武伊勢崎線草加駅西口から川口駅行バス「草加西町」下車徒歩10分</t>
    <rPh sb="0" eb="2">
      <t>トウブ</t>
    </rPh>
    <rPh sb="2" eb="5">
      <t>イセサキ</t>
    </rPh>
    <rPh sb="5" eb="6">
      <t>セン</t>
    </rPh>
    <rPh sb="6" eb="8">
      <t>ソウカ</t>
    </rPh>
    <rPh sb="8" eb="9">
      <t>エキ</t>
    </rPh>
    <rPh sb="9" eb="11">
      <t>ニシグチ</t>
    </rPh>
    <rPh sb="13" eb="15">
      <t>カワグチ</t>
    </rPh>
    <rPh sb="15" eb="16">
      <t>エキ</t>
    </rPh>
    <rPh sb="16" eb="17">
      <t>イ</t>
    </rPh>
    <rPh sb="20" eb="22">
      <t>ソウカ</t>
    </rPh>
    <rPh sb="22" eb="24">
      <t>ニシチョウ</t>
    </rPh>
    <rPh sb="25" eb="27">
      <t>ゲシャ</t>
    </rPh>
    <rPh sb="27" eb="29">
      <t>トホ</t>
    </rPh>
    <rPh sb="31" eb="32">
      <t>プン</t>
    </rPh>
    <phoneticPr fontId="2"/>
  </si>
  <si>
    <t>○</t>
    <phoneticPr fontId="2"/>
  </si>
  <si>
    <t>048-928-6658</t>
    <phoneticPr fontId="2"/>
  </si>
  <si>
    <t>苗塚町42-22</t>
    <rPh sb="0" eb="1">
      <t>ナエ</t>
    </rPh>
    <rPh sb="1" eb="3">
      <t>ツカチョウ</t>
    </rPh>
    <phoneticPr fontId="2"/>
  </si>
  <si>
    <t>西れんげ草</t>
    <rPh sb="0" eb="1">
      <t>ニシ</t>
    </rPh>
    <rPh sb="4" eb="5">
      <t>ソウ</t>
    </rPh>
    <phoneticPr fontId="2"/>
  </si>
  <si>
    <t>西武新宿線航空公園駅からエステシティー所沢行バス「若松町」下車</t>
    <rPh sb="0" eb="2">
      <t>セイブ</t>
    </rPh>
    <rPh sb="2" eb="4">
      <t>シンジュク</t>
    </rPh>
    <rPh sb="4" eb="5">
      <t>セン</t>
    </rPh>
    <rPh sb="5" eb="7">
      <t>コウクウ</t>
    </rPh>
    <rPh sb="7" eb="9">
      <t>コウエン</t>
    </rPh>
    <rPh sb="9" eb="10">
      <t>エキ</t>
    </rPh>
    <rPh sb="19" eb="21">
      <t>トコロザワ</t>
    </rPh>
    <rPh sb="21" eb="22">
      <t>イ</t>
    </rPh>
    <rPh sb="25" eb="28">
      <t>ワカマツチョウ</t>
    </rPh>
    <rPh sb="29" eb="31">
      <t>ゲシャ</t>
    </rPh>
    <phoneticPr fontId="2"/>
  </si>
  <si>
    <t>04-2992-2329</t>
    <phoneticPr fontId="2"/>
  </si>
  <si>
    <t>北原町924-3</t>
    <rPh sb="0" eb="3">
      <t>キタハラチョウ</t>
    </rPh>
    <phoneticPr fontId="2"/>
  </si>
  <si>
    <t>所沢市立はばたき</t>
    <rPh sb="0" eb="2">
      <t>トコロザワ</t>
    </rPh>
    <rPh sb="2" eb="4">
      <t>シリツ</t>
    </rPh>
    <phoneticPr fontId="2"/>
  </si>
  <si>
    <t>所沢市・（福）藤の実会</t>
    <rPh sb="0" eb="3">
      <t>トコロザワシ</t>
    </rPh>
    <rPh sb="5" eb="6">
      <t>フク</t>
    </rPh>
    <rPh sb="7" eb="8">
      <t>フジ</t>
    </rPh>
    <rPh sb="9" eb="10">
      <t>ミ</t>
    </rPh>
    <rPh sb="10" eb="11">
      <t>カイ</t>
    </rPh>
    <phoneticPr fontId="2"/>
  </si>
  <si>
    <t>西武池袋線仏子駅下車徒歩20分</t>
    <rPh sb="0" eb="2">
      <t>セイブ</t>
    </rPh>
    <rPh sb="2" eb="4">
      <t>イケブクロ</t>
    </rPh>
    <rPh sb="4" eb="5">
      <t>セン</t>
    </rPh>
    <rPh sb="5" eb="7">
      <t>ブシ</t>
    </rPh>
    <rPh sb="7" eb="8">
      <t>エキ</t>
    </rPh>
    <rPh sb="8" eb="10">
      <t>ゲシャ</t>
    </rPh>
    <rPh sb="10" eb="12">
      <t>トホ</t>
    </rPh>
    <rPh sb="14" eb="15">
      <t>フン</t>
    </rPh>
    <phoneticPr fontId="2"/>
  </si>
  <si>
    <t>04-2955-8900</t>
    <phoneticPr fontId="2"/>
  </si>
  <si>
    <t>笹井3260-2</t>
    <rPh sb="0" eb="2">
      <t>ササイ</t>
    </rPh>
    <phoneticPr fontId="2"/>
  </si>
  <si>
    <t>オアシス作業所</t>
    <rPh sb="4" eb="7">
      <t>サギョウショ</t>
    </rPh>
    <phoneticPr fontId="2"/>
  </si>
  <si>
    <t>西武池袋線入間市駅から河辺駅北口行バス「桂橋」下車徒歩8分</t>
    <rPh sb="0" eb="2">
      <t>セイブ</t>
    </rPh>
    <rPh sb="2" eb="4">
      <t>イケブクロ</t>
    </rPh>
    <rPh sb="4" eb="5">
      <t>セン</t>
    </rPh>
    <rPh sb="5" eb="8">
      <t>イルマシ</t>
    </rPh>
    <rPh sb="8" eb="9">
      <t>エキ</t>
    </rPh>
    <rPh sb="11" eb="13">
      <t>カワベ</t>
    </rPh>
    <rPh sb="13" eb="14">
      <t>エキ</t>
    </rPh>
    <rPh sb="14" eb="16">
      <t>キタグチ</t>
    </rPh>
    <rPh sb="16" eb="17">
      <t>イ</t>
    </rPh>
    <rPh sb="20" eb="21">
      <t>カツラ</t>
    </rPh>
    <rPh sb="21" eb="22">
      <t>ハシ</t>
    </rPh>
    <rPh sb="23" eb="25">
      <t>ゲシャ</t>
    </rPh>
    <rPh sb="25" eb="27">
      <t>トホ</t>
    </rPh>
    <rPh sb="28" eb="29">
      <t>フン</t>
    </rPh>
    <phoneticPr fontId="2"/>
  </si>
  <si>
    <t>04-2962-0506</t>
    <phoneticPr fontId="2"/>
  </si>
  <si>
    <t>04-2962-5907</t>
    <phoneticPr fontId="2"/>
  </si>
  <si>
    <t>小谷田707-1</t>
    <rPh sb="0" eb="2">
      <t>コタニ</t>
    </rPh>
    <rPh sb="2" eb="3">
      <t>ダ</t>
    </rPh>
    <phoneticPr fontId="2"/>
  </si>
  <si>
    <t>おおるり</t>
    <phoneticPr fontId="2"/>
  </si>
  <si>
    <t>048-588-8830</t>
    <phoneticPr fontId="2"/>
  </si>
  <si>
    <t>048-588-1358</t>
    <phoneticPr fontId="2"/>
  </si>
  <si>
    <t>けやき寮</t>
    <rPh sb="3" eb="4">
      <t>リョウ</t>
    </rPh>
    <phoneticPr fontId="2"/>
  </si>
  <si>
    <t>熊谷駅から妻沼行バス「葉草」下車徒歩2分</t>
    <rPh sb="0" eb="2">
      <t>クマガヤ</t>
    </rPh>
    <rPh sb="2" eb="3">
      <t>エキ</t>
    </rPh>
    <rPh sb="5" eb="7">
      <t>メヌマ</t>
    </rPh>
    <rPh sb="7" eb="8">
      <t>イ</t>
    </rPh>
    <rPh sb="11" eb="12">
      <t>ハ</t>
    </rPh>
    <rPh sb="12" eb="13">
      <t>クサ</t>
    </rPh>
    <rPh sb="14" eb="16">
      <t>ゲシャ</t>
    </rPh>
    <rPh sb="16" eb="18">
      <t>トホ</t>
    </rPh>
    <rPh sb="19" eb="20">
      <t>プン</t>
    </rPh>
    <phoneticPr fontId="2"/>
  </si>
  <si>
    <t>048-599-3559</t>
    <phoneticPr fontId="2"/>
  </si>
  <si>
    <t>048-599-3558</t>
    <phoneticPr fontId="2"/>
  </si>
  <si>
    <t>下奈良1561</t>
    <rPh sb="0" eb="3">
      <t>シモナラ</t>
    </rPh>
    <phoneticPr fontId="2"/>
  </si>
  <si>
    <t>ララク遊</t>
    <rPh sb="3" eb="4">
      <t>ユウ</t>
    </rPh>
    <phoneticPr fontId="2"/>
  </si>
  <si>
    <t>048-532-8655</t>
    <phoneticPr fontId="2"/>
  </si>
  <si>
    <t>高柳73-3</t>
    <rPh sb="0" eb="2">
      <t>タカヤナギ</t>
    </rPh>
    <phoneticPr fontId="2"/>
  </si>
  <si>
    <t>あけぼの事業所</t>
    <rPh sb="4" eb="7">
      <t>ジギョウショ</t>
    </rPh>
    <phoneticPr fontId="2"/>
  </si>
  <si>
    <t>東武伊勢崎線加須駅から加須市循環バス北循環コース「あけぼの園前」下車</t>
    <rPh sb="0" eb="2">
      <t>トウブ</t>
    </rPh>
    <rPh sb="2" eb="5">
      <t>イセサキ</t>
    </rPh>
    <rPh sb="5" eb="6">
      <t>セン</t>
    </rPh>
    <rPh sb="6" eb="8">
      <t>カゾ</t>
    </rPh>
    <rPh sb="8" eb="9">
      <t>エキ</t>
    </rPh>
    <rPh sb="11" eb="14">
      <t>カゾシ</t>
    </rPh>
    <rPh sb="14" eb="16">
      <t>ジュンカン</t>
    </rPh>
    <rPh sb="18" eb="19">
      <t>キタ</t>
    </rPh>
    <rPh sb="19" eb="21">
      <t>ジュンカン</t>
    </rPh>
    <rPh sb="29" eb="30">
      <t>エン</t>
    </rPh>
    <rPh sb="30" eb="31">
      <t>マエ</t>
    </rPh>
    <rPh sb="32" eb="34">
      <t>ゲシャ</t>
    </rPh>
    <phoneticPr fontId="2"/>
  </si>
  <si>
    <t>0480-63-0720</t>
    <phoneticPr fontId="2"/>
  </si>
  <si>
    <t>0480-63-2010</t>
    <phoneticPr fontId="2"/>
  </si>
  <si>
    <t>北小浜800-1</t>
    <rPh sb="0" eb="1">
      <t>キタ</t>
    </rPh>
    <rPh sb="1" eb="3">
      <t>コハマ</t>
    </rPh>
    <phoneticPr fontId="2"/>
  </si>
  <si>
    <t>加須市障害福祉サービス事業所あけぼの園</t>
    <rPh sb="0" eb="3">
      <t>カゾシ</t>
    </rPh>
    <rPh sb="3" eb="5">
      <t>ショウガイ</t>
    </rPh>
    <rPh sb="5" eb="7">
      <t>フクシ</t>
    </rPh>
    <rPh sb="11" eb="14">
      <t>ジギョウショ</t>
    </rPh>
    <rPh sb="18" eb="19">
      <t>エン</t>
    </rPh>
    <phoneticPr fontId="2"/>
  </si>
  <si>
    <t>加須市・（福）加須市社会福祉協議会</t>
    <rPh sb="0" eb="3">
      <t>カゾシ</t>
    </rPh>
    <rPh sb="5" eb="6">
      <t>フク</t>
    </rPh>
    <rPh sb="7" eb="10">
      <t>カゾシ</t>
    </rPh>
    <rPh sb="10" eb="12">
      <t>シャカイ</t>
    </rPh>
    <rPh sb="12" eb="14">
      <t>フクシ</t>
    </rPh>
    <rPh sb="14" eb="17">
      <t>キョウギカイ</t>
    </rPh>
    <phoneticPr fontId="2"/>
  </si>
  <si>
    <t>東武東上線志木駅からひばりヶ丘駅北口行バス「新座市児童センター」下車徒歩3分</t>
    <rPh sb="5" eb="7">
      <t>シキ</t>
    </rPh>
    <rPh sb="14" eb="16">
      <t>オカエキ</t>
    </rPh>
    <rPh sb="16" eb="18">
      <t>キタグチ</t>
    </rPh>
    <rPh sb="18" eb="19">
      <t>ギョウ</t>
    </rPh>
    <rPh sb="19" eb="20">
      <t>ジギョウ</t>
    </rPh>
    <rPh sb="22" eb="25">
      <t>ニイザシ</t>
    </rPh>
    <rPh sb="25" eb="27">
      <t>ジドウ</t>
    </rPh>
    <rPh sb="31" eb="32">
      <t>タテマエ</t>
    </rPh>
    <phoneticPr fontId="2"/>
  </si>
  <si>
    <t>048-481-3220</t>
    <phoneticPr fontId="2"/>
  </si>
  <si>
    <t>堀之内3-2-41</t>
    <rPh sb="0" eb="3">
      <t>ホリノウチ</t>
    </rPh>
    <phoneticPr fontId="2"/>
  </si>
  <si>
    <t>アイズ</t>
    <phoneticPr fontId="2"/>
  </si>
  <si>
    <t>武蔵野線新座駅下車徒歩20分</t>
    <rPh sb="0" eb="3">
      <t>ムサシノ</t>
    </rPh>
    <rPh sb="3" eb="4">
      <t>セン</t>
    </rPh>
    <rPh sb="4" eb="6">
      <t>ニイザ</t>
    </rPh>
    <rPh sb="6" eb="7">
      <t>エキ</t>
    </rPh>
    <rPh sb="7" eb="9">
      <t>ゲシャ</t>
    </rPh>
    <rPh sb="9" eb="11">
      <t>トホ</t>
    </rPh>
    <rPh sb="13" eb="14">
      <t>フン</t>
    </rPh>
    <phoneticPr fontId="2"/>
  </si>
  <si>
    <t>くるみの木</t>
    <rPh sb="4" eb="5">
      <t>キ</t>
    </rPh>
    <phoneticPr fontId="2"/>
  </si>
  <si>
    <t>宇都宮線蓮田駅東口から国立東埼玉病院行バス「火の見下」下車徒歩1分</t>
    <rPh sb="0" eb="3">
      <t>ウツノミヤ</t>
    </rPh>
    <rPh sb="3" eb="4">
      <t>セン</t>
    </rPh>
    <rPh sb="4" eb="6">
      <t>ハスダ</t>
    </rPh>
    <rPh sb="6" eb="7">
      <t>エキ</t>
    </rPh>
    <rPh sb="7" eb="9">
      <t>ヒガシグチ</t>
    </rPh>
    <rPh sb="11" eb="13">
      <t>コクリツ</t>
    </rPh>
    <rPh sb="13" eb="14">
      <t>ヒガシ</t>
    </rPh>
    <rPh sb="14" eb="16">
      <t>サイタマ</t>
    </rPh>
    <rPh sb="16" eb="18">
      <t>ビョウイン</t>
    </rPh>
    <rPh sb="18" eb="19">
      <t>イ</t>
    </rPh>
    <rPh sb="22" eb="23">
      <t>ヒ</t>
    </rPh>
    <rPh sb="24" eb="25">
      <t>ミ</t>
    </rPh>
    <rPh sb="25" eb="26">
      <t>シタ</t>
    </rPh>
    <rPh sb="27" eb="29">
      <t>ゲシャ</t>
    </rPh>
    <rPh sb="29" eb="31">
      <t>トホ</t>
    </rPh>
    <rPh sb="32" eb="33">
      <t>フン</t>
    </rPh>
    <phoneticPr fontId="2"/>
  </si>
  <si>
    <t>048-769-0985</t>
    <phoneticPr fontId="2"/>
  </si>
  <si>
    <t>黒浜1247-2</t>
    <rPh sb="0" eb="2">
      <t>クロハマ</t>
    </rPh>
    <phoneticPr fontId="2"/>
  </si>
  <si>
    <t>東武東上線若葉駅東口から八幡団地行バス「勝呂公民館前」下車徒歩3分</t>
    <rPh sb="8" eb="9">
      <t>ヒガシ</t>
    </rPh>
    <rPh sb="12" eb="14">
      <t>ハチマン</t>
    </rPh>
    <rPh sb="14" eb="16">
      <t>ダンチ</t>
    </rPh>
    <rPh sb="16" eb="17">
      <t>イ</t>
    </rPh>
    <rPh sb="20" eb="22">
      <t>スグロ</t>
    </rPh>
    <rPh sb="22" eb="25">
      <t>コウミンカン</t>
    </rPh>
    <rPh sb="25" eb="26">
      <t>マエ</t>
    </rPh>
    <phoneticPr fontId="2"/>
  </si>
  <si>
    <t>049-283-8455</t>
    <phoneticPr fontId="2"/>
  </si>
  <si>
    <t>049-283-5044</t>
    <phoneticPr fontId="2"/>
  </si>
  <si>
    <t>石井309-3</t>
    <rPh sb="0" eb="2">
      <t>イシイ</t>
    </rPh>
    <phoneticPr fontId="2"/>
  </si>
  <si>
    <t>坂戸市立勝呂福祉作業所</t>
    <rPh sb="0" eb="2">
      <t>サカド</t>
    </rPh>
    <rPh sb="2" eb="4">
      <t>シリツ</t>
    </rPh>
    <rPh sb="4" eb="6">
      <t>スグロ</t>
    </rPh>
    <rPh sb="6" eb="8">
      <t>フクシ</t>
    </rPh>
    <rPh sb="8" eb="11">
      <t>サギョウショ</t>
    </rPh>
    <phoneticPr fontId="2"/>
  </si>
  <si>
    <t>東武動物公園駅から境車庫行バス「上宇和田」下車徒歩5分</t>
    <rPh sb="0" eb="2">
      <t>トウブ</t>
    </rPh>
    <rPh sb="2" eb="4">
      <t>ドウブツ</t>
    </rPh>
    <rPh sb="4" eb="6">
      <t>コウエン</t>
    </rPh>
    <rPh sb="6" eb="7">
      <t>エキ</t>
    </rPh>
    <rPh sb="9" eb="10">
      <t>サカイ</t>
    </rPh>
    <rPh sb="10" eb="12">
      <t>シャコ</t>
    </rPh>
    <rPh sb="12" eb="13">
      <t>イ</t>
    </rPh>
    <rPh sb="16" eb="20">
      <t>カミウワダ</t>
    </rPh>
    <rPh sb="21" eb="23">
      <t>ゲシャ</t>
    </rPh>
    <rPh sb="23" eb="25">
      <t>トホ</t>
    </rPh>
    <rPh sb="26" eb="27">
      <t>フン</t>
    </rPh>
    <phoneticPr fontId="2"/>
  </si>
  <si>
    <t>0480-48-2427</t>
    <phoneticPr fontId="2"/>
  </si>
  <si>
    <t>0480-48-2424</t>
    <phoneticPr fontId="2"/>
  </si>
  <si>
    <t>上宇和田148-4</t>
    <rPh sb="0" eb="4">
      <t>カミウワダ</t>
    </rPh>
    <phoneticPr fontId="2"/>
  </si>
  <si>
    <t>幸手学園</t>
    <rPh sb="0" eb="2">
      <t>サッテ</t>
    </rPh>
    <rPh sb="2" eb="4">
      <t>ガクエン</t>
    </rPh>
    <phoneticPr fontId="2"/>
  </si>
  <si>
    <t>(福)くわの実会</t>
    <rPh sb="6" eb="7">
      <t>ミ</t>
    </rPh>
    <phoneticPr fontId="2"/>
  </si>
  <si>
    <t>(福)ともに福祉会</t>
  </si>
  <si>
    <t>ともにハウス</t>
    <phoneticPr fontId="2"/>
  </si>
  <si>
    <t>春日部市</t>
    <phoneticPr fontId="2"/>
  </si>
  <si>
    <t>内牧3921-1</t>
    <phoneticPr fontId="2"/>
  </si>
  <si>
    <t>048-763-4012</t>
    <phoneticPr fontId="2"/>
  </si>
  <si>
    <t>048-753-3879</t>
    <phoneticPr fontId="2"/>
  </si>
  <si>
    <t>東武伊勢崎線北春日部駅下車徒歩25分</t>
    <rPh sb="0" eb="2">
      <t>トウブ</t>
    </rPh>
    <rPh sb="2" eb="5">
      <t>イセサキ</t>
    </rPh>
    <rPh sb="5" eb="6">
      <t>セン</t>
    </rPh>
    <rPh sb="6" eb="10">
      <t>キタカスカベ</t>
    </rPh>
    <rPh sb="10" eb="11">
      <t>エキ</t>
    </rPh>
    <rPh sb="11" eb="13">
      <t>ゲシャ</t>
    </rPh>
    <rPh sb="13" eb="15">
      <t>トホ</t>
    </rPh>
    <rPh sb="17" eb="18">
      <t>フン</t>
    </rPh>
    <phoneticPr fontId="2"/>
  </si>
  <si>
    <t>(特非)あい・あーる</t>
    <rPh sb="1" eb="2">
      <t>トク</t>
    </rPh>
    <rPh sb="2" eb="3">
      <t>ヒ</t>
    </rPh>
    <phoneticPr fontId="2"/>
  </si>
  <si>
    <t>東武線北春日部駅もしくは八木崎駅下車徒歩15分</t>
    <rPh sb="0" eb="2">
      <t>トウブ</t>
    </rPh>
    <rPh sb="3" eb="7">
      <t>キタカスカベ</t>
    </rPh>
    <rPh sb="7" eb="8">
      <t>エキ</t>
    </rPh>
    <rPh sb="12" eb="15">
      <t>ヤギサキ</t>
    </rPh>
    <rPh sb="15" eb="16">
      <t>エキ</t>
    </rPh>
    <rPh sb="16" eb="18">
      <t>ゲシャ</t>
    </rPh>
    <rPh sb="18" eb="20">
      <t>トホ</t>
    </rPh>
    <rPh sb="22" eb="23">
      <t>フン</t>
    </rPh>
    <phoneticPr fontId="2"/>
  </si>
  <si>
    <t>(特非)ピュア・スマイル</t>
    <phoneticPr fontId="2"/>
  </si>
  <si>
    <t>ピュア・スマイル</t>
    <phoneticPr fontId="2"/>
  </si>
  <si>
    <t>中新井361-3</t>
    <rPh sb="0" eb="1">
      <t>ナカ</t>
    </rPh>
    <rPh sb="1" eb="3">
      <t>アライ</t>
    </rPh>
    <phoneticPr fontId="2"/>
  </si>
  <si>
    <t>048-780-2385</t>
    <phoneticPr fontId="2"/>
  </si>
  <si>
    <t>048-780-2214</t>
    <phoneticPr fontId="2"/>
  </si>
  <si>
    <t>高崎線上尾駅から上尾市内循環バス（大谷循環）「中新井南」下車徒歩5分</t>
    <rPh sb="0" eb="2">
      <t>タカサキ</t>
    </rPh>
    <rPh sb="2" eb="3">
      <t>セン</t>
    </rPh>
    <rPh sb="3" eb="5">
      <t>アゲオ</t>
    </rPh>
    <rPh sb="5" eb="6">
      <t>エキ</t>
    </rPh>
    <rPh sb="8" eb="10">
      <t>アゲオ</t>
    </rPh>
    <rPh sb="10" eb="12">
      <t>シナイ</t>
    </rPh>
    <rPh sb="12" eb="14">
      <t>ジュンカン</t>
    </rPh>
    <rPh sb="17" eb="19">
      <t>オオタニ</t>
    </rPh>
    <rPh sb="19" eb="21">
      <t>ジュンカン</t>
    </rPh>
    <rPh sb="23" eb="24">
      <t>ナカ</t>
    </rPh>
    <rPh sb="24" eb="26">
      <t>アライ</t>
    </rPh>
    <rPh sb="26" eb="27">
      <t>ミナミ</t>
    </rPh>
    <rPh sb="28" eb="30">
      <t>ゲシャ</t>
    </rPh>
    <rPh sb="30" eb="32">
      <t>トホ</t>
    </rPh>
    <rPh sb="33" eb="34">
      <t>フン</t>
    </rPh>
    <phoneticPr fontId="2"/>
  </si>
  <si>
    <t>(福)川口市社会福祉事業団</t>
    <rPh sb="3" eb="6">
      <t>カワグチシ</t>
    </rPh>
    <rPh sb="6" eb="8">
      <t>シャカイ</t>
    </rPh>
    <rPh sb="8" eb="10">
      <t>フクシ</t>
    </rPh>
    <rPh sb="10" eb="13">
      <t>ジギョウダン</t>
    </rPh>
    <phoneticPr fontId="2"/>
  </si>
  <si>
    <t>あさか向陽園</t>
    <phoneticPr fontId="2"/>
  </si>
  <si>
    <t>朝霞市</t>
    <phoneticPr fontId="2"/>
  </si>
  <si>
    <t>青葉台1-10-60</t>
    <phoneticPr fontId="2"/>
  </si>
  <si>
    <t>048-466-1411</t>
    <phoneticPr fontId="2"/>
  </si>
  <si>
    <t>048-467-4127</t>
    <phoneticPr fontId="2"/>
  </si>
  <si>
    <t>上尾市障害福祉サービス事業所かしの木園</t>
    <rPh sb="0" eb="3">
      <t>アゲオシ</t>
    </rPh>
    <rPh sb="3" eb="5">
      <t>ショウガイ</t>
    </rPh>
    <rPh sb="5" eb="7">
      <t>フクシ</t>
    </rPh>
    <rPh sb="11" eb="14">
      <t>ジギョウショ</t>
    </rPh>
    <rPh sb="17" eb="18">
      <t>キ</t>
    </rPh>
    <rPh sb="18" eb="19">
      <t>エン</t>
    </rPh>
    <phoneticPr fontId="2"/>
  </si>
  <si>
    <t>上尾市・（福）上尾市社会福祉協議会</t>
    <rPh sb="0" eb="3">
      <t>アゲオシ</t>
    </rPh>
    <rPh sb="5" eb="6">
      <t>フク</t>
    </rPh>
    <rPh sb="7" eb="10">
      <t>アゲオシ</t>
    </rPh>
    <rPh sb="10" eb="12">
      <t>シャカイ</t>
    </rPh>
    <rPh sb="12" eb="14">
      <t>フクシ</t>
    </rPh>
    <rPh sb="14" eb="17">
      <t>キョウギカイ</t>
    </rPh>
    <phoneticPr fontId="2"/>
  </si>
  <si>
    <t>048-776-2260</t>
    <phoneticPr fontId="2"/>
  </si>
  <si>
    <t>048-772-8647</t>
    <phoneticPr fontId="2"/>
  </si>
  <si>
    <t>(福)ひふみ会</t>
    <rPh sb="6" eb="7">
      <t>カイ</t>
    </rPh>
    <phoneticPr fontId="2"/>
  </si>
  <si>
    <t>理光</t>
    <rPh sb="0" eb="1">
      <t>リ</t>
    </rPh>
    <rPh sb="1" eb="2">
      <t>ヒカリ</t>
    </rPh>
    <phoneticPr fontId="2"/>
  </si>
  <si>
    <t>川口市</t>
    <phoneticPr fontId="2"/>
  </si>
  <si>
    <t>東領家5-15-15</t>
    <phoneticPr fontId="2"/>
  </si>
  <si>
    <t>048-223-3300</t>
    <phoneticPr fontId="2"/>
  </si>
  <si>
    <t>048-223-3500</t>
    <phoneticPr fontId="2"/>
  </si>
  <si>
    <t>京浜東北線川口駅東口から国際興業バス「領家市営住宅」下車徒歩5分</t>
    <rPh sb="0" eb="2">
      <t>ケイヒン</t>
    </rPh>
    <rPh sb="2" eb="4">
      <t>トウホク</t>
    </rPh>
    <rPh sb="4" eb="5">
      <t>セン</t>
    </rPh>
    <rPh sb="5" eb="7">
      <t>カワグチ</t>
    </rPh>
    <rPh sb="7" eb="8">
      <t>エキ</t>
    </rPh>
    <rPh sb="8" eb="10">
      <t>ヒガシグチ</t>
    </rPh>
    <rPh sb="12" eb="14">
      <t>コクサイ</t>
    </rPh>
    <rPh sb="14" eb="16">
      <t>コウギョウ</t>
    </rPh>
    <rPh sb="19" eb="21">
      <t>リョウケ</t>
    </rPh>
    <rPh sb="21" eb="23">
      <t>シエイ</t>
    </rPh>
    <rPh sb="23" eb="25">
      <t>ジュウタク</t>
    </rPh>
    <rPh sb="26" eb="28">
      <t>ゲシャ</t>
    </rPh>
    <rPh sb="28" eb="30">
      <t>トホ</t>
    </rPh>
    <rPh sb="31" eb="32">
      <t>フン</t>
    </rPh>
    <phoneticPr fontId="2"/>
  </si>
  <si>
    <t>(福)共愛会</t>
    <rPh sb="3" eb="5">
      <t>キョウアイ</t>
    </rPh>
    <phoneticPr fontId="2"/>
  </si>
  <si>
    <t>共愛会職業センター</t>
    <phoneticPr fontId="2"/>
  </si>
  <si>
    <t>下川崎1414</t>
    <phoneticPr fontId="2"/>
  </si>
  <si>
    <t>048-563-1041</t>
    <phoneticPr fontId="2"/>
  </si>
  <si>
    <t>048-563-1056</t>
    <phoneticPr fontId="2"/>
  </si>
  <si>
    <t>東武伊勢崎線南羽生駅下車徒歩25分</t>
    <rPh sb="0" eb="2">
      <t>トウブ</t>
    </rPh>
    <rPh sb="2" eb="5">
      <t>イセサキ</t>
    </rPh>
    <rPh sb="5" eb="6">
      <t>セン</t>
    </rPh>
    <rPh sb="6" eb="7">
      <t>ミナミ</t>
    </rPh>
    <rPh sb="7" eb="9">
      <t>ハニュウ</t>
    </rPh>
    <rPh sb="9" eb="10">
      <t>エキ</t>
    </rPh>
    <rPh sb="10" eb="12">
      <t>ゲシャ</t>
    </rPh>
    <rPh sb="12" eb="14">
      <t>トホ</t>
    </rPh>
    <rPh sb="16" eb="17">
      <t>プン</t>
    </rPh>
    <phoneticPr fontId="2"/>
  </si>
  <si>
    <t>大樹の郷</t>
    <rPh sb="0" eb="2">
      <t>タイジュ</t>
    </rPh>
    <rPh sb="3" eb="4">
      <t>サト</t>
    </rPh>
    <phoneticPr fontId="2"/>
  </si>
  <si>
    <t>牛沼773-2</t>
    <rPh sb="0" eb="2">
      <t>ウシヌマ</t>
    </rPh>
    <phoneticPr fontId="2"/>
  </si>
  <si>
    <t>04-2996-2941</t>
    <phoneticPr fontId="2"/>
  </si>
  <si>
    <t>04-2996-2942</t>
    <phoneticPr fontId="2"/>
  </si>
  <si>
    <t>武蔵野線東所沢駅から循環バス「東部クリーンセンター西」下車徒歩1分</t>
    <rPh sb="0" eb="3">
      <t>ムサシノ</t>
    </rPh>
    <rPh sb="3" eb="4">
      <t>セン</t>
    </rPh>
    <rPh sb="4" eb="7">
      <t>ヒガシトコロザワ</t>
    </rPh>
    <rPh sb="7" eb="8">
      <t>エキ</t>
    </rPh>
    <rPh sb="10" eb="12">
      <t>ジュンカン</t>
    </rPh>
    <rPh sb="15" eb="17">
      <t>トウブ</t>
    </rPh>
    <rPh sb="25" eb="26">
      <t>ニシ</t>
    </rPh>
    <rPh sb="27" eb="29">
      <t>ゲシャ</t>
    </rPh>
    <rPh sb="29" eb="31">
      <t>トホ</t>
    </rPh>
    <rPh sb="32" eb="33">
      <t>フン</t>
    </rPh>
    <phoneticPr fontId="2"/>
  </si>
  <si>
    <t>西武新宿線新狭山駅下車徒歩5分</t>
    <rPh sb="0" eb="2">
      <t>セイブ</t>
    </rPh>
    <rPh sb="2" eb="4">
      <t>シンジュク</t>
    </rPh>
    <rPh sb="4" eb="5">
      <t>セン</t>
    </rPh>
    <rPh sb="5" eb="8">
      <t>シンサヤマ</t>
    </rPh>
    <rPh sb="8" eb="9">
      <t>エキ</t>
    </rPh>
    <rPh sb="9" eb="11">
      <t>ゲシャ</t>
    </rPh>
    <rPh sb="11" eb="13">
      <t>トホ</t>
    </rPh>
    <rPh sb="14" eb="15">
      <t>フン</t>
    </rPh>
    <phoneticPr fontId="2"/>
  </si>
  <si>
    <t>入間川3273-23</t>
    <rPh sb="0" eb="3">
      <t>イルマガワ</t>
    </rPh>
    <phoneticPr fontId="2"/>
  </si>
  <si>
    <t>04-2954-8566</t>
    <phoneticPr fontId="2"/>
  </si>
  <si>
    <t>04-2954-2646</t>
    <phoneticPr fontId="2"/>
  </si>
  <si>
    <t>西武新宿線狭山市駅下車徒歩20分</t>
    <rPh sb="0" eb="2">
      <t>セイブ</t>
    </rPh>
    <rPh sb="2" eb="4">
      <t>シンジュク</t>
    </rPh>
    <rPh sb="4" eb="5">
      <t>セン</t>
    </rPh>
    <rPh sb="5" eb="7">
      <t>サヤマ</t>
    </rPh>
    <rPh sb="7" eb="8">
      <t>シ</t>
    </rPh>
    <rPh sb="8" eb="9">
      <t>エキ</t>
    </rPh>
    <rPh sb="9" eb="11">
      <t>ゲシャ</t>
    </rPh>
    <rPh sb="11" eb="13">
      <t>トホ</t>
    </rPh>
    <rPh sb="15" eb="16">
      <t>フン</t>
    </rPh>
    <phoneticPr fontId="2"/>
  </si>
  <si>
    <t>上野台2504-1</t>
    <rPh sb="0" eb="2">
      <t>ウエノ</t>
    </rPh>
    <rPh sb="2" eb="3">
      <t>ダイ</t>
    </rPh>
    <phoneticPr fontId="2"/>
  </si>
  <si>
    <t>高崎線深谷駅から市内循環バス「仙元荘」下車徒歩2分</t>
    <rPh sb="0" eb="2">
      <t>タカサキ</t>
    </rPh>
    <rPh sb="2" eb="3">
      <t>セン</t>
    </rPh>
    <rPh sb="3" eb="5">
      <t>フカヤ</t>
    </rPh>
    <rPh sb="5" eb="6">
      <t>エキ</t>
    </rPh>
    <rPh sb="8" eb="10">
      <t>シナイ</t>
    </rPh>
    <rPh sb="10" eb="12">
      <t>ジュンカン</t>
    </rPh>
    <rPh sb="15" eb="16">
      <t>セン</t>
    </rPh>
    <rPh sb="16" eb="17">
      <t>ゲン</t>
    </rPh>
    <rPh sb="17" eb="18">
      <t>ソウ</t>
    </rPh>
    <rPh sb="19" eb="21">
      <t>ゲシャ</t>
    </rPh>
    <rPh sb="21" eb="23">
      <t>トホ</t>
    </rPh>
    <rPh sb="24" eb="25">
      <t>フン</t>
    </rPh>
    <phoneticPr fontId="2"/>
  </si>
  <si>
    <t>(福)育樹会</t>
    <rPh sb="3" eb="4">
      <t>イク</t>
    </rPh>
    <rPh sb="4" eb="5">
      <t>ジュ</t>
    </rPh>
    <rPh sb="5" eb="6">
      <t>カイ</t>
    </rPh>
    <phoneticPr fontId="2"/>
  </si>
  <si>
    <t>おぎしま園</t>
    <rPh sb="4" eb="5">
      <t>エン</t>
    </rPh>
    <phoneticPr fontId="2"/>
  </si>
  <si>
    <t>南荻島1494-1</t>
    <rPh sb="0" eb="1">
      <t>ミナミ</t>
    </rPh>
    <rPh sb="1" eb="3">
      <t>オギシマ</t>
    </rPh>
    <phoneticPr fontId="2"/>
  </si>
  <si>
    <t>048-976-4891</t>
    <phoneticPr fontId="2"/>
  </si>
  <si>
    <t>東武伊勢崎線北越谷駅から岩槻駅行バス「荻島小学校前」下車徒歩5分</t>
    <rPh sb="0" eb="2">
      <t>トウブ</t>
    </rPh>
    <rPh sb="2" eb="5">
      <t>イセサキ</t>
    </rPh>
    <rPh sb="5" eb="6">
      <t>セン</t>
    </rPh>
    <rPh sb="6" eb="9">
      <t>キタコシガヤ</t>
    </rPh>
    <rPh sb="9" eb="10">
      <t>エキ</t>
    </rPh>
    <rPh sb="12" eb="14">
      <t>イワツキ</t>
    </rPh>
    <rPh sb="14" eb="15">
      <t>エキ</t>
    </rPh>
    <rPh sb="15" eb="16">
      <t>イ</t>
    </rPh>
    <rPh sb="19" eb="21">
      <t>オギシマ</t>
    </rPh>
    <rPh sb="21" eb="24">
      <t>ショウガッコウ</t>
    </rPh>
    <rPh sb="24" eb="25">
      <t>マエ</t>
    </rPh>
    <rPh sb="26" eb="28">
      <t>ゲシャ</t>
    </rPh>
    <rPh sb="28" eb="30">
      <t>トホ</t>
    </rPh>
    <rPh sb="31" eb="32">
      <t>プン</t>
    </rPh>
    <phoneticPr fontId="2"/>
  </si>
  <si>
    <t>大場1564-1</t>
    <rPh sb="0" eb="2">
      <t>オオバ</t>
    </rPh>
    <phoneticPr fontId="2"/>
  </si>
  <si>
    <t>東武伊勢崎線武里駅下車徒歩15分</t>
    <rPh sb="0" eb="2">
      <t>トウブ</t>
    </rPh>
    <rPh sb="2" eb="5">
      <t>イセサキ</t>
    </rPh>
    <rPh sb="5" eb="6">
      <t>セン</t>
    </rPh>
    <rPh sb="6" eb="8">
      <t>タケサト</t>
    </rPh>
    <rPh sb="8" eb="9">
      <t>エキ</t>
    </rPh>
    <rPh sb="9" eb="11">
      <t>ゲシャ</t>
    </rPh>
    <rPh sb="11" eb="13">
      <t>トホ</t>
    </rPh>
    <rPh sb="15" eb="16">
      <t>フン</t>
    </rPh>
    <phoneticPr fontId="2"/>
  </si>
  <si>
    <t>(特非)陶晃山ふれあい工房</t>
    <rPh sb="1" eb="2">
      <t>トク</t>
    </rPh>
    <rPh sb="2" eb="3">
      <t>ヒ</t>
    </rPh>
    <rPh sb="4" eb="5">
      <t>スエ</t>
    </rPh>
    <rPh sb="5" eb="6">
      <t>コウ</t>
    </rPh>
    <rPh sb="6" eb="7">
      <t>ヤマ</t>
    </rPh>
    <rPh sb="11" eb="13">
      <t>コウボウ</t>
    </rPh>
    <phoneticPr fontId="2"/>
  </si>
  <si>
    <t>陶晃山　ふれあい工房</t>
    <rPh sb="0" eb="2">
      <t>トウコウ</t>
    </rPh>
    <rPh sb="2" eb="3">
      <t>ザン</t>
    </rPh>
    <rPh sb="8" eb="10">
      <t>コウボウ</t>
    </rPh>
    <phoneticPr fontId="2"/>
  </si>
  <si>
    <t>新堀984-6</t>
    <rPh sb="0" eb="2">
      <t>ニイボリ</t>
    </rPh>
    <phoneticPr fontId="2"/>
  </si>
  <si>
    <t>042-985-3889</t>
    <phoneticPr fontId="2"/>
  </si>
  <si>
    <t>高麗川駅から飯能駅行国際興業バス「栗坪」下車徒歩10分</t>
    <rPh sb="0" eb="3">
      <t>コマガワ</t>
    </rPh>
    <rPh sb="3" eb="4">
      <t>エキ</t>
    </rPh>
    <rPh sb="6" eb="8">
      <t>ハンノウ</t>
    </rPh>
    <rPh sb="8" eb="9">
      <t>エキ</t>
    </rPh>
    <rPh sb="9" eb="10">
      <t>イ</t>
    </rPh>
    <rPh sb="10" eb="12">
      <t>コクサイ</t>
    </rPh>
    <rPh sb="12" eb="14">
      <t>コウギョウ</t>
    </rPh>
    <rPh sb="17" eb="19">
      <t>クリツボ</t>
    </rPh>
    <rPh sb="20" eb="22">
      <t>ゲシャ</t>
    </rPh>
    <rPh sb="22" eb="24">
      <t>トホ</t>
    </rPh>
    <rPh sb="26" eb="27">
      <t>プン</t>
    </rPh>
    <phoneticPr fontId="2"/>
  </si>
  <si>
    <t>(福)にいざ</t>
    <rPh sb="1" eb="2">
      <t>フク</t>
    </rPh>
    <phoneticPr fontId="2"/>
  </si>
  <si>
    <t>福祉工房さわらび</t>
    <rPh sb="0" eb="2">
      <t>フクシ</t>
    </rPh>
    <rPh sb="2" eb="4">
      <t>コウボウ</t>
    </rPh>
    <phoneticPr fontId="2"/>
  </si>
  <si>
    <t>堀ノ内3-4-11</t>
    <rPh sb="0" eb="1">
      <t>ホリ</t>
    </rPh>
    <rPh sb="2" eb="3">
      <t>ウチ</t>
    </rPh>
    <phoneticPr fontId="2"/>
  </si>
  <si>
    <t>048-482-5155</t>
    <phoneticPr fontId="2"/>
  </si>
  <si>
    <t>○</t>
    <phoneticPr fontId="2"/>
  </si>
  <si>
    <t>東武東上線志木駅からひばりヶ丘駅北口行バス「福祉センター入口」下車徒歩3分</t>
    <rPh sb="0" eb="2">
      <t>トウブ</t>
    </rPh>
    <rPh sb="2" eb="4">
      <t>トウジョウ</t>
    </rPh>
    <rPh sb="4" eb="5">
      <t>セン</t>
    </rPh>
    <rPh sb="5" eb="7">
      <t>シキ</t>
    </rPh>
    <rPh sb="7" eb="8">
      <t>エキ</t>
    </rPh>
    <rPh sb="14" eb="15">
      <t>オカ</t>
    </rPh>
    <rPh sb="15" eb="16">
      <t>エキ</t>
    </rPh>
    <rPh sb="16" eb="18">
      <t>キタグチ</t>
    </rPh>
    <rPh sb="18" eb="19">
      <t>イ</t>
    </rPh>
    <rPh sb="22" eb="24">
      <t>フクシ</t>
    </rPh>
    <rPh sb="28" eb="30">
      <t>イリグチ</t>
    </rPh>
    <rPh sb="31" eb="33">
      <t>ゲシャ</t>
    </rPh>
    <rPh sb="33" eb="35">
      <t>トホ</t>
    </rPh>
    <rPh sb="36" eb="37">
      <t>フン</t>
    </rPh>
    <phoneticPr fontId="2"/>
  </si>
  <si>
    <t>岩殿1738</t>
    <phoneticPr fontId="2"/>
  </si>
  <si>
    <t>0493-34-4334</t>
    <phoneticPr fontId="2"/>
  </si>
  <si>
    <t>(福)愛弘会</t>
    <rPh sb="3" eb="4">
      <t>アイ</t>
    </rPh>
    <rPh sb="5" eb="6">
      <t>カイ</t>
    </rPh>
    <phoneticPr fontId="2"/>
  </si>
  <si>
    <t>愛弘園</t>
    <rPh sb="0" eb="1">
      <t>アイ</t>
    </rPh>
    <rPh sb="2" eb="3">
      <t>エン</t>
    </rPh>
    <phoneticPr fontId="2"/>
  </si>
  <si>
    <t>東武東上線東高坂駅下車タクシー10分</t>
    <rPh sb="0" eb="2">
      <t>トウブ</t>
    </rPh>
    <rPh sb="2" eb="4">
      <t>トウジョウ</t>
    </rPh>
    <rPh sb="4" eb="5">
      <t>セン</t>
    </rPh>
    <rPh sb="5" eb="6">
      <t>ヒガシ</t>
    </rPh>
    <rPh sb="6" eb="8">
      <t>コウサカ</t>
    </rPh>
    <rPh sb="8" eb="9">
      <t>エキ</t>
    </rPh>
    <rPh sb="9" eb="11">
      <t>ゲシャ</t>
    </rPh>
    <rPh sb="17" eb="18">
      <t>フン</t>
    </rPh>
    <phoneticPr fontId="2"/>
  </si>
  <si>
    <t>朝霞市・（福）朝霞市社会福祉協議会</t>
    <rPh sb="0" eb="3">
      <t>アサカシ</t>
    </rPh>
    <rPh sb="5" eb="6">
      <t>フク</t>
    </rPh>
    <rPh sb="7" eb="10">
      <t>アサカシ</t>
    </rPh>
    <rPh sb="10" eb="12">
      <t>シャカイ</t>
    </rPh>
    <rPh sb="12" eb="14">
      <t>フクシ</t>
    </rPh>
    <rPh sb="14" eb="17">
      <t>キョウギカイ</t>
    </rPh>
    <phoneticPr fontId="2"/>
  </si>
  <si>
    <t>浜崎51-1</t>
    <rPh sb="0" eb="2">
      <t>ハマサキ</t>
    </rPh>
    <phoneticPr fontId="2"/>
  </si>
  <si>
    <t>東武東上線朝霞台駅から市内循環バス「わくわくどーむ」下車徒歩1分</t>
    <rPh sb="0" eb="2">
      <t>トウブ</t>
    </rPh>
    <rPh sb="2" eb="4">
      <t>トウジョウ</t>
    </rPh>
    <rPh sb="4" eb="5">
      <t>セン</t>
    </rPh>
    <rPh sb="5" eb="7">
      <t>アサカ</t>
    </rPh>
    <rPh sb="7" eb="8">
      <t>ダイ</t>
    </rPh>
    <rPh sb="8" eb="9">
      <t>エキ</t>
    </rPh>
    <rPh sb="11" eb="13">
      <t>シナイ</t>
    </rPh>
    <rPh sb="13" eb="15">
      <t>ジュンカン</t>
    </rPh>
    <rPh sb="26" eb="28">
      <t>ゲシャ</t>
    </rPh>
    <rPh sb="28" eb="30">
      <t>トホ</t>
    </rPh>
    <rPh sb="31" eb="32">
      <t>プン</t>
    </rPh>
    <phoneticPr fontId="2"/>
  </si>
  <si>
    <t>東武東上線朝霞駅から湯～ぐうじょう行バス「丸沼」下車徒歩3分</t>
    <rPh sb="0" eb="2">
      <t>トウブ</t>
    </rPh>
    <rPh sb="2" eb="4">
      <t>トウジョウ</t>
    </rPh>
    <rPh sb="4" eb="5">
      <t>セン</t>
    </rPh>
    <rPh sb="5" eb="7">
      <t>アサカ</t>
    </rPh>
    <rPh sb="7" eb="8">
      <t>エキ</t>
    </rPh>
    <rPh sb="10" eb="11">
      <t>ユ</t>
    </rPh>
    <rPh sb="17" eb="18">
      <t>イ</t>
    </rPh>
    <rPh sb="21" eb="23">
      <t>マルヌマ</t>
    </rPh>
    <rPh sb="24" eb="26">
      <t>ゲシャ</t>
    </rPh>
    <rPh sb="26" eb="28">
      <t>トホ</t>
    </rPh>
    <rPh sb="29" eb="30">
      <t>プン</t>
    </rPh>
    <phoneticPr fontId="2"/>
  </si>
  <si>
    <t>鶴ヶ曽根403-1</t>
    <rPh sb="0" eb="4">
      <t>ツルガソネ</t>
    </rPh>
    <phoneticPr fontId="2"/>
  </si>
  <si>
    <t>048-995-0825</t>
    <phoneticPr fontId="2"/>
  </si>
  <si>
    <t>つくばエクスプレス八潮駅から市コミュニティバス・北ルート「生涯楽習館入口」下車徒歩1分</t>
    <rPh sb="9" eb="11">
      <t>ヤシオ</t>
    </rPh>
    <rPh sb="11" eb="12">
      <t>エキ</t>
    </rPh>
    <rPh sb="14" eb="15">
      <t>シ</t>
    </rPh>
    <rPh sb="24" eb="25">
      <t>キタ</t>
    </rPh>
    <rPh sb="29" eb="31">
      <t>ショウガイ</t>
    </rPh>
    <rPh sb="31" eb="32">
      <t>ラク</t>
    </rPh>
    <rPh sb="32" eb="33">
      <t>シュウ</t>
    </rPh>
    <rPh sb="33" eb="34">
      <t>カン</t>
    </rPh>
    <rPh sb="34" eb="36">
      <t>イリグチ</t>
    </rPh>
    <rPh sb="37" eb="39">
      <t>ゲシャ</t>
    </rPh>
    <rPh sb="39" eb="41">
      <t>トホ</t>
    </rPh>
    <rPh sb="42" eb="43">
      <t>フン</t>
    </rPh>
    <phoneticPr fontId="2"/>
  </si>
  <si>
    <t>障がい者福祉施設虹の家</t>
    <rPh sb="0" eb="1">
      <t>ショウ</t>
    </rPh>
    <rPh sb="3" eb="4">
      <t>シャ</t>
    </rPh>
    <rPh sb="4" eb="6">
      <t>フクシ</t>
    </rPh>
    <rPh sb="6" eb="8">
      <t>シセツ</t>
    </rPh>
    <rPh sb="8" eb="9">
      <t>ニジ</t>
    </rPh>
    <rPh sb="10" eb="11">
      <t>イエ</t>
    </rPh>
    <phoneticPr fontId="2"/>
  </si>
  <si>
    <t>鶴ヶ曽根1686-2</t>
    <rPh sb="0" eb="4">
      <t>ツルガソネ</t>
    </rPh>
    <phoneticPr fontId="2"/>
  </si>
  <si>
    <t>048-998-7327</t>
    <phoneticPr fontId="2"/>
  </si>
  <si>
    <t>あいあい作業所</t>
    <rPh sb="4" eb="7">
      <t>サギョウショ</t>
    </rPh>
    <phoneticPr fontId="2"/>
  </si>
  <si>
    <t>○</t>
    <phoneticPr fontId="2"/>
  </si>
  <si>
    <t>ワークショップ南羽生</t>
    <rPh sb="7" eb="10">
      <t>ミナミハニュウ</t>
    </rPh>
    <phoneticPr fontId="2"/>
  </si>
  <si>
    <t>須影745-1</t>
    <rPh sb="0" eb="2">
      <t>スカゲ</t>
    </rPh>
    <phoneticPr fontId="2"/>
  </si>
  <si>
    <t>048-560-1733</t>
    <phoneticPr fontId="2"/>
  </si>
  <si>
    <t>パンラッコ</t>
    <phoneticPr fontId="2"/>
  </si>
  <si>
    <t>安行北谷647-3</t>
    <rPh sb="0" eb="2">
      <t>アンギョウ</t>
    </rPh>
    <rPh sb="2" eb="4">
      <t>キタヤ</t>
    </rPh>
    <phoneticPr fontId="2"/>
  </si>
  <si>
    <t>048-299-1310</t>
    <phoneticPr fontId="2"/>
  </si>
  <si>
    <t>スワン深谷</t>
    <rPh sb="3" eb="5">
      <t>フカヤ</t>
    </rPh>
    <phoneticPr fontId="2"/>
  </si>
  <si>
    <t>宿根524-1</t>
    <rPh sb="0" eb="2">
      <t>シュクネ</t>
    </rPh>
    <phoneticPr fontId="2"/>
  </si>
  <si>
    <t>048-551-4555</t>
    <phoneticPr fontId="2"/>
  </si>
  <si>
    <t>048-575-5963</t>
    <phoneticPr fontId="2"/>
  </si>
  <si>
    <t>ふじさわ大樹作業所</t>
    <rPh sb="4" eb="6">
      <t>タイジュ</t>
    </rPh>
    <rPh sb="6" eb="9">
      <t>サギョウショ</t>
    </rPh>
    <phoneticPr fontId="2"/>
  </si>
  <si>
    <t>上藤沢708-1</t>
    <rPh sb="0" eb="3">
      <t>カミフジサワ</t>
    </rPh>
    <phoneticPr fontId="2"/>
  </si>
  <si>
    <t>04-2966-2941</t>
    <phoneticPr fontId="2"/>
  </si>
  <si>
    <t>04-2966-5445</t>
    <phoneticPr fontId="2"/>
  </si>
  <si>
    <t>春日部市・（福）春日部市社会福祉協議会</t>
    <rPh sb="0" eb="4">
      <t>カスカベシ</t>
    </rPh>
    <rPh sb="6" eb="7">
      <t>フク</t>
    </rPh>
    <rPh sb="8" eb="12">
      <t>カスカベシ</t>
    </rPh>
    <rPh sb="12" eb="14">
      <t>シャカイ</t>
    </rPh>
    <rPh sb="14" eb="16">
      <t>フクシ</t>
    </rPh>
    <rPh sb="16" eb="19">
      <t>キョウギカイ</t>
    </rPh>
    <phoneticPr fontId="2"/>
  </si>
  <si>
    <t>ふじ支援センター</t>
    <rPh sb="2" eb="4">
      <t>シエン</t>
    </rPh>
    <phoneticPr fontId="2"/>
  </si>
  <si>
    <t>牛島1289</t>
    <rPh sb="0" eb="2">
      <t>ウシジマ</t>
    </rPh>
    <phoneticPr fontId="2"/>
  </si>
  <si>
    <t>ゆりのき支援センター</t>
    <rPh sb="4" eb="6">
      <t>シエン</t>
    </rPh>
    <phoneticPr fontId="2"/>
  </si>
  <si>
    <t>谷原新田2229-1</t>
    <rPh sb="0" eb="2">
      <t>タニハラ</t>
    </rPh>
    <rPh sb="2" eb="4">
      <t>シンデン</t>
    </rPh>
    <phoneticPr fontId="2"/>
  </si>
  <si>
    <t>048-738-1171</t>
    <phoneticPr fontId="2"/>
  </si>
  <si>
    <t>幸手市・（福）幸手市社会福祉協議会</t>
    <rPh sb="0" eb="3">
      <t>サッテシ</t>
    </rPh>
    <rPh sb="5" eb="6">
      <t>フク</t>
    </rPh>
    <rPh sb="7" eb="10">
      <t>サッテシ</t>
    </rPh>
    <rPh sb="10" eb="12">
      <t>シャカイ</t>
    </rPh>
    <rPh sb="12" eb="14">
      <t>フクシ</t>
    </rPh>
    <rPh sb="14" eb="17">
      <t>キョウギカイ</t>
    </rPh>
    <phoneticPr fontId="2"/>
  </si>
  <si>
    <t>幸手市障害者自立支援施設</t>
    <rPh sb="0" eb="3">
      <t>サッテシ</t>
    </rPh>
    <rPh sb="3" eb="6">
      <t>ショウガイシャ</t>
    </rPh>
    <rPh sb="6" eb="8">
      <t>ジリツ</t>
    </rPh>
    <rPh sb="8" eb="10">
      <t>シエン</t>
    </rPh>
    <rPh sb="10" eb="12">
      <t>シセツ</t>
    </rPh>
    <phoneticPr fontId="2"/>
  </si>
  <si>
    <t>千塚10-1</t>
    <rPh sb="0" eb="2">
      <t>チヅカ</t>
    </rPh>
    <phoneticPr fontId="2"/>
  </si>
  <si>
    <t>蒲公英の丘</t>
    <rPh sb="0" eb="3">
      <t>タンポポ</t>
    </rPh>
    <rPh sb="4" eb="5">
      <t>オカ</t>
    </rPh>
    <phoneticPr fontId="2"/>
  </si>
  <si>
    <t>青柳8-57-25</t>
    <rPh sb="0" eb="2">
      <t>アオヤギ</t>
    </rPh>
    <phoneticPr fontId="2"/>
  </si>
  <si>
    <t>048-932-7422</t>
    <phoneticPr fontId="2"/>
  </si>
  <si>
    <t>048-932-7421</t>
    <phoneticPr fontId="2"/>
  </si>
  <si>
    <t>自立支援センターたんぽぽ</t>
    <rPh sb="0" eb="2">
      <t>ジリツ</t>
    </rPh>
    <rPh sb="2" eb="4">
      <t>シエン</t>
    </rPh>
    <phoneticPr fontId="2"/>
  </si>
  <si>
    <t>大井武蔵野1282-7</t>
    <rPh sb="0" eb="2">
      <t>オオイ</t>
    </rPh>
    <rPh sb="2" eb="4">
      <t>ムサシ</t>
    </rPh>
    <rPh sb="4" eb="5">
      <t>ノ</t>
    </rPh>
    <phoneticPr fontId="2"/>
  </si>
  <si>
    <t>049-269-7005</t>
    <phoneticPr fontId="2"/>
  </si>
  <si>
    <t>049-269-7006</t>
    <phoneticPr fontId="2"/>
  </si>
  <si>
    <t>飯塚376-1</t>
    <rPh sb="0" eb="2">
      <t>イイヅカ</t>
    </rPh>
    <phoneticPr fontId="2"/>
  </si>
  <si>
    <t>(特非)東松山障害者就労支援センター</t>
    <rPh sb="4" eb="7">
      <t>ヒガシマツヤマ</t>
    </rPh>
    <rPh sb="7" eb="10">
      <t>ショウガイシャ</t>
    </rPh>
    <rPh sb="10" eb="12">
      <t>シュウロウ</t>
    </rPh>
    <rPh sb="12" eb="14">
      <t>シエン</t>
    </rPh>
    <phoneticPr fontId="2"/>
  </si>
  <si>
    <t>東武越生線川角駅下車徒歩15分</t>
    <rPh sb="0" eb="2">
      <t>トウブ</t>
    </rPh>
    <rPh sb="2" eb="4">
      <t>オゴセ</t>
    </rPh>
    <rPh sb="4" eb="5">
      <t>セン</t>
    </rPh>
    <rPh sb="5" eb="7">
      <t>カワカド</t>
    </rPh>
    <rPh sb="7" eb="8">
      <t>エキ</t>
    </rPh>
    <rPh sb="8" eb="10">
      <t>ゲシャ</t>
    </rPh>
    <rPh sb="10" eb="12">
      <t>トホ</t>
    </rPh>
    <rPh sb="14" eb="15">
      <t>フン</t>
    </rPh>
    <phoneticPr fontId="2"/>
  </si>
  <si>
    <t>東武伊勢崎線南羽生駅下車徒歩10分</t>
    <rPh sb="0" eb="2">
      <t>トウブ</t>
    </rPh>
    <rPh sb="2" eb="5">
      <t>イセサキ</t>
    </rPh>
    <rPh sb="5" eb="6">
      <t>セン</t>
    </rPh>
    <rPh sb="6" eb="9">
      <t>ミナミハニュウ</t>
    </rPh>
    <rPh sb="9" eb="10">
      <t>エキ</t>
    </rPh>
    <rPh sb="10" eb="12">
      <t>ゲシャ</t>
    </rPh>
    <rPh sb="12" eb="14">
      <t>トホ</t>
    </rPh>
    <rPh sb="16" eb="17">
      <t>プン</t>
    </rPh>
    <phoneticPr fontId="2"/>
  </si>
  <si>
    <t>東武伊勢崎線草加駅から安行出羽行バス「寿橋通り」下車徒歩1分</t>
    <rPh sb="0" eb="2">
      <t>トウブ</t>
    </rPh>
    <rPh sb="2" eb="5">
      <t>イセサキ</t>
    </rPh>
    <rPh sb="5" eb="6">
      <t>セン</t>
    </rPh>
    <rPh sb="6" eb="8">
      <t>ソウカ</t>
    </rPh>
    <rPh sb="8" eb="9">
      <t>エキ</t>
    </rPh>
    <rPh sb="11" eb="13">
      <t>アンギョウ</t>
    </rPh>
    <rPh sb="13" eb="15">
      <t>デワ</t>
    </rPh>
    <rPh sb="15" eb="16">
      <t>イ</t>
    </rPh>
    <rPh sb="19" eb="20">
      <t>コトブキ</t>
    </rPh>
    <rPh sb="20" eb="21">
      <t>バシ</t>
    </rPh>
    <rPh sb="21" eb="22">
      <t>トオ</t>
    </rPh>
    <rPh sb="23" eb="24">
      <t>ニシチョウ</t>
    </rPh>
    <rPh sb="24" eb="26">
      <t>ゲシャ</t>
    </rPh>
    <rPh sb="26" eb="28">
      <t>トホ</t>
    </rPh>
    <rPh sb="29" eb="30">
      <t>プン</t>
    </rPh>
    <phoneticPr fontId="2"/>
  </si>
  <si>
    <t>高崎線深谷駅から市巡回バス「宿根市営住宅・南公民館入り口」下車徒歩12分</t>
    <rPh sb="0" eb="2">
      <t>タカサキ</t>
    </rPh>
    <rPh sb="2" eb="3">
      <t>セン</t>
    </rPh>
    <rPh sb="3" eb="5">
      <t>フカヤ</t>
    </rPh>
    <rPh sb="5" eb="6">
      <t>エキ</t>
    </rPh>
    <rPh sb="8" eb="9">
      <t>シ</t>
    </rPh>
    <rPh sb="9" eb="11">
      <t>ジュンカイ</t>
    </rPh>
    <rPh sb="14" eb="16">
      <t>シュクネ</t>
    </rPh>
    <rPh sb="16" eb="18">
      <t>シエイ</t>
    </rPh>
    <rPh sb="18" eb="20">
      <t>ジュウタク</t>
    </rPh>
    <rPh sb="21" eb="22">
      <t>ミナミ</t>
    </rPh>
    <rPh sb="22" eb="25">
      <t>コウミンカン</t>
    </rPh>
    <rPh sb="25" eb="26">
      <t>イ</t>
    </rPh>
    <rPh sb="27" eb="28">
      <t>グチ</t>
    </rPh>
    <rPh sb="29" eb="31">
      <t>ゲシャ</t>
    </rPh>
    <rPh sb="31" eb="33">
      <t>トホ</t>
    </rPh>
    <rPh sb="35" eb="36">
      <t>フン</t>
    </rPh>
    <phoneticPr fontId="2"/>
  </si>
  <si>
    <t>西武池袋線入間市駅から入間市健康福祉センター行バス「扇町屋団地」下車徒歩2分</t>
    <rPh sb="0" eb="2">
      <t>セイブ</t>
    </rPh>
    <rPh sb="2" eb="4">
      <t>イケブクロ</t>
    </rPh>
    <rPh sb="4" eb="5">
      <t>セン</t>
    </rPh>
    <rPh sb="5" eb="7">
      <t>イルマ</t>
    </rPh>
    <rPh sb="7" eb="8">
      <t>シ</t>
    </rPh>
    <rPh sb="8" eb="9">
      <t>エキ</t>
    </rPh>
    <rPh sb="11" eb="14">
      <t>イルマシ</t>
    </rPh>
    <rPh sb="14" eb="16">
      <t>ケンコウ</t>
    </rPh>
    <rPh sb="16" eb="18">
      <t>フクシ</t>
    </rPh>
    <rPh sb="22" eb="23">
      <t>イ</t>
    </rPh>
    <rPh sb="26" eb="28">
      <t>オウギマチ</t>
    </rPh>
    <rPh sb="28" eb="29">
      <t>ヤ</t>
    </rPh>
    <rPh sb="29" eb="31">
      <t>ダンチ</t>
    </rPh>
    <rPh sb="32" eb="34">
      <t>ゲシャ</t>
    </rPh>
    <rPh sb="34" eb="36">
      <t>トホ</t>
    </rPh>
    <rPh sb="37" eb="38">
      <t>フン</t>
    </rPh>
    <phoneticPr fontId="2"/>
  </si>
  <si>
    <t>武蔵野線東川口駅から川口駅行バス「戸塚西公民館」下車徒歩2分</t>
    <rPh sb="0" eb="3">
      <t>ムサシノ</t>
    </rPh>
    <rPh sb="3" eb="4">
      <t>セン</t>
    </rPh>
    <rPh sb="4" eb="7">
      <t>ヒガシカワグチ</t>
    </rPh>
    <rPh sb="7" eb="8">
      <t>エキ</t>
    </rPh>
    <rPh sb="10" eb="12">
      <t>カワグチ</t>
    </rPh>
    <rPh sb="12" eb="13">
      <t>エキ</t>
    </rPh>
    <rPh sb="13" eb="14">
      <t>イ</t>
    </rPh>
    <rPh sb="17" eb="19">
      <t>トツカ</t>
    </rPh>
    <rPh sb="19" eb="20">
      <t>ニシ</t>
    </rPh>
    <rPh sb="20" eb="23">
      <t>コウミンカン</t>
    </rPh>
    <rPh sb="24" eb="26">
      <t>ゲシャ</t>
    </rPh>
    <rPh sb="26" eb="28">
      <t>トホ</t>
    </rPh>
    <rPh sb="29" eb="30">
      <t>プン</t>
    </rPh>
    <phoneticPr fontId="2"/>
  </si>
  <si>
    <t>東武野田線牛島駅下車徒歩10分</t>
    <rPh sb="0" eb="2">
      <t>トウブ</t>
    </rPh>
    <rPh sb="2" eb="4">
      <t>ノダ</t>
    </rPh>
    <rPh sb="4" eb="5">
      <t>セン</t>
    </rPh>
    <rPh sb="5" eb="7">
      <t>ウシジマ</t>
    </rPh>
    <rPh sb="7" eb="8">
      <t>エキ</t>
    </rPh>
    <rPh sb="8" eb="10">
      <t>ゲシャ</t>
    </rPh>
    <rPh sb="10" eb="12">
      <t>トホ</t>
    </rPh>
    <rPh sb="14" eb="15">
      <t>フン</t>
    </rPh>
    <phoneticPr fontId="2"/>
  </si>
  <si>
    <t>春日部駅西口から春日部温泉行バス「地方庁舎前」下車徒歩7分</t>
    <rPh sb="0" eb="3">
      <t>カスカベ</t>
    </rPh>
    <rPh sb="3" eb="4">
      <t>エキ</t>
    </rPh>
    <rPh sb="4" eb="6">
      <t>ニシグチ</t>
    </rPh>
    <rPh sb="8" eb="11">
      <t>カスカベ</t>
    </rPh>
    <rPh sb="11" eb="13">
      <t>オンセン</t>
    </rPh>
    <rPh sb="13" eb="14">
      <t>イ</t>
    </rPh>
    <rPh sb="17" eb="19">
      <t>チホウ</t>
    </rPh>
    <rPh sb="19" eb="21">
      <t>チョウシャ</t>
    </rPh>
    <rPh sb="21" eb="22">
      <t>マエ</t>
    </rPh>
    <rPh sb="23" eb="25">
      <t>ゲシャ</t>
    </rPh>
    <rPh sb="25" eb="27">
      <t>トホ</t>
    </rPh>
    <rPh sb="28" eb="29">
      <t>フン</t>
    </rPh>
    <phoneticPr fontId="2"/>
  </si>
  <si>
    <t>東武日光線幸手駅から市内循環バス「西公民館」下車徒歩1分</t>
    <rPh sb="0" eb="2">
      <t>トウブ</t>
    </rPh>
    <rPh sb="2" eb="4">
      <t>ニッコウ</t>
    </rPh>
    <rPh sb="4" eb="5">
      <t>セン</t>
    </rPh>
    <rPh sb="5" eb="7">
      <t>サッテ</t>
    </rPh>
    <rPh sb="7" eb="8">
      <t>エキ</t>
    </rPh>
    <rPh sb="10" eb="12">
      <t>シナイ</t>
    </rPh>
    <rPh sb="12" eb="14">
      <t>ジュンカン</t>
    </rPh>
    <rPh sb="17" eb="18">
      <t>ニシ</t>
    </rPh>
    <rPh sb="18" eb="21">
      <t>コウミンカン</t>
    </rPh>
    <rPh sb="22" eb="24">
      <t>ゲシャ</t>
    </rPh>
    <rPh sb="24" eb="26">
      <t>トホ</t>
    </rPh>
    <rPh sb="27" eb="28">
      <t>プン</t>
    </rPh>
    <phoneticPr fontId="2"/>
  </si>
  <si>
    <t>東武伊勢崎線新田駅から柿木公民館行バス「青上橋」下車徒歩5分</t>
    <rPh sb="0" eb="2">
      <t>トウブ</t>
    </rPh>
    <rPh sb="2" eb="5">
      <t>イセサキ</t>
    </rPh>
    <rPh sb="5" eb="6">
      <t>セン</t>
    </rPh>
    <rPh sb="6" eb="8">
      <t>シンデン</t>
    </rPh>
    <rPh sb="8" eb="9">
      <t>エキ</t>
    </rPh>
    <rPh sb="11" eb="13">
      <t>カキノキ</t>
    </rPh>
    <rPh sb="13" eb="16">
      <t>コウミンカン</t>
    </rPh>
    <rPh sb="16" eb="17">
      <t>イ</t>
    </rPh>
    <rPh sb="20" eb="21">
      <t>アオ</t>
    </rPh>
    <rPh sb="21" eb="22">
      <t>ウエ</t>
    </rPh>
    <rPh sb="22" eb="23">
      <t>ハシ</t>
    </rPh>
    <rPh sb="24" eb="26">
      <t>ゲシャ</t>
    </rPh>
    <rPh sb="26" eb="28">
      <t>トホ</t>
    </rPh>
    <rPh sb="29" eb="30">
      <t>フン</t>
    </rPh>
    <phoneticPr fontId="2"/>
  </si>
  <si>
    <t>東武東上線上福岡駅から所沢駅東口行バス「大井西中学校入口」下車徒歩1分</t>
    <rPh sb="0" eb="2">
      <t>トウブ</t>
    </rPh>
    <rPh sb="2" eb="4">
      <t>トウジョウ</t>
    </rPh>
    <rPh sb="4" eb="5">
      <t>セン</t>
    </rPh>
    <rPh sb="5" eb="8">
      <t>カミフクオカ</t>
    </rPh>
    <rPh sb="8" eb="9">
      <t>エキ</t>
    </rPh>
    <rPh sb="11" eb="13">
      <t>トコロザワ</t>
    </rPh>
    <rPh sb="13" eb="14">
      <t>エキ</t>
    </rPh>
    <rPh sb="14" eb="16">
      <t>ヒガシグチ</t>
    </rPh>
    <rPh sb="16" eb="17">
      <t>イ</t>
    </rPh>
    <rPh sb="20" eb="22">
      <t>オオイ</t>
    </rPh>
    <rPh sb="22" eb="23">
      <t>ニシ</t>
    </rPh>
    <rPh sb="23" eb="26">
      <t>チュウガッコウ</t>
    </rPh>
    <rPh sb="26" eb="28">
      <t>イリグチ</t>
    </rPh>
    <rPh sb="29" eb="31">
      <t>ゲシャ</t>
    </rPh>
    <rPh sb="31" eb="33">
      <t>トホ</t>
    </rPh>
    <rPh sb="34" eb="35">
      <t>フン</t>
    </rPh>
    <phoneticPr fontId="2"/>
  </si>
  <si>
    <t>寄居駅から送迎バス</t>
    <rPh sb="0" eb="2">
      <t>ヨリイ</t>
    </rPh>
    <rPh sb="2" eb="3">
      <t>エキ</t>
    </rPh>
    <rPh sb="5" eb="7">
      <t>ソウゲイ</t>
    </rPh>
    <phoneticPr fontId="2"/>
  </si>
  <si>
    <t>熊谷駅から妻沼聖天様行バス「熊谷市妻沼行政センター」下車徒歩20分</t>
    <rPh sb="0" eb="2">
      <t>クマガヤ</t>
    </rPh>
    <rPh sb="2" eb="3">
      <t>エキ</t>
    </rPh>
    <rPh sb="5" eb="7">
      <t>メヌマ</t>
    </rPh>
    <rPh sb="7" eb="8">
      <t>セイ</t>
    </rPh>
    <rPh sb="8" eb="9">
      <t>テン</t>
    </rPh>
    <rPh sb="9" eb="10">
      <t>サマ</t>
    </rPh>
    <rPh sb="10" eb="11">
      <t>イ</t>
    </rPh>
    <rPh sb="14" eb="17">
      <t>クマガヤシ</t>
    </rPh>
    <rPh sb="17" eb="19">
      <t>メヌマ</t>
    </rPh>
    <rPh sb="19" eb="21">
      <t>ギョウセイ</t>
    </rPh>
    <rPh sb="26" eb="28">
      <t>ゲシャ</t>
    </rPh>
    <rPh sb="28" eb="30">
      <t>トホ</t>
    </rPh>
    <rPh sb="32" eb="33">
      <t>プン</t>
    </rPh>
    <phoneticPr fontId="2"/>
  </si>
  <si>
    <t>越生駅下車徒歩15分</t>
    <rPh sb="0" eb="2">
      <t>オゴセ</t>
    </rPh>
    <rPh sb="2" eb="3">
      <t>エキ</t>
    </rPh>
    <rPh sb="3" eb="5">
      <t>ゲシャ</t>
    </rPh>
    <rPh sb="5" eb="7">
      <t>トホ</t>
    </rPh>
    <rPh sb="9" eb="10">
      <t>プン</t>
    </rPh>
    <phoneticPr fontId="2"/>
  </si>
  <si>
    <t>あいこう</t>
  </si>
  <si>
    <t>見沼区中川1080-1</t>
    <rPh sb="0" eb="3">
      <t>ミヌマク</t>
    </rPh>
    <rPh sb="3" eb="5">
      <t>ナカガワ</t>
    </rPh>
    <phoneticPr fontId="2"/>
  </si>
  <si>
    <t>大宮駅東口から国際興業バス「中川坂上」下車徒歩1分</t>
    <rPh sb="0" eb="2">
      <t>オオミヤ</t>
    </rPh>
    <rPh sb="2" eb="3">
      <t>エキ</t>
    </rPh>
    <rPh sb="3" eb="5">
      <t>ヒガシグチ</t>
    </rPh>
    <rPh sb="7" eb="9">
      <t>コクサイ</t>
    </rPh>
    <rPh sb="9" eb="11">
      <t>コウギョウ</t>
    </rPh>
    <rPh sb="14" eb="16">
      <t>ナカガワ</t>
    </rPh>
    <rPh sb="16" eb="18">
      <t>サカウエ</t>
    </rPh>
    <rPh sb="19" eb="21">
      <t>ゲシャ</t>
    </rPh>
    <rPh sb="21" eb="23">
      <t>トホ</t>
    </rPh>
    <rPh sb="24" eb="25">
      <t>プン</t>
    </rPh>
    <phoneticPr fontId="3"/>
  </si>
  <si>
    <t>就労継続支援施設よもの木</t>
    <rPh sb="0" eb="2">
      <t>シュウロウ</t>
    </rPh>
    <rPh sb="2" eb="4">
      <t>ケイゾク</t>
    </rPh>
    <rPh sb="4" eb="6">
      <t>シエン</t>
    </rPh>
    <rPh sb="6" eb="8">
      <t>シセツ</t>
    </rPh>
    <rPh sb="11" eb="12">
      <t>キ</t>
    </rPh>
    <phoneticPr fontId="3"/>
  </si>
  <si>
    <t>(福)西部福祉会</t>
    <rPh sb="1" eb="2">
      <t>フク</t>
    </rPh>
    <rPh sb="3" eb="5">
      <t>セイブ</t>
    </rPh>
    <rPh sb="5" eb="8">
      <t>フクシカイ</t>
    </rPh>
    <phoneticPr fontId="3"/>
  </si>
  <si>
    <t>大宮区三橋1-815-1</t>
    <rPh sb="0" eb="3">
      <t>オオミヤク</t>
    </rPh>
    <rPh sb="3" eb="5">
      <t>ミハシ</t>
    </rPh>
    <phoneticPr fontId="2"/>
  </si>
  <si>
    <t>048-654-2700</t>
    <phoneticPr fontId="2"/>
  </si>
  <si>
    <t>大宮駅西口から佐知川原・西遊馬・川越グリーンパーク行き「西武バス車庫前｣下車徒歩８分</t>
    <rPh sb="0" eb="3">
      <t>オオミヤエキ</t>
    </rPh>
    <rPh sb="3" eb="4">
      <t>ニシ</t>
    </rPh>
    <rPh sb="4" eb="5">
      <t>グチ</t>
    </rPh>
    <rPh sb="7" eb="8">
      <t>サ</t>
    </rPh>
    <rPh sb="8" eb="9">
      <t>チ</t>
    </rPh>
    <rPh sb="9" eb="11">
      <t>カワラ</t>
    </rPh>
    <rPh sb="12" eb="15">
      <t>ニシアスマ</t>
    </rPh>
    <rPh sb="16" eb="18">
      <t>カワゴエ</t>
    </rPh>
    <rPh sb="25" eb="26">
      <t>イ</t>
    </rPh>
    <rPh sb="28" eb="30">
      <t>セイブ</t>
    </rPh>
    <rPh sb="32" eb="34">
      <t>シャコ</t>
    </rPh>
    <rPh sb="34" eb="35">
      <t>マエ</t>
    </rPh>
    <rPh sb="36" eb="38">
      <t>ゲシャ</t>
    </rPh>
    <rPh sb="38" eb="40">
      <t>トホ</t>
    </rPh>
    <rPh sb="41" eb="42">
      <t>プン</t>
    </rPh>
    <phoneticPr fontId="3"/>
  </si>
  <si>
    <t>(福)愛弘会</t>
    <rPh sb="1" eb="2">
      <t>フク</t>
    </rPh>
    <rPh sb="3" eb="4">
      <t>アイ</t>
    </rPh>
    <rPh sb="4" eb="5">
      <t>コウ</t>
    </rPh>
    <rPh sb="5" eb="6">
      <t>カイ</t>
    </rPh>
    <phoneticPr fontId="3"/>
  </si>
  <si>
    <t>きらり</t>
    <phoneticPr fontId="3"/>
  </si>
  <si>
    <t>見沼区深作2-6-2</t>
    <rPh sb="0" eb="3">
      <t>ミヌマク</t>
    </rPh>
    <rPh sb="3" eb="5">
      <t>フカサク</t>
    </rPh>
    <phoneticPr fontId="2"/>
  </si>
  <si>
    <t>048-681-7711</t>
    <phoneticPr fontId="2"/>
  </si>
  <si>
    <t>048-681-7712</t>
    <phoneticPr fontId="2"/>
  </si>
  <si>
    <t>○</t>
    <phoneticPr fontId="2"/>
  </si>
  <si>
    <t>ＪＲ宇都宮線東大宮駅からアーバンミライ循環「深作中｣下車徒歩１分</t>
    <rPh sb="2" eb="5">
      <t>ウツノミヤ</t>
    </rPh>
    <rPh sb="5" eb="6">
      <t>セン</t>
    </rPh>
    <rPh sb="6" eb="10">
      <t>ヒガシオオミヤエキ</t>
    </rPh>
    <rPh sb="19" eb="21">
      <t>ジュンカン</t>
    </rPh>
    <rPh sb="22" eb="24">
      <t>フカサク</t>
    </rPh>
    <rPh sb="24" eb="25">
      <t>チュウ</t>
    </rPh>
    <rPh sb="26" eb="28">
      <t>ゲシャ</t>
    </rPh>
    <rPh sb="28" eb="30">
      <t>トホ</t>
    </rPh>
    <rPh sb="31" eb="32">
      <t>プン</t>
    </rPh>
    <phoneticPr fontId="3"/>
  </si>
  <si>
    <t>大宮駅東口から国際興業バス中川循環「与野道」下車徒歩5分</t>
    <rPh sb="0" eb="3">
      <t>オオミヤエキ</t>
    </rPh>
    <rPh sb="3" eb="5">
      <t>ヒガシグチ</t>
    </rPh>
    <rPh sb="7" eb="9">
      <t>コクサイ</t>
    </rPh>
    <rPh sb="9" eb="11">
      <t>コウギョウ</t>
    </rPh>
    <rPh sb="13" eb="15">
      <t>ナカガワ</t>
    </rPh>
    <rPh sb="15" eb="17">
      <t>ジュンカン</t>
    </rPh>
    <rPh sb="18" eb="20">
      <t>ヨノ</t>
    </rPh>
    <rPh sb="20" eb="21">
      <t>ミチ</t>
    </rPh>
    <rPh sb="22" eb="24">
      <t>ゲシャ</t>
    </rPh>
    <rPh sb="24" eb="26">
      <t>トホ</t>
    </rPh>
    <rPh sb="27" eb="28">
      <t>フン</t>
    </rPh>
    <phoneticPr fontId="3"/>
  </si>
  <si>
    <t>048-761-8776</t>
    <phoneticPr fontId="2"/>
  </si>
  <si>
    <t>048-786-3355</t>
    <phoneticPr fontId="2"/>
  </si>
  <si>
    <t>04-2929-5221</t>
    <phoneticPr fontId="2"/>
  </si>
  <si>
    <t>04-2929-5222</t>
    <phoneticPr fontId="2"/>
  </si>
  <si>
    <t>みさと</t>
    <phoneticPr fontId="2"/>
  </si>
  <si>
    <t>ワークみさと</t>
    <phoneticPr fontId="2"/>
  </si>
  <si>
    <t>東武東上線志木駅北口から国際興業バス「志木高校入口」下車徒歩3分</t>
    <rPh sb="0" eb="2">
      <t>トウブ</t>
    </rPh>
    <rPh sb="2" eb="4">
      <t>トウジョウ</t>
    </rPh>
    <rPh sb="4" eb="5">
      <t>セン</t>
    </rPh>
    <rPh sb="5" eb="7">
      <t>シキ</t>
    </rPh>
    <rPh sb="7" eb="8">
      <t>エキ</t>
    </rPh>
    <rPh sb="8" eb="10">
      <t>キタグチ</t>
    </rPh>
    <rPh sb="12" eb="14">
      <t>コクサイ</t>
    </rPh>
    <rPh sb="14" eb="16">
      <t>コウギョウ</t>
    </rPh>
    <rPh sb="19" eb="21">
      <t>シキ</t>
    </rPh>
    <rPh sb="21" eb="23">
      <t>コウコウ</t>
    </rPh>
    <rPh sb="23" eb="25">
      <t>イリグチ</t>
    </rPh>
    <rPh sb="26" eb="28">
      <t>ゲシャ</t>
    </rPh>
    <rPh sb="28" eb="30">
      <t>トホ</t>
    </rPh>
    <rPh sb="31" eb="32">
      <t>プン</t>
    </rPh>
    <phoneticPr fontId="2"/>
  </si>
  <si>
    <t>(福)毛呂山町社会福祉協議会</t>
    <rPh sb="1" eb="2">
      <t>フク</t>
    </rPh>
    <rPh sb="3" eb="7">
      <t>モロヤママチ</t>
    </rPh>
    <rPh sb="7" eb="9">
      <t>シャカイ</t>
    </rPh>
    <rPh sb="9" eb="11">
      <t>フクシ</t>
    </rPh>
    <rPh sb="11" eb="14">
      <t>キョウギカイ</t>
    </rPh>
    <phoneticPr fontId="2"/>
  </si>
  <si>
    <t>(特非)ぶどうの会</t>
    <rPh sb="1" eb="2">
      <t>トク</t>
    </rPh>
    <rPh sb="2" eb="3">
      <t>ヒ</t>
    </rPh>
    <rPh sb="8" eb="9">
      <t>カイ</t>
    </rPh>
    <phoneticPr fontId="2"/>
  </si>
  <si>
    <t>(福)みのり福祉会</t>
    <rPh sb="1" eb="2">
      <t>フク</t>
    </rPh>
    <rPh sb="6" eb="9">
      <t>フクシカイ</t>
    </rPh>
    <phoneticPr fontId="2"/>
  </si>
  <si>
    <t>(福)羽搏会</t>
    <rPh sb="1" eb="2">
      <t>フク</t>
    </rPh>
    <rPh sb="3" eb="4">
      <t>ハ</t>
    </rPh>
    <rPh sb="5" eb="6">
      <t>カイ</t>
    </rPh>
    <phoneticPr fontId="2"/>
  </si>
  <si>
    <t>(福)むさし野たんぽぽ会</t>
    <rPh sb="1" eb="2">
      <t>フク</t>
    </rPh>
    <rPh sb="6" eb="7">
      <t>ノ</t>
    </rPh>
    <rPh sb="11" eb="12">
      <t>カイ</t>
    </rPh>
    <phoneticPr fontId="2"/>
  </si>
  <si>
    <t>(福)むさしの郷</t>
    <rPh sb="1" eb="2">
      <t>フク</t>
    </rPh>
    <rPh sb="7" eb="8">
      <t>ゴウ</t>
    </rPh>
    <phoneticPr fontId="2"/>
  </si>
  <si>
    <t>(福)熊谷礎福祉会</t>
    <rPh sb="1" eb="2">
      <t>フク</t>
    </rPh>
    <rPh sb="3" eb="5">
      <t>クマガヤ</t>
    </rPh>
    <rPh sb="5" eb="6">
      <t>イシズエ</t>
    </rPh>
    <rPh sb="6" eb="9">
      <t>フクシカイ</t>
    </rPh>
    <phoneticPr fontId="2"/>
  </si>
  <si>
    <t>(特非)あけぼの</t>
    <rPh sb="1" eb="2">
      <t>トク</t>
    </rPh>
    <rPh sb="2" eb="3">
      <t>ヒ</t>
    </rPh>
    <phoneticPr fontId="2"/>
  </si>
  <si>
    <t>(福)共愛会</t>
    <rPh sb="1" eb="2">
      <t>フク</t>
    </rPh>
    <rPh sb="3" eb="5">
      <t>キョウアイ</t>
    </rPh>
    <rPh sb="5" eb="6">
      <t>カイ</t>
    </rPh>
    <phoneticPr fontId="2"/>
  </si>
  <si>
    <t>(特非)ラッコの会</t>
    <rPh sb="1" eb="2">
      <t>トク</t>
    </rPh>
    <rPh sb="2" eb="3">
      <t>ヒ</t>
    </rPh>
    <rPh sb="8" eb="9">
      <t>カイ</t>
    </rPh>
    <phoneticPr fontId="2"/>
  </si>
  <si>
    <t>八潮市・
(特非)たらちね</t>
    <rPh sb="0" eb="3">
      <t>ヤシオシ</t>
    </rPh>
    <rPh sb="6" eb="7">
      <t>トク</t>
    </rPh>
    <rPh sb="7" eb="8">
      <t>ヒ</t>
    </rPh>
    <phoneticPr fontId="2"/>
  </si>
  <si>
    <t>(特非)豊和会</t>
    <rPh sb="1" eb="2">
      <t>トク</t>
    </rPh>
    <rPh sb="2" eb="3">
      <t>ヒ</t>
    </rPh>
    <rPh sb="4" eb="5">
      <t>ホウ</t>
    </rPh>
    <rPh sb="5" eb="6">
      <t>ワ</t>
    </rPh>
    <rPh sb="6" eb="7">
      <t>カイ</t>
    </rPh>
    <phoneticPr fontId="2"/>
  </si>
  <si>
    <t>(福)和幸会</t>
    <rPh sb="1" eb="2">
      <t>フク</t>
    </rPh>
    <rPh sb="3" eb="5">
      <t>ワコウ</t>
    </rPh>
    <rPh sb="5" eb="6">
      <t>カイ</t>
    </rPh>
    <phoneticPr fontId="2"/>
  </si>
  <si>
    <t>(特非)フレンズネットワーク</t>
    <rPh sb="1" eb="2">
      <t>トク</t>
    </rPh>
    <rPh sb="2" eb="3">
      <t>ヒ</t>
    </rPh>
    <phoneticPr fontId="2"/>
  </si>
  <si>
    <t>(福)埼玉福祉会</t>
    <rPh sb="1" eb="2">
      <t>フク</t>
    </rPh>
    <rPh sb="3" eb="5">
      <t>サイタマ</t>
    </rPh>
    <rPh sb="5" eb="8">
      <t>フクシカイ</t>
    </rPh>
    <phoneticPr fontId="2"/>
  </si>
  <si>
    <t>(特非)かもめ</t>
    <rPh sb="1" eb="2">
      <t>トク</t>
    </rPh>
    <rPh sb="2" eb="3">
      <t>ヒ</t>
    </rPh>
    <phoneticPr fontId="2"/>
  </si>
  <si>
    <t>○</t>
    <phoneticPr fontId="2"/>
  </si>
  <si>
    <t>(福)きずなの会</t>
    <rPh sb="1" eb="2">
      <t>フク</t>
    </rPh>
    <rPh sb="7" eb="8">
      <t>カイ</t>
    </rPh>
    <phoneticPr fontId="2"/>
  </si>
  <si>
    <t>きずなの里</t>
    <rPh sb="4" eb="5">
      <t>サト</t>
    </rPh>
    <phoneticPr fontId="3"/>
  </si>
  <si>
    <t>西区宝来501-1</t>
    <rPh sb="0" eb="2">
      <t>ニシク</t>
    </rPh>
    <rPh sb="2" eb="4">
      <t>ホウライ</t>
    </rPh>
    <phoneticPr fontId="2"/>
  </si>
  <si>
    <t>048-621-3301</t>
    <phoneticPr fontId="2"/>
  </si>
  <si>
    <t>048-621-3303</t>
    <phoneticPr fontId="2"/>
  </si>
  <si>
    <t>川越線指扇駅下車徒歩15分</t>
    <rPh sb="0" eb="2">
      <t>カワゴエ</t>
    </rPh>
    <rPh sb="2" eb="3">
      <t>セン</t>
    </rPh>
    <rPh sb="3" eb="5">
      <t>サシオウギ</t>
    </rPh>
    <rPh sb="5" eb="6">
      <t>エキ</t>
    </rPh>
    <rPh sb="6" eb="8">
      <t>ゲシャ</t>
    </rPh>
    <rPh sb="8" eb="10">
      <t>トホ</t>
    </rPh>
    <rPh sb="12" eb="13">
      <t>フン</t>
    </rPh>
    <phoneticPr fontId="3"/>
  </si>
  <si>
    <t>○</t>
    <phoneticPr fontId="2"/>
  </si>
  <si>
    <t>(福)育心会</t>
    <rPh sb="3" eb="4">
      <t>イク</t>
    </rPh>
    <rPh sb="4" eb="5">
      <t>シン</t>
    </rPh>
    <rPh sb="5" eb="6">
      <t>カイ</t>
    </rPh>
    <phoneticPr fontId="2"/>
  </si>
  <si>
    <t>第３光風寮</t>
    <rPh sb="0" eb="1">
      <t>ダイ</t>
    </rPh>
    <rPh sb="2" eb="5">
      <t>コウフウリョウ</t>
    </rPh>
    <phoneticPr fontId="2"/>
  </si>
  <si>
    <t>市場1107-1</t>
  </si>
  <si>
    <t>049-295-9738</t>
    <phoneticPr fontId="2"/>
  </si>
  <si>
    <t>049-295-9740</t>
    <phoneticPr fontId="2"/>
  </si>
  <si>
    <t>東武越生線川角駅下車徒歩20分</t>
    <rPh sb="0" eb="2">
      <t>トウブ</t>
    </rPh>
    <rPh sb="2" eb="4">
      <t>オゴセ</t>
    </rPh>
    <rPh sb="4" eb="5">
      <t>セン</t>
    </rPh>
    <rPh sb="5" eb="7">
      <t>カワカド</t>
    </rPh>
    <rPh sb="7" eb="8">
      <t>エキ</t>
    </rPh>
    <rPh sb="8" eb="10">
      <t>ゲシャ</t>
    </rPh>
    <rPh sb="10" eb="12">
      <t>トホ</t>
    </rPh>
    <rPh sb="14" eb="15">
      <t>フン</t>
    </rPh>
    <phoneticPr fontId="2"/>
  </si>
  <si>
    <t>あゆみ舎</t>
    <rPh sb="3" eb="4">
      <t>シャ</t>
    </rPh>
    <phoneticPr fontId="3"/>
  </si>
  <si>
    <t>048-648-2555</t>
    <phoneticPr fontId="2"/>
  </si>
  <si>
    <t>048-857-6003</t>
    <phoneticPr fontId="2"/>
  </si>
  <si>
    <t>第２テイク</t>
    <rPh sb="0" eb="1">
      <t>ダイ</t>
    </rPh>
    <phoneticPr fontId="2"/>
  </si>
  <si>
    <t>花田2-4-9</t>
    <rPh sb="0" eb="2">
      <t>ハナダ</t>
    </rPh>
    <phoneticPr fontId="2"/>
  </si>
  <si>
    <t>048-963-8747</t>
    <phoneticPr fontId="2"/>
  </si>
  <si>
    <t>048-963-8749</t>
    <phoneticPr fontId="2"/>
  </si>
  <si>
    <t>東武伊勢崎線北越谷駅東口より各バスにて「小田急弥栄団地入口」下車徒歩5分</t>
    <rPh sb="0" eb="2">
      <t>トウブ</t>
    </rPh>
    <rPh sb="2" eb="5">
      <t>イセサキ</t>
    </rPh>
    <rPh sb="5" eb="6">
      <t>セン</t>
    </rPh>
    <rPh sb="6" eb="9">
      <t>キタコシガヤ</t>
    </rPh>
    <rPh sb="9" eb="10">
      <t>エキ</t>
    </rPh>
    <rPh sb="10" eb="12">
      <t>ヒガシグチ</t>
    </rPh>
    <rPh sb="14" eb="15">
      <t>カク</t>
    </rPh>
    <rPh sb="20" eb="23">
      <t>オダキュウ</t>
    </rPh>
    <rPh sb="23" eb="25">
      <t>ヤエイ</t>
    </rPh>
    <rPh sb="25" eb="27">
      <t>ダンチ</t>
    </rPh>
    <rPh sb="27" eb="29">
      <t>イリグチ</t>
    </rPh>
    <rPh sb="30" eb="32">
      <t>ゲシャ</t>
    </rPh>
    <rPh sb="32" eb="34">
      <t>トホ</t>
    </rPh>
    <rPh sb="35" eb="36">
      <t>フン</t>
    </rPh>
    <phoneticPr fontId="2"/>
  </si>
  <si>
    <t>第３テイク</t>
    <rPh sb="0" eb="1">
      <t>ダイ</t>
    </rPh>
    <phoneticPr fontId="2"/>
  </si>
  <si>
    <t>(特非)ＷＩＳＨ</t>
    <phoneticPr fontId="2"/>
  </si>
  <si>
    <t>福祉アンテナショップ・ノア</t>
    <rPh sb="0" eb="2">
      <t>フクシ</t>
    </rPh>
    <phoneticPr fontId="2"/>
  </si>
  <si>
    <t>小見1460-1</t>
    <rPh sb="0" eb="2">
      <t>オミ</t>
    </rPh>
    <phoneticPr fontId="2"/>
  </si>
  <si>
    <t>048-501-2355</t>
    <phoneticPr fontId="2"/>
  </si>
  <si>
    <t>秩父鉄道東行田駅下車徒歩10分</t>
    <rPh sb="0" eb="2">
      <t>チチブ</t>
    </rPh>
    <rPh sb="2" eb="4">
      <t>テツドウ</t>
    </rPh>
    <rPh sb="4" eb="7">
      <t>ヒガシギョウダ</t>
    </rPh>
    <rPh sb="7" eb="8">
      <t>エキ</t>
    </rPh>
    <rPh sb="8" eb="10">
      <t>ゲシャ</t>
    </rPh>
    <rPh sb="10" eb="12">
      <t>トホ</t>
    </rPh>
    <rPh sb="14" eb="15">
      <t>プン</t>
    </rPh>
    <phoneticPr fontId="2"/>
  </si>
  <si>
    <t>(特非)アドバンス</t>
    <rPh sb="1" eb="2">
      <t>トク</t>
    </rPh>
    <rPh sb="2" eb="3">
      <t>ヒ</t>
    </rPh>
    <phoneticPr fontId="2"/>
  </si>
  <si>
    <t>鶴馬1-24-4</t>
    <rPh sb="0" eb="2">
      <t>ツルマ</t>
    </rPh>
    <phoneticPr fontId="2"/>
  </si>
  <si>
    <t>東武東上線鶴瀬駅下車徒歩11分</t>
    <rPh sb="0" eb="2">
      <t>トウブ</t>
    </rPh>
    <rPh sb="2" eb="4">
      <t>トウジョウ</t>
    </rPh>
    <rPh sb="4" eb="5">
      <t>セン</t>
    </rPh>
    <rPh sb="5" eb="7">
      <t>ツルセ</t>
    </rPh>
    <rPh sb="7" eb="8">
      <t>エキ</t>
    </rPh>
    <rPh sb="8" eb="10">
      <t>ゲシャ</t>
    </rPh>
    <rPh sb="10" eb="12">
      <t>トホ</t>
    </rPh>
    <rPh sb="14" eb="15">
      <t>フン</t>
    </rPh>
    <phoneticPr fontId="2"/>
  </si>
  <si>
    <t>南浦和駅東口から柳崎循環バス「円正寺」下車徒歩2分</t>
    <rPh sb="0" eb="3">
      <t>ミナミウラワ</t>
    </rPh>
    <rPh sb="3" eb="4">
      <t>エキ</t>
    </rPh>
    <rPh sb="4" eb="6">
      <t>ヒガシグチ</t>
    </rPh>
    <rPh sb="8" eb="10">
      <t>ヤナギサキ</t>
    </rPh>
    <rPh sb="10" eb="12">
      <t>ジュンカン</t>
    </rPh>
    <rPh sb="15" eb="18">
      <t>エンショウジ</t>
    </rPh>
    <rPh sb="19" eb="21">
      <t>ゲシャ</t>
    </rPh>
    <rPh sb="21" eb="23">
      <t>トホ</t>
    </rPh>
    <rPh sb="24" eb="25">
      <t>フン</t>
    </rPh>
    <phoneticPr fontId="2"/>
  </si>
  <si>
    <t>あゆみ作業所</t>
    <rPh sb="3" eb="6">
      <t>サギョウショ</t>
    </rPh>
    <phoneticPr fontId="2"/>
  </si>
  <si>
    <t>柏合804-1</t>
    <rPh sb="0" eb="2">
      <t>カシアイ</t>
    </rPh>
    <phoneticPr fontId="2"/>
  </si>
  <si>
    <t>048-551-4040</t>
    <phoneticPr fontId="2"/>
  </si>
  <si>
    <t>048-551-4041</t>
    <phoneticPr fontId="2"/>
  </si>
  <si>
    <t>高崎線深谷駅下車タクシー15分</t>
    <rPh sb="0" eb="2">
      <t>タカサキ</t>
    </rPh>
    <rPh sb="2" eb="3">
      <t>セン</t>
    </rPh>
    <rPh sb="3" eb="5">
      <t>フカヤ</t>
    </rPh>
    <rPh sb="5" eb="6">
      <t>エキ</t>
    </rPh>
    <rPh sb="6" eb="8">
      <t>ゲシャ</t>
    </rPh>
    <rPh sb="14" eb="15">
      <t>フン</t>
    </rPh>
    <phoneticPr fontId="2"/>
  </si>
  <si>
    <t>(福)多満喜会</t>
    <rPh sb="1" eb="2">
      <t>フク</t>
    </rPh>
    <rPh sb="3" eb="4">
      <t>タ</t>
    </rPh>
    <rPh sb="4" eb="5">
      <t>マン</t>
    </rPh>
    <rPh sb="5" eb="6">
      <t>キ</t>
    </rPh>
    <rPh sb="6" eb="7">
      <t>カイ</t>
    </rPh>
    <phoneticPr fontId="2"/>
  </si>
  <si>
    <t>障害者支援施設　友愛学園</t>
    <rPh sb="0" eb="3">
      <t>ショウガイシャ</t>
    </rPh>
    <rPh sb="3" eb="5">
      <t>シエン</t>
    </rPh>
    <rPh sb="5" eb="7">
      <t>シセツ</t>
    </rPh>
    <rPh sb="8" eb="10">
      <t>ユウアイ</t>
    </rPh>
    <rPh sb="10" eb="12">
      <t>ガクエン</t>
    </rPh>
    <phoneticPr fontId="2"/>
  </si>
  <si>
    <t>岩槻区大野島66-1</t>
    <rPh sb="0" eb="2">
      <t>イワツキ</t>
    </rPh>
    <rPh sb="2" eb="3">
      <t>ク</t>
    </rPh>
    <rPh sb="3" eb="6">
      <t>オオノジマ</t>
    </rPh>
    <phoneticPr fontId="2"/>
  </si>
  <si>
    <t>048-799-1236</t>
    <phoneticPr fontId="2"/>
  </si>
  <si>
    <t>048-799-1357</t>
    <phoneticPr fontId="2"/>
  </si>
  <si>
    <t>(特非)ともに生きる会</t>
    <rPh sb="1" eb="2">
      <t>トク</t>
    </rPh>
    <rPh sb="2" eb="3">
      <t>ヒ</t>
    </rPh>
    <rPh sb="7" eb="8">
      <t>イ</t>
    </rPh>
    <rPh sb="10" eb="11">
      <t>カイ</t>
    </rPh>
    <phoneticPr fontId="2"/>
  </si>
  <si>
    <t>南区根岸3-8-14</t>
    <rPh sb="0" eb="2">
      <t>ミナミク</t>
    </rPh>
    <rPh sb="2" eb="4">
      <t>ネギシ</t>
    </rPh>
    <phoneticPr fontId="2"/>
  </si>
  <si>
    <t>048-837-4546</t>
    <phoneticPr fontId="2"/>
  </si>
  <si>
    <t>048-762-8031</t>
    <phoneticPr fontId="2"/>
  </si>
  <si>
    <t>○</t>
    <phoneticPr fontId="2"/>
  </si>
  <si>
    <t>武蔵浦和駅から南浦和西口行バス「六辻」下車徒歩5分</t>
    <rPh sb="0" eb="2">
      <t>ムサシ</t>
    </rPh>
    <rPh sb="2" eb="4">
      <t>ウラワ</t>
    </rPh>
    <rPh sb="4" eb="5">
      <t>エキ</t>
    </rPh>
    <rPh sb="7" eb="10">
      <t>ミナミウラワ</t>
    </rPh>
    <rPh sb="10" eb="12">
      <t>ニシグチ</t>
    </rPh>
    <rPh sb="12" eb="13">
      <t>イ</t>
    </rPh>
    <rPh sb="16" eb="17">
      <t>ム</t>
    </rPh>
    <rPh sb="17" eb="18">
      <t>ツジ</t>
    </rPh>
    <rPh sb="19" eb="21">
      <t>ゲシャ</t>
    </rPh>
    <rPh sb="21" eb="23">
      <t>トホ</t>
    </rPh>
    <rPh sb="24" eb="25">
      <t>フン</t>
    </rPh>
    <phoneticPr fontId="3"/>
  </si>
  <si>
    <t>(福)一麦福祉会</t>
    <rPh sb="0" eb="3">
      <t>フク</t>
    </rPh>
    <rPh sb="3" eb="4">
      <t>ヒト</t>
    </rPh>
    <rPh sb="4" eb="5">
      <t>ムギ</t>
    </rPh>
    <rPh sb="5" eb="8">
      <t>フクシカイ</t>
    </rPh>
    <phoneticPr fontId="2"/>
  </si>
  <si>
    <t>ワークスみぎわ</t>
    <phoneticPr fontId="2"/>
  </si>
  <si>
    <t>0480-65-1759</t>
    <phoneticPr fontId="2"/>
  </si>
  <si>
    <t>○</t>
    <phoneticPr fontId="2"/>
  </si>
  <si>
    <t>東武伊勢崎線加須駅下車徒歩30分</t>
    <rPh sb="0" eb="2">
      <t>トウブ</t>
    </rPh>
    <rPh sb="2" eb="5">
      <t>イセサキ</t>
    </rPh>
    <rPh sb="5" eb="6">
      <t>セン</t>
    </rPh>
    <rPh sb="6" eb="9">
      <t>カゾエキ</t>
    </rPh>
    <rPh sb="9" eb="11">
      <t>ゲシャ</t>
    </rPh>
    <rPh sb="11" eb="13">
      <t>トホ</t>
    </rPh>
    <rPh sb="15" eb="16">
      <t>プン</t>
    </rPh>
    <phoneticPr fontId="2"/>
  </si>
  <si>
    <t>(特非)ほうき星</t>
    <rPh sb="0" eb="4">
      <t>トクヒ</t>
    </rPh>
    <rPh sb="7" eb="8">
      <t>ホシ</t>
    </rPh>
    <phoneticPr fontId="2"/>
  </si>
  <si>
    <t>初雁作業所</t>
    <rPh sb="0" eb="2">
      <t>ハツカリ</t>
    </rPh>
    <rPh sb="2" eb="5">
      <t>サギョウショ</t>
    </rPh>
    <phoneticPr fontId="2"/>
  </si>
  <si>
    <t>小仙波町1-6-11</t>
    <rPh sb="0" eb="4">
      <t>コセンバマチ</t>
    </rPh>
    <phoneticPr fontId="2"/>
  </si>
  <si>
    <t>049-225-0183</t>
    <phoneticPr fontId="2"/>
  </si>
  <si>
    <t>西武新宿線本川越駅下車徒歩20分</t>
    <rPh sb="0" eb="2">
      <t>セイブ</t>
    </rPh>
    <rPh sb="2" eb="4">
      <t>シンジュク</t>
    </rPh>
    <rPh sb="4" eb="5">
      <t>セン</t>
    </rPh>
    <rPh sb="5" eb="8">
      <t>ホンカワゴエ</t>
    </rPh>
    <rPh sb="8" eb="9">
      <t>エキ</t>
    </rPh>
    <rPh sb="9" eb="11">
      <t>ゲシャ</t>
    </rPh>
    <rPh sb="11" eb="13">
      <t>トホ</t>
    </rPh>
    <rPh sb="15" eb="16">
      <t>フン</t>
    </rPh>
    <phoneticPr fontId="2"/>
  </si>
  <si>
    <t>宮本町2-11-11MOA5 1階</t>
    <rPh sb="0" eb="3">
      <t>ミヤモトチョウ</t>
    </rPh>
    <rPh sb="16" eb="17">
      <t>カイ</t>
    </rPh>
    <phoneticPr fontId="2"/>
  </si>
  <si>
    <t>○</t>
    <phoneticPr fontId="2"/>
  </si>
  <si>
    <t>常泉536-1</t>
    <rPh sb="0" eb="1">
      <t>ツネ</t>
    </rPh>
    <rPh sb="1" eb="2">
      <t>イズミ</t>
    </rPh>
    <phoneticPr fontId="2"/>
  </si>
  <si>
    <t>(福)埼玉聴覚障害者福祉会</t>
    <rPh sb="1" eb="2">
      <t>フク</t>
    </rPh>
    <rPh sb="3" eb="5">
      <t>サイタマ</t>
    </rPh>
    <rPh sb="5" eb="7">
      <t>チョウカク</t>
    </rPh>
    <rPh sb="7" eb="10">
      <t>ショウガイシャ</t>
    </rPh>
    <rPh sb="10" eb="13">
      <t>フクシカイ</t>
    </rPh>
    <phoneticPr fontId="2"/>
  </si>
  <si>
    <t>ふれあいの里・どんぐり</t>
    <rPh sb="5" eb="6">
      <t>サト</t>
    </rPh>
    <phoneticPr fontId="2"/>
  </si>
  <si>
    <t>西大久保695-2</t>
    <rPh sb="0" eb="4">
      <t>ニシオオクボ</t>
    </rPh>
    <phoneticPr fontId="2"/>
  </si>
  <si>
    <t>049-295-9321</t>
    <phoneticPr fontId="2"/>
  </si>
  <si>
    <t>049-295-9322</t>
    <phoneticPr fontId="2"/>
  </si>
  <si>
    <t>(医)全和会</t>
    <rPh sb="1" eb="2">
      <t>イ</t>
    </rPh>
    <rPh sb="3" eb="4">
      <t>ゼン</t>
    </rPh>
    <rPh sb="4" eb="5">
      <t>ワ</t>
    </rPh>
    <rPh sb="5" eb="6">
      <t>カイ</t>
    </rPh>
    <phoneticPr fontId="2"/>
  </si>
  <si>
    <t>自立支援施設　武甲の森</t>
    <rPh sb="0" eb="2">
      <t>ジリツ</t>
    </rPh>
    <rPh sb="2" eb="4">
      <t>シエン</t>
    </rPh>
    <rPh sb="4" eb="6">
      <t>シセツ</t>
    </rPh>
    <rPh sb="7" eb="9">
      <t>ブコウ</t>
    </rPh>
    <rPh sb="10" eb="11">
      <t>モリ</t>
    </rPh>
    <phoneticPr fontId="2"/>
  </si>
  <si>
    <t>西武秩父駅又は秩父鉄道秩父駅から小鹿野車庫行バス「尾田蒔学校前」下車徒歩5分</t>
    <rPh sb="0" eb="2">
      <t>セイブ</t>
    </rPh>
    <rPh sb="2" eb="4">
      <t>チチブ</t>
    </rPh>
    <rPh sb="4" eb="5">
      <t>エキ</t>
    </rPh>
    <rPh sb="5" eb="6">
      <t>マタ</t>
    </rPh>
    <rPh sb="7" eb="9">
      <t>チチブ</t>
    </rPh>
    <rPh sb="9" eb="11">
      <t>テツドウ</t>
    </rPh>
    <rPh sb="11" eb="13">
      <t>チチブ</t>
    </rPh>
    <rPh sb="13" eb="14">
      <t>エキ</t>
    </rPh>
    <rPh sb="16" eb="19">
      <t>オガノ</t>
    </rPh>
    <rPh sb="19" eb="21">
      <t>シャコ</t>
    </rPh>
    <rPh sb="21" eb="22">
      <t>ギョウ</t>
    </rPh>
    <rPh sb="25" eb="26">
      <t>オ</t>
    </rPh>
    <rPh sb="26" eb="27">
      <t>タ</t>
    </rPh>
    <rPh sb="27" eb="28">
      <t>マキ</t>
    </rPh>
    <rPh sb="28" eb="30">
      <t>ガッコウ</t>
    </rPh>
    <rPh sb="30" eb="31">
      <t>マエ</t>
    </rPh>
    <rPh sb="32" eb="34">
      <t>ゲシャ</t>
    </rPh>
    <rPh sb="34" eb="36">
      <t>トホ</t>
    </rPh>
    <rPh sb="37" eb="38">
      <t>フン</t>
    </rPh>
    <phoneticPr fontId="2"/>
  </si>
  <si>
    <t>秩父鉄道行田市駅から市内循環バス北東循環右周りコース「二斎条」下車徒歩5分</t>
    <rPh sb="0" eb="2">
      <t>チチブ</t>
    </rPh>
    <rPh sb="2" eb="4">
      <t>テツドウ</t>
    </rPh>
    <rPh sb="4" eb="7">
      <t>ギョウダシ</t>
    </rPh>
    <rPh sb="7" eb="8">
      <t>エキ</t>
    </rPh>
    <rPh sb="10" eb="12">
      <t>シナイ</t>
    </rPh>
    <rPh sb="12" eb="14">
      <t>ジュンカン</t>
    </rPh>
    <rPh sb="16" eb="18">
      <t>ホクトウ</t>
    </rPh>
    <rPh sb="18" eb="20">
      <t>ジュンカン</t>
    </rPh>
    <rPh sb="20" eb="21">
      <t>ミギ</t>
    </rPh>
    <rPh sb="21" eb="22">
      <t>マワ</t>
    </rPh>
    <rPh sb="27" eb="28">
      <t>ニ</t>
    </rPh>
    <rPh sb="28" eb="30">
      <t>サイジョウ</t>
    </rPh>
    <rPh sb="31" eb="33">
      <t>ゲシャ</t>
    </rPh>
    <rPh sb="33" eb="35">
      <t>トホ</t>
    </rPh>
    <rPh sb="36" eb="37">
      <t>フン</t>
    </rPh>
    <phoneticPr fontId="2"/>
  </si>
  <si>
    <t>埼玉県立精神保健福祉センター</t>
    <rPh sb="0" eb="2">
      <t>サイタマ</t>
    </rPh>
    <rPh sb="2" eb="4">
      <t>ケンリツ</t>
    </rPh>
    <rPh sb="4" eb="6">
      <t>セイシン</t>
    </rPh>
    <rPh sb="6" eb="8">
      <t>ホケン</t>
    </rPh>
    <rPh sb="8" eb="10">
      <t>フクシ</t>
    </rPh>
    <phoneticPr fontId="2"/>
  </si>
  <si>
    <t>北足立郡伊奈町</t>
    <rPh sb="0" eb="4">
      <t>キタアダチグン</t>
    </rPh>
    <rPh sb="4" eb="7">
      <t>イナマチ</t>
    </rPh>
    <phoneticPr fontId="2"/>
  </si>
  <si>
    <t>小室818-2</t>
    <rPh sb="0" eb="2">
      <t>コムロ</t>
    </rPh>
    <phoneticPr fontId="2"/>
  </si>
  <si>
    <t>埼玉新都市交通伊宗線（ニューシャトル）丸山駅下車徒歩8分</t>
    <rPh sb="0" eb="2">
      <t>サイタマ</t>
    </rPh>
    <rPh sb="2" eb="5">
      <t>シントシ</t>
    </rPh>
    <rPh sb="5" eb="7">
      <t>コウツウ</t>
    </rPh>
    <rPh sb="7" eb="8">
      <t>イ</t>
    </rPh>
    <rPh sb="8" eb="9">
      <t>ソウ</t>
    </rPh>
    <rPh sb="9" eb="10">
      <t>セン</t>
    </rPh>
    <rPh sb="19" eb="21">
      <t>マルヤマ</t>
    </rPh>
    <rPh sb="21" eb="22">
      <t>エキ</t>
    </rPh>
    <rPh sb="22" eb="24">
      <t>ゲシャ</t>
    </rPh>
    <rPh sb="24" eb="26">
      <t>トホ</t>
    </rPh>
    <rPh sb="27" eb="28">
      <t>フン</t>
    </rPh>
    <phoneticPr fontId="2"/>
  </si>
  <si>
    <t>(福)聖徳会</t>
    <rPh sb="1" eb="2">
      <t>フク</t>
    </rPh>
    <rPh sb="3" eb="4">
      <t>セイ</t>
    </rPh>
    <rPh sb="4" eb="5">
      <t>トク</t>
    </rPh>
    <rPh sb="5" eb="6">
      <t>カイ</t>
    </rPh>
    <phoneticPr fontId="2"/>
  </si>
  <si>
    <t>行田園</t>
    <rPh sb="0" eb="2">
      <t>ギョウダ</t>
    </rPh>
    <rPh sb="2" eb="3">
      <t>エン</t>
    </rPh>
    <phoneticPr fontId="2"/>
  </si>
  <si>
    <t>荒木1199</t>
    <rPh sb="0" eb="2">
      <t>アラキ</t>
    </rPh>
    <phoneticPr fontId="2"/>
  </si>
  <si>
    <t>048-557-3283</t>
    <phoneticPr fontId="2"/>
  </si>
  <si>
    <t>048-557-3670</t>
    <phoneticPr fontId="2"/>
  </si>
  <si>
    <t>秩父鉄道武州荒木駅下車徒歩10分</t>
    <rPh sb="0" eb="2">
      <t>チチブ</t>
    </rPh>
    <rPh sb="2" eb="4">
      <t>テツドウ</t>
    </rPh>
    <rPh sb="4" eb="5">
      <t>タケ</t>
    </rPh>
    <rPh sb="5" eb="6">
      <t>シュウ</t>
    </rPh>
    <rPh sb="6" eb="8">
      <t>アラキ</t>
    </rPh>
    <rPh sb="8" eb="9">
      <t>エキ</t>
    </rPh>
    <rPh sb="9" eb="11">
      <t>ゲシャ</t>
    </rPh>
    <rPh sb="11" eb="13">
      <t>トホ</t>
    </rPh>
    <rPh sb="15" eb="16">
      <t>フン</t>
    </rPh>
    <phoneticPr fontId="2"/>
  </si>
  <si>
    <t>第２光風寮</t>
    <rPh sb="0" eb="1">
      <t>ダイ</t>
    </rPh>
    <rPh sb="2" eb="5">
      <t>コウフウリョウ</t>
    </rPh>
    <phoneticPr fontId="2"/>
  </si>
  <si>
    <t>市場1094-1</t>
    <phoneticPr fontId="2"/>
  </si>
  <si>
    <t>049-294-8535</t>
    <phoneticPr fontId="2"/>
  </si>
  <si>
    <t>049-295-8426</t>
    <phoneticPr fontId="2"/>
  </si>
  <si>
    <t>(福)もくせい福祉会</t>
    <rPh sb="1" eb="2">
      <t>フク</t>
    </rPh>
    <rPh sb="7" eb="10">
      <t>フクシカイ</t>
    </rPh>
    <phoneticPr fontId="2"/>
  </si>
  <si>
    <t>埼京線南与野駅下車徒歩8分</t>
    <rPh sb="0" eb="2">
      <t>サイキョウ</t>
    </rPh>
    <rPh sb="2" eb="3">
      <t>セン</t>
    </rPh>
    <rPh sb="3" eb="6">
      <t>ミナミヨノ</t>
    </rPh>
    <rPh sb="6" eb="7">
      <t>エキ</t>
    </rPh>
    <rPh sb="7" eb="9">
      <t>ゲシャ</t>
    </rPh>
    <rPh sb="9" eb="11">
      <t>トホ</t>
    </rPh>
    <rPh sb="12" eb="13">
      <t>フン</t>
    </rPh>
    <phoneticPr fontId="3"/>
  </si>
  <si>
    <t>下手子林2410</t>
    <phoneticPr fontId="2"/>
  </si>
  <si>
    <t>上野本2183-15</t>
    <rPh sb="0" eb="2">
      <t>ウエノ</t>
    </rPh>
    <rPh sb="2" eb="3">
      <t>モト</t>
    </rPh>
    <phoneticPr fontId="2"/>
  </si>
  <si>
    <t>(福)美里会</t>
    <rPh sb="1" eb="2">
      <t>フク</t>
    </rPh>
    <rPh sb="3" eb="5">
      <t>ミサト</t>
    </rPh>
    <rPh sb="5" eb="6">
      <t>カイ</t>
    </rPh>
    <phoneticPr fontId="2"/>
  </si>
  <si>
    <t>みさとの森</t>
    <rPh sb="4" eb="5">
      <t>モリ</t>
    </rPh>
    <phoneticPr fontId="2"/>
  </si>
  <si>
    <t>白石1848</t>
    <rPh sb="0" eb="2">
      <t>シライシ</t>
    </rPh>
    <phoneticPr fontId="2"/>
  </si>
  <si>
    <t>0495-76-1152</t>
    <phoneticPr fontId="2"/>
  </si>
  <si>
    <t>0495-76-3744</t>
    <phoneticPr fontId="2"/>
  </si>
  <si>
    <t>(福)埼葛福祉会</t>
    <rPh sb="3" eb="4">
      <t>サキ</t>
    </rPh>
    <rPh sb="4" eb="5">
      <t>ツヅラ</t>
    </rPh>
    <rPh sb="5" eb="7">
      <t>フクシ</t>
    </rPh>
    <rPh sb="7" eb="8">
      <t>カイ</t>
    </rPh>
    <phoneticPr fontId="2"/>
  </si>
  <si>
    <t>神明苑</t>
    <rPh sb="0" eb="2">
      <t>シンメイ</t>
    </rPh>
    <rPh sb="2" eb="3">
      <t>エン</t>
    </rPh>
    <phoneticPr fontId="2"/>
  </si>
  <si>
    <t>神明町3-176</t>
    <rPh sb="0" eb="3">
      <t>シンメイチョウ</t>
    </rPh>
    <phoneticPr fontId="2"/>
  </si>
  <si>
    <t>048-963-3289</t>
    <phoneticPr fontId="2"/>
  </si>
  <si>
    <t>048-963-3227</t>
    <phoneticPr fontId="2"/>
  </si>
  <si>
    <t>東武伊勢崎線越谷駅から東川口駅行バス「西中学校前」下車徒歩8分</t>
    <rPh sb="0" eb="2">
      <t>トウブ</t>
    </rPh>
    <rPh sb="2" eb="5">
      <t>イセサキ</t>
    </rPh>
    <rPh sb="5" eb="6">
      <t>セン</t>
    </rPh>
    <rPh sb="6" eb="8">
      <t>コシガヤ</t>
    </rPh>
    <rPh sb="8" eb="9">
      <t>エキ</t>
    </rPh>
    <rPh sb="11" eb="14">
      <t>ヒガシカワグチ</t>
    </rPh>
    <rPh sb="14" eb="15">
      <t>エキ</t>
    </rPh>
    <rPh sb="15" eb="16">
      <t>イ</t>
    </rPh>
    <rPh sb="19" eb="20">
      <t>ニシ</t>
    </rPh>
    <rPh sb="20" eb="23">
      <t>チュウガッコウ</t>
    </rPh>
    <rPh sb="23" eb="24">
      <t>マエ</t>
    </rPh>
    <rPh sb="25" eb="27">
      <t>ゲシャ</t>
    </rPh>
    <rPh sb="27" eb="29">
      <t>トホ</t>
    </rPh>
    <rPh sb="30" eb="31">
      <t>プン</t>
    </rPh>
    <phoneticPr fontId="2"/>
  </si>
  <si>
    <t>(特非)はばたき</t>
    <rPh sb="0" eb="4">
      <t>トクヒ</t>
    </rPh>
    <phoneticPr fontId="2"/>
  </si>
  <si>
    <t>鳩山支援センターはばたき</t>
    <rPh sb="0" eb="2">
      <t>ハトヤマ</t>
    </rPh>
    <rPh sb="2" eb="4">
      <t>シエン</t>
    </rPh>
    <phoneticPr fontId="2"/>
  </si>
  <si>
    <t>比企郡鳩山町</t>
    <rPh sb="0" eb="3">
      <t>ヒキグン</t>
    </rPh>
    <rPh sb="3" eb="6">
      <t>ハトヤママチ</t>
    </rPh>
    <phoneticPr fontId="2"/>
  </si>
  <si>
    <t>松ヶ丘4-1-1（多世代交流活動センター）</t>
    <rPh sb="0" eb="3">
      <t>マツガオカ</t>
    </rPh>
    <rPh sb="9" eb="10">
      <t>タ</t>
    </rPh>
    <rPh sb="10" eb="12">
      <t>セダイ</t>
    </rPh>
    <rPh sb="12" eb="14">
      <t>コウリュウ</t>
    </rPh>
    <rPh sb="14" eb="16">
      <t>カツドウ</t>
    </rPh>
    <phoneticPr fontId="2"/>
  </si>
  <si>
    <t>049-296-1639</t>
    <phoneticPr fontId="2"/>
  </si>
  <si>
    <t>東武東上線高坂駅から鳩山ニュータウン行バス｢鳩山高校前｣下車徒歩3分</t>
    <rPh sb="0" eb="2">
      <t>トウブ</t>
    </rPh>
    <rPh sb="2" eb="4">
      <t>トウジョウ</t>
    </rPh>
    <rPh sb="4" eb="5">
      <t>セン</t>
    </rPh>
    <rPh sb="5" eb="7">
      <t>タカサカ</t>
    </rPh>
    <rPh sb="7" eb="8">
      <t>エキ</t>
    </rPh>
    <rPh sb="10" eb="12">
      <t>ハトヤマ</t>
    </rPh>
    <rPh sb="18" eb="19">
      <t>イ</t>
    </rPh>
    <rPh sb="22" eb="24">
      <t>ハトヤマ</t>
    </rPh>
    <rPh sb="24" eb="26">
      <t>コウコウ</t>
    </rPh>
    <rPh sb="26" eb="27">
      <t>マエ</t>
    </rPh>
    <rPh sb="28" eb="30">
      <t>ゲシャ</t>
    </rPh>
    <rPh sb="30" eb="32">
      <t>トホ</t>
    </rPh>
    <rPh sb="33" eb="34">
      <t>フン</t>
    </rPh>
    <phoneticPr fontId="2"/>
  </si>
  <si>
    <t>(特非)仲良し作業所</t>
    <rPh sb="1" eb="2">
      <t>トク</t>
    </rPh>
    <rPh sb="2" eb="3">
      <t>ヒ</t>
    </rPh>
    <rPh sb="4" eb="6">
      <t>ナカヨ</t>
    </rPh>
    <rPh sb="7" eb="10">
      <t>サギョウショ</t>
    </rPh>
    <phoneticPr fontId="2"/>
  </si>
  <si>
    <t>仲良し作業所</t>
    <rPh sb="0" eb="2">
      <t>ナカヨ</t>
    </rPh>
    <rPh sb="3" eb="6">
      <t>サギョウショ</t>
    </rPh>
    <phoneticPr fontId="3"/>
  </si>
  <si>
    <t>見沼区東大宮5-47-1</t>
    <rPh sb="0" eb="3">
      <t>ミヌマク</t>
    </rPh>
    <rPh sb="3" eb="6">
      <t>ヒガシオオミヤ</t>
    </rPh>
    <phoneticPr fontId="2"/>
  </si>
  <si>
    <t>(福)常磐福祉会</t>
    <rPh sb="1" eb="2">
      <t>フク</t>
    </rPh>
    <rPh sb="3" eb="5">
      <t>トキワ</t>
    </rPh>
    <rPh sb="5" eb="8">
      <t>フクシカイ</t>
    </rPh>
    <phoneticPr fontId="2"/>
  </si>
  <si>
    <t>吉見学園</t>
    <rPh sb="0" eb="2">
      <t>ヨシミ</t>
    </rPh>
    <rPh sb="2" eb="4">
      <t>ガクエン</t>
    </rPh>
    <phoneticPr fontId="2"/>
  </si>
  <si>
    <t>田甲789</t>
    <rPh sb="0" eb="1">
      <t>タ</t>
    </rPh>
    <phoneticPr fontId="2"/>
  </si>
  <si>
    <t>東武東上線東松山駅からマイタウン循環バス「マイタウン入口」下車徒歩25分</t>
    <rPh sb="0" eb="2">
      <t>トウブ</t>
    </rPh>
    <rPh sb="2" eb="4">
      <t>トウジョウ</t>
    </rPh>
    <rPh sb="4" eb="5">
      <t>セン</t>
    </rPh>
    <rPh sb="5" eb="8">
      <t>ヒガシマツヤマ</t>
    </rPh>
    <rPh sb="8" eb="9">
      <t>エキ</t>
    </rPh>
    <rPh sb="16" eb="18">
      <t>ジュンカン</t>
    </rPh>
    <rPh sb="26" eb="27">
      <t>イ</t>
    </rPh>
    <rPh sb="27" eb="28">
      <t>グチ</t>
    </rPh>
    <rPh sb="29" eb="31">
      <t>ゲシャ</t>
    </rPh>
    <rPh sb="31" eb="33">
      <t>トホ</t>
    </rPh>
    <rPh sb="35" eb="36">
      <t>フン</t>
    </rPh>
    <phoneticPr fontId="2"/>
  </si>
  <si>
    <t>○</t>
    <phoneticPr fontId="2"/>
  </si>
  <si>
    <t>(福)いずみ会</t>
    <rPh sb="1" eb="2">
      <t>フク</t>
    </rPh>
    <rPh sb="6" eb="7">
      <t>カイ</t>
    </rPh>
    <phoneticPr fontId="2"/>
  </si>
  <si>
    <t>千樹の里</t>
    <rPh sb="0" eb="2">
      <t>センジュ</t>
    </rPh>
    <rPh sb="3" eb="4">
      <t>サト</t>
    </rPh>
    <phoneticPr fontId="2"/>
  </si>
  <si>
    <t>比企郡ときがわ町</t>
    <rPh sb="0" eb="3">
      <t>ヒキグン</t>
    </rPh>
    <rPh sb="7" eb="8">
      <t>マチ</t>
    </rPh>
    <phoneticPr fontId="2"/>
  </si>
  <si>
    <t>0493-65-3033</t>
    <phoneticPr fontId="2"/>
  </si>
  <si>
    <t>八高線明覚駅下車徒歩28分</t>
    <rPh sb="0" eb="2">
      <t>ハチコウ</t>
    </rPh>
    <rPh sb="2" eb="3">
      <t>セン</t>
    </rPh>
    <rPh sb="3" eb="4">
      <t>メイ</t>
    </rPh>
    <rPh sb="4" eb="5">
      <t>カク</t>
    </rPh>
    <rPh sb="5" eb="6">
      <t>エキ</t>
    </rPh>
    <rPh sb="6" eb="8">
      <t>ゲシャ</t>
    </rPh>
    <rPh sb="8" eb="10">
      <t>トホ</t>
    </rPh>
    <rPh sb="12" eb="13">
      <t>フン</t>
    </rPh>
    <phoneticPr fontId="2"/>
  </si>
  <si>
    <t>玉川1322-3</t>
    <rPh sb="0" eb="2">
      <t>タマガワ</t>
    </rPh>
    <phoneticPr fontId="2"/>
  </si>
  <si>
    <t>(特非)ハーモニー</t>
    <rPh sb="1" eb="2">
      <t>トク</t>
    </rPh>
    <rPh sb="2" eb="3">
      <t>ヒ</t>
    </rPh>
    <phoneticPr fontId="2"/>
  </si>
  <si>
    <t>メリーハーモニー</t>
    <phoneticPr fontId="2"/>
  </si>
  <si>
    <t>下忍3100-1</t>
    <rPh sb="0" eb="1">
      <t>シタ</t>
    </rPh>
    <rPh sb="1" eb="2">
      <t>シノブ</t>
    </rPh>
    <phoneticPr fontId="2"/>
  </si>
  <si>
    <t>(特非)エル・フォー</t>
    <rPh sb="1" eb="2">
      <t>トク</t>
    </rPh>
    <rPh sb="2" eb="3">
      <t>ヒ</t>
    </rPh>
    <phoneticPr fontId="2"/>
  </si>
  <si>
    <t>エル・フォー</t>
    <phoneticPr fontId="2"/>
  </si>
  <si>
    <t>原郷772-3</t>
    <rPh sb="0" eb="2">
      <t>ハラゴウ</t>
    </rPh>
    <phoneticPr fontId="2"/>
  </si>
  <si>
    <t>048-573-1571</t>
    <phoneticPr fontId="2"/>
  </si>
  <si>
    <t>048-573-1663</t>
    <phoneticPr fontId="2"/>
  </si>
  <si>
    <t>○</t>
    <phoneticPr fontId="2"/>
  </si>
  <si>
    <t>高崎線深谷駅下車徒歩20分</t>
    <rPh sb="0" eb="2">
      <t>タカサキ</t>
    </rPh>
    <rPh sb="2" eb="3">
      <t>セン</t>
    </rPh>
    <rPh sb="3" eb="5">
      <t>フカヤ</t>
    </rPh>
    <rPh sb="5" eb="6">
      <t>エキ</t>
    </rPh>
    <rPh sb="6" eb="8">
      <t>ゲシャ</t>
    </rPh>
    <rPh sb="8" eb="10">
      <t>トホ</t>
    </rPh>
    <rPh sb="12" eb="13">
      <t>フン</t>
    </rPh>
    <phoneticPr fontId="2"/>
  </si>
  <si>
    <t>(特非)ひな</t>
    <rPh sb="1" eb="2">
      <t>トク</t>
    </rPh>
    <rPh sb="2" eb="3">
      <t>ヒ</t>
    </rPh>
    <phoneticPr fontId="2"/>
  </si>
  <si>
    <t>作業所ひな</t>
    <rPh sb="0" eb="3">
      <t>サギョウショ</t>
    </rPh>
    <phoneticPr fontId="3"/>
  </si>
  <si>
    <t>岩槻区東岩槻5-2-3第2池田コーポ</t>
    <rPh sb="0" eb="2">
      <t>イワツキ</t>
    </rPh>
    <rPh sb="2" eb="3">
      <t>ク</t>
    </rPh>
    <rPh sb="3" eb="6">
      <t>ヒガシイワツキ</t>
    </rPh>
    <rPh sb="11" eb="12">
      <t>ダイ</t>
    </rPh>
    <rPh sb="13" eb="15">
      <t>イケダ</t>
    </rPh>
    <phoneticPr fontId="2"/>
  </si>
  <si>
    <t>東武野田線東岩槻駅下車徒歩5分</t>
    <rPh sb="0" eb="2">
      <t>トウブ</t>
    </rPh>
    <rPh sb="2" eb="4">
      <t>ノダ</t>
    </rPh>
    <rPh sb="4" eb="5">
      <t>セン</t>
    </rPh>
    <rPh sb="5" eb="8">
      <t>ヒガシイワツキ</t>
    </rPh>
    <rPh sb="8" eb="9">
      <t>エキ</t>
    </rPh>
    <rPh sb="9" eb="11">
      <t>ゲシャ</t>
    </rPh>
    <rPh sb="11" eb="13">
      <t>トホ</t>
    </rPh>
    <rPh sb="14" eb="15">
      <t>フン</t>
    </rPh>
    <phoneticPr fontId="3"/>
  </si>
  <si>
    <t>○</t>
    <phoneticPr fontId="2"/>
  </si>
  <si>
    <t>寄居駅下車タクシー15分　※短期入所の「主たる対象者」には障害児含む</t>
    <rPh sb="0" eb="2">
      <t>ヨリイ</t>
    </rPh>
    <rPh sb="2" eb="3">
      <t>エキ</t>
    </rPh>
    <rPh sb="3" eb="5">
      <t>ゲシャ</t>
    </rPh>
    <rPh sb="11" eb="12">
      <t>フン</t>
    </rPh>
    <rPh sb="14" eb="16">
      <t>タンキ</t>
    </rPh>
    <rPh sb="16" eb="18">
      <t>ニュウショ</t>
    </rPh>
    <rPh sb="29" eb="32">
      <t>ショウガイジ</t>
    </rPh>
    <rPh sb="32" eb="33">
      <t>フク</t>
    </rPh>
    <phoneticPr fontId="2"/>
  </si>
  <si>
    <t>武蔵野線南越谷駅から越谷南体育館行バス「川柳４丁目」下車徒歩7分　※短期入所の「主たる対象者」には障害児含む</t>
    <rPh sb="0" eb="3">
      <t>ムサシノ</t>
    </rPh>
    <rPh sb="3" eb="4">
      <t>セン</t>
    </rPh>
    <rPh sb="4" eb="7">
      <t>ミナミコシガヤ</t>
    </rPh>
    <rPh sb="7" eb="8">
      <t>エキ</t>
    </rPh>
    <rPh sb="10" eb="12">
      <t>コシガヤ</t>
    </rPh>
    <rPh sb="12" eb="13">
      <t>ミナミ</t>
    </rPh>
    <rPh sb="13" eb="16">
      <t>タイイクカン</t>
    </rPh>
    <rPh sb="16" eb="17">
      <t>イ</t>
    </rPh>
    <rPh sb="20" eb="22">
      <t>カワヤナギ</t>
    </rPh>
    <rPh sb="23" eb="25">
      <t>チョウメ</t>
    </rPh>
    <rPh sb="26" eb="28">
      <t>ゲシャ</t>
    </rPh>
    <rPh sb="28" eb="30">
      <t>トホ</t>
    </rPh>
    <rPh sb="31" eb="32">
      <t>フン</t>
    </rPh>
    <phoneticPr fontId="2"/>
  </si>
  <si>
    <t>西武新宿線新狭山駅下車徒歩15分　※短期入所の「主たる対象者」には障害児含む</t>
    <rPh sb="0" eb="2">
      <t>セイブ</t>
    </rPh>
    <rPh sb="2" eb="4">
      <t>シンジュク</t>
    </rPh>
    <rPh sb="4" eb="5">
      <t>セン</t>
    </rPh>
    <rPh sb="5" eb="8">
      <t>シンサヤマ</t>
    </rPh>
    <rPh sb="8" eb="9">
      <t>エキ</t>
    </rPh>
    <rPh sb="9" eb="11">
      <t>ゲシャ</t>
    </rPh>
    <rPh sb="11" eb="13">
      <t>トホ</t>
    </rPh>
    <rPh sb="15" eb="16">
      <t>フン</t>
    </rPh>
    <phoneticPr fontId="2"/>
  </si>
  <si>
    <t>西武新宿線狭山市駅下車徒歩20分　※短期入所の「主たる対象者」には障害児含む</t>
    <rPh sb="0" eb="2">
      <t>セイブ</t>
    </rPh>
    <rPh sb="2" eb="4">
      <t>シンジュク</t>
    </rPh>
    <rPh sb="4" eb="5">
      <t>セン</t>
    </rPh>
    <rPh sb="5" eb="8">
      <t>サヤマシ</t>
    </rPh>
    <rPh sb="8" eb="9">
      <t>エキ</t>
    </rPh>
    <rPh sb="9" eb="11">
      <t>ゲシャ</t>
    </rPh>
    <rPh sb="11" eb="13">
      <t>トホ</t>
    </rPh>
    <rPh sb="15" eb="16">
      <t>フン</t>
    </rPh>
    <phoneticPr fontId="2"/>
  </si>
  <si>
    <t>東武東上線志木駅から富士見高校行バス終点下車徒歩5分　※短期入所の「主たる対象者」には障害児含む</t>
    <rPh sb="0" eb="2">
      <t>トウブ</t>
    </rPh>
    <rPh sb="2" eb="4">
      <t>トウジョウ</t>
    </rPh>
    <rPh sb="4" eb="5">
      <t>セン</t>
    </rPh>
    <rPh sb="5" eb="7">
      <t>シキ</t>
    </rPh>
    <rPh sb="7" eb="8">
      <t>エキ</t>
    </rPh>
    <rPh sb="10" eb="13">
      <t>フジミ</t>
    </rPh>
    <rPh sb="13" eb="15">
      <t>コウコウ</t>
    </rPh>
    <rPh sb="15" eb="16">
      <t>イ</t>
    </rPh>
    <rPh sb="18" eb="20">
      <t>シュウテン</t>
    </rPh>
    <rPh sb="20" eb="22">
      <t>ゲシャ</t>
    </rPh>
    <rPh sb="22" eb="24">
      <t>トホ</t>
    </rPh>
    <rPh sb="25" eb="26">
      <t>フン</t>
    </rPh>
    <phoneticPr fontId="2"/>
  </si>
  <si>
    <t>秩父鉄道皆野駅から町営バス「根古屋橋」下車徒歩3分　※短期入所の「主たる対象者」には障害児含む</t>
    <rPh sb="0" eb="2">
      <t>チチブ</t>
    </rPh>
    <rPh sb="2" eb="4">
      <t>テツドウ</t>
    </rPh>
    <rPh sb="4" eb="6">
      <t>ミナノ</t>
    </rPh>
    <rPh sb="6" eb="7">
      <t>エキ</t>
    </rPh>
    <rPh sb="9" eb="11">
      <t>チョウエイ</t>
    </rPh>
    <rPh sb="14" eb="15">
      <t>ネ</t>
    </rPh>
    <rPh sb="15" eb="16">
      <t>コ</t>
    </rPh>
    <rPh sb="16" eb="17">
      <t>ヤ</t>
    </rPh>
    <rPh sb="17" eb="18">
      <t>ハシ</t>
    </rPh>
    <rPh sb="19" eb="21">
      <t>ゲシャ</t>
    </rPh>
    <rPh sb="21" eb="23">
      <t>トホ</t>
    </rPh>
    <rPh sb="24" eb="25">
      <t>フン</t>
    </rPh>
    <phoneticPr fontId="2"/>
  </si>
  <si>
    <t>西武秩父駅又は秩父鉄道秩父駅から小鹿野町役場経由バス「石上」下車　※短期入所の「主たる対象者」には障害児含む</t>
    <rPh sb="0" eb="2">
      <t>セイブ</t>
    </rPh>
    <rPh sb="2" eb="4">
      <t>チチブ</t>
    </rPh>
    <rPh sb="4" eb="5">
      <t>エキ</t>
    </rPh>
    <rPh sb="5" eb="6">
      <t>マタ</t>
    </rPh>
    <rPh sb="7" eb="9">
      <t>チチブ</t>
    </rPh>
    <rPh sb="9" eb="11">
      <t>テツドウ</t>
    </rPh>
    <rPh sb="11" eb="13">
      <t>チチブ</t>
    </rPh>
    <rPh sb="13" eb="14">
      <t>エキ</t>
    </rPh>
    <rPh sb="16" eb="20">
      <t>オガノマチ</t>
    </rPh>
    <rPh sb="20" eb="22">
      <t>ヤクバ</t>
    </rPh>
    <rPh sb="22" eb="24">
      <t>ケイユ</t>
    </rPh>
    <rPh sb="27" eb="29">
      <t>イシガミ</t>
    </rPh>
    <rPh sb="30" eb="32">
      <t>ゲシャ</t>
    </rPh>
    <phoneticPr fontId="2"/>
  </si>
  <si>
    <t>高崎線桶川駅から循環バス「りんごの家入口」下車　※短期入所の「主たる対象者」には障害児含む</t>
    <rPh sb="0" eb="2">
      <t>タカサキ</t>
    </rPh>
    <rPh sb="2" eb="3">
      <t>セン</t>
    </rPh>
    <rPh sb="3" eb="5">
      <t>オケガワ</t>
    </rPh>
    <rPh sb="5" eb="6">
      <t>エキ</t>
    </rPh>
    <rPh sb="8" eb="10">
      <t>ジュンカン</t>
    </rPh>
    <rPh sb="17" eb="18">
      <t>イエ</t>
    </rPh>
    <rPh sb="18" eb="19">
      <t>イ</t>
    </rPh>
    <rPh sb="19" eb="20">
      <t>グチ</t>
    </rPh>
    <rPh sb="21" eb="23">
      <t>ゲシャ</t>
    </rPh>
    <phoneticPr fontId="2"/>
  </si>
  <si>
    <t>深谷駅下車徒歩30分　※短期入所の「主たる対象者」には障害児含む
　※「主たる対象者」における△は日中ｻｰﾋﾞｽ(「精」は短期入所も)のみ</t>
    <rPh sb="0" eb="2">
      <t>フカヤ</t>
    </rPh>
    <rPh sb="2" eb="3">
      <t>エキ</t>
    </rPh>
    <rPh sb="3" eb="5">
      <t>ゲシャ</t>
    </rPh>
    <rPh sb="5" eb="7">
      <t>トホ</t>
    </rPh>
    <rPh sb="9" eb="10">
      <t>プン</t>
    </rPh>
    <rPh sb="36" eb="37">
      <t>シュ</t>
    </rPh>
    <rPh sb="39" eb="42">
      <t>タイショウシャ</t>
    </rPh>
    <rPh sb="49" eb="51">
      <t>ニッチュウ</t>
    </rPh>
    <rPh sb="58" eb="59">
      <t>セイ</t>
    </rPh>
    <rPh sb="61" eb="63">
      <t>タンキ</t>
    </rPh>
    <rPh sb="63" eb="65">
      <t>ニュウショ</t>
    </rPh>
    <phoneticPr fontId="2"/>
  </si>
  <si>
    <t>(特非)トゥッティフォルテ</t>
    <rPh sb="0" eb="4">
      <t>トクヒ</t>
    </rPh>
    <phoneticPr fontId="2"/>
  </si>
  <si>
    <t>トゥッティフォルテ</t>
    <phoneticPr fontId="2"/>
  </si>
  <si>
    <t>比企郡滑川町</t>
    <rPh sb="0" eb="3">
      <t>ヒキグン</t>
    </rPh>
    <rPh sb="3" eb="5">
      <t>ナメカワ</t>
    </rPh>
    <rPh sb="5" eb="6">
      <t>マチ</t>
    </rPh>
    <phoneticPr fontId="2"/>
  </si>
  <si>
    <t>0493-81-4307</t>
    <phoneticPr fontId="2"/>
  </si>
  <si>
    <t>0493-81-4308</t>
    <phoneticPr fontId="2"/>
  </si>
  <si>
    <t>東武東上線武蔵嵐山駅東口下車徒歩7分</t>
    <rPh sb="0" eb="2">
      <t>トウブ</t>
    </rPh>
    <rPh sb="2" eb="4">
      <t>トウジョウ</t>
    </rPh>
    <rPh sb="4" eb="5">
      <t>セン</t>
    </rPh>
    <rPh sb="5" eb="7">
      <t>ムサシ</t>
    </rPh>
    <rPh sb="7" eb="9">
      <t>ランザン</t>
    </rPh>
    <rPh sb="9" eb="10">
      <t>エキ</t>
    </rPh>
    <rPh sb="10" eb="12">
      <t>ヒガシグチ</t>
    </rPh>
    <rPh sb="12" eb="14">
      <t>ゲシャ</t>
    </rPh>
    <rPh sb="14" eb="16">
      <t>トホ</t>
    </rPh>
    <rPh sb="17" eb="18">
      <t>フン</t>
    </rPh>
    <phoneticPr fontId="2"/>
  </si>
  <si>
    <t>コンパス</t>
    <phoneticPr fontId="2"/>
  </si>
  <si>
    <t>048-958-2555</t>
    <phoneticPr fontId="2"/>
  </si>
  <si>
    <t>武蔵野線新三郷駅西口下車徒歩20分</t>
    <rPh sb="0" eb="3">
      <t>ムサシノ</t>
    </rPh>
    <rPh sb="3" eb="4">
      <t>セン</t>
    </rPh>
    <rPh sb="4" eb="7">
      <t>シンミサト</t>
    </rPh>
    <rPh sb="7" eb="8">
      <t>エキ</t>
    </rPh>
    <rPh sb="8" eb="10">
      <t>ニシグチ</t>
    </rPh>
    <rPh sb="10" eb="12">
      <t>ゲシャ</t>
    </rPh>
    <rPh sb="12" eb="14">
      <t>トホ</t>
    </rPh>
    <rPh sb="16" eb="17">
      <t>プン</t>
    </rPh>
    <phoneticPr fontId="2"/>
  </si>
  <si>
    <t>(特非)コンパスの会</t>
    <rPh sb="1" eb="2">
      <t>トク</t>
    </rPh>
    <rPh sb="2" eb="3">
      <t>ヒ</t>
    </rPh>
    <rPh sb="9" eb="10">
      <t>カイ</t>
    </rPh>
    <phoneticPr fontId="2"/>
  </si>
  <si>
    <t>東武東上線東松山駅から熊谷駅行バス「上沼」下車徒歩10分</t>
    <rPh sb="0" eb="2">
      <t>トウブ</t>
    </rPh>
    <rPh sb="2" eb="4">
      <t>トウジョウ</t>
    </rPh>
    <rPh sb="4" eb="5">
      <t>セン</t>
    </rPh>
    <rPh sb="5" eb="8">
      <t>ヒガシマツヤマ</t>
    </rPh>
    <rPh sb="8" eb="9">
      <t>エキ</t>
    </rPh>
    <rPh sb="11" eb="13">
      <t>クマガヤ</t>
    </rPh>
    <rPh sb="13" eb="14">
      <t>エキ</t>
    </rPh>
    <rPh sb="14" eb="15">
      <t>イ</t>
    </rPh>
    <rPh sb="18" eb="20">
      <t>ウエヌマ</t>
    </rPh>
    <rPh sb="21" eb="23">
      <t>ゲシャ</t>
    </rPh>
    <rPh sb="23" eb="25">
      <t>トホ</t>
    </rPh>
    <rPh sb="27" eb="28">
      <t>プン</t>
    </rPh>
    <phoneticPr fontId="2"/>
  </si>
  <si>
    <t>東武東上線東松山駅から熊谷駅行バス「市民病院前」下車徒歩5分</t>
    <rPh sb="0" eb="2">
      <t>トウブ</t>
    </rPh>
    <rPh sb="2" eb="4">
      <t>トウジョウ</t>
    </rPh>
    <rPh sb="4" eb="5">
      <t>セン</t>
    </rPh>
    <rPh sb="5" eb="8">
      <t>ヒガシマツヤマ</t>
    </rPh>
    <rPh sb="8" eb="9">
      <t>エキ</t>
    </rPh>
    <rPh sb="11" eb="13">
      <t>クマガヤ</t>
    </rPh>
    <rPh sb="13" eb="14">
      <t>エキ</t>
    </rPh>
    <rPh sb="14" eb="15">
      <t>イ</t>
    </rPh>
    <rPh sb="18" eb="20">
      <t>シミン</t>
    </rPh>
    <rPh sb="20" eb="22">
      <t>ビョウイン</t>
    </rPh>
    <rPh sb="22" eb="23">
      <t>マエ</t>
    </rPh>
    <rPh sb="24" eb="26">
      <t>ゲシャ</t>
    </rPh>
    <rPh sb="26" eb="28">
      <t>トホ</t>
    </rPh>
    <rPh sb="29" eb="30">
      <t>フン</t>
    </rPh>
    <phoneticPr fontId="2"/>
  </si>
  <si>
    <t>南1-23-1総合福祉会館内</t>
    <rPh sb="7" eb="11">
      <t>ソウゴウフクシ</t>
    </rPh>
    <rPh sb="11" eb="14">
      <t>カイカンナイ</t>
    </rPh>
    <phoneticPr fontId="2"/>
  </si>
  <si>
    <t>松山荘</t>
    <rPh sb="0" eb="2">
      <t>マツヤマ</t>
    </rPh>
    <rPh sb="2" eb="3">
      <t>ソウ</t>
    </rPh>
    <phoneticPr fontId="2"/>
  </si>
  <si>
    <t>市場1103</t>
    <phoneticPr fontId="2"/>
  </si>
  <si>
    <t>049-295-9732</t>
    <phoneticPr fontId="2"/>
  </si>
  <si>
    <t>049-295-9733</t>
    <phoneticPr fontId="2"/>
  </si>
  <si>
    <t>(特非)みのり</t>
    <rPh sb="1" eb="2">
      <t>トク</t>
    </rPh>
    <rPh sb="2" eb="3">
      <t>ヒ</t>
    </rPh>
    <phoneticPr fontId="2"/>
  </si>
  <si>
    <t>下大崎294-1</t>
    <rPh sb="0" eb="1">
      <t>シモ</t>
    </rPh>
    <rPh sb="1" eb="3">
      <t>オオサキ</t>
    </rPh>
    <phoneticPr fontId="2"/>
  </si>
  <si>
    <t>(特非)さいたま福祉ネット四季の郷</t>
    <rPh sb="1" eb="2">
      <t>トク</t>
    </rPh>
    <rPh sb="2" eb="3">
      <t>ヒ</t>
    </rPh>
    <rPh sb="8" eb="10">
      <t>フクシ</t>
    </rPh>
    <rPh sb="13" eb="15">
      <t>シキ</t>
    </rPh>
    <rPh sb="16" eb="17">
      <t>サト</t>
    </rPh>
    <phoneticPr fontId="2"/>
  </si>
  <si>
    <t>(福)こぶし福祉会</t>
    <rPh sb="1" eb="2">
      <t>フク</t>
    </rPh>
    <rPh sb="6" eb="9">
      <t>フクシカイ</t>
    </rPh>
    <phoneticPr fontId="2"/>
  </si>
  <si>
    <t>リバーサイド</t>
    <phoneticPr fontId="2"/>
  </si>
  <si>
    <t>鵜ノ木28-9</t>
    <rPh sb="0" eb="1">
      <t>ウ</t>
    </rPh>
    <rPh sb="2" eb="3">
      <t>キ</t>
    </rPh>
    <phoneticPr fontId="2"/>
  </si>
  <si>
    <t>04-2900-3301</t>
    <phoneticPr fontId="2"/>
  </si>
  <si>
    <t>04-2900-2960</t>
    <phoneticPr fontId="2"/>
  </si>
  <si>
    <t>○</t>
    <phoneticPr fontId="2"/>
  </si>
  <si>
    <t>西武池袋線入間市駅から狭山市駅西口行バス「黒須団地」下車徒歩10分</t>
    <rPh sb="0" eb="2">
      <t>セイブ</t>
    </rPh>
    <rPh sb="2" eb="4">
      <t>イケブクロ</t>
    </rPh>
    <rPh sb="4" eb="5">
      <t>セン</t>
    </rPh>
    <rPh sb="5" eb="8">
      <t>イルマシ</t>
    </rPh>
    <rPh sb="8" eb="9">
      <t>エキ</t>
    </rPh>
    <rPh sb="11" eb="14">
      <t>サヤマシ</t>
    </rPh>
    <rPh sb="14" eb="15">
      <t>エキ</t>
    </rPh>
    <rPh sb="15" eb="17">
      <t>ニシグチ</t>
    </rPh>
    <rPh sb="17" eb="18">
      <t>イ</t>
    </rPh>
    <rPh sb="21" eb="23">
      <t>クロス</t>
    </rPh>
    <rPh sb="23" eb="25">
      <t>ダンチ</t>
    </rPh>
    <rPh sb="26" eb="28">
      <t>ゲシャ</t>
    </rPh>
    <rPh sb="28" eb="30">
      <t>トホ</t>
    </rPh>
    <rPh sb="32" eb="33">
      <t>フン</t>
    </rPh>
    <phoneticPr fontId="2"/>
  </si>
  <si>
    <t>(公社)やどかりの里</t>
    <rPh sb="1" eb="2">
      <t>コウ</t>
    </rPh>
    <rPh sb="2" eb="3">
      <t>シャ</t>
    </rPh>
    <rPh sb="9" eb="10">
      <t>サト</t>
    </rPh>
    <phoneticPr fontId="2"/>
  </si>
  <si>
    <t>(福)滑川珠美園</t>
    <rPh sb="3" eb="5">
      <t>ナメガワ</t>
    </rPh>
    <rPh sb="5" eb="7">
      <t>タマミ</t>
    </rPh>
    <rPh sb="7" eb="8">
      <t>エン</t>
    </rPh>
    <phoneticPr fontId="2"/>
  </si>
  <si>
    <t>滑川珠美園</t>
    <rPh sb="0" eb="2">
      <t>ナメガワ</t>
    </rPh>
    <rPh sb="2" eb="4">
      <t>タマミ</t>
    </rPh>
    <rPh sb="4" eb="5">
      <t>エン</t>
    </rPh>
    <phoneticPr fontId="2"/>
  </si>
  <si>
    <t>羽尾4910-1</t>
    <rPh sb="0" eb="2">
      <t>ハネオ</t>
    </rPh>
    <phoneticPr fontId="2"/>
  </si>
  <si>
    <t>0493-56-3971</t>
  </si>
  <si>
    <t>0493-56-5967</t>
  </si>
  <si>
    <t>東武東上線森林公園駅下車徒歩25分</t>
    <rPh sb="0" eb="2">
      <t>トウブ</t>
    </rPh>
    <rPh sb="2" eb="4">
      <t>トウジョウ</t>
    </rPh>
    <rPh sb="4" eb="5">
      <t>セン</t>
    </rPh>
    <rPh sb="5" eb="7">
      <t>シンリン</t>
    </rPh>
    <rPh sb="7" eb="9">
      <t>コウエン</t>
    </rPh>
    <rPh sb="9" eb="10">
      <t>エキ</t>
    </rPh>
    <rPh sb="10" eb="12">
      <t>ゲシャ</t>
    </rPh>
    <rPh sb="12" eb="14">
      <t>トホ</t>
    </rPh>
    <rPh sb="16" eb="17">
      <t>フン</t>
    </rPh>
    <phoneticPr fontId="2"/>
  </si>
  <si>
    <t>(福)常磐福祉会</t>
    <rPh sb="3" eb="5">
      <t>トキワ</t>
    </rPh>
    <rPh sb="5" eb="8">
      <t>フクシカイ</t>
    </rPh>
    <phoneticPr fontId="2"/>
  </si>
  <si>
    <t>田甲436</t>
    <rPh sb="0" eb="1">
      <t>タ</t>
    </rPh>
    <phoneticPr fontId="2"/>
  </si>
  <si>
    <t>0493-54-2513</t>
  </si>
  <si>
    <t>0493-54-7028</t>
  </si>
  <si>
    <t>(特非)桑の実</t>
    <rPh sb="1" eb="2">
      <t>トク</t>
    </rPh>
    <rPh sb="2" eb="3">
      <t>ヒ</t>
    </rPh>
    <rPh sb="4" eb="5">
      <t>クワ</t>
    </rPh>
    <rPh sb="6" eb="7">
      <t>ミ</t>
    </rPh>
    <phoneticPr fontId="2"/>
  </si>
  <si>
    <t>桑の実クラブ</t>
    <rPh sb="0" eb="1">
      <t>クワ</t>
    </rPh>
    <rPh sb="2" eb="3">
      <t>ミ</t>
    </rPh>
    <phoneticPr fontId="2"/>
  </si>
  <si>
    <t>用土2931-1</t>
    <rPh sb="0" eb="2">
      <t>ヨウド</t>
    </rPh>
    <phoneticPr fontId="2"/>
  </si>
  <si>
    <t>○</t>
    <phoneticPr fontId="2"/>
  </si>
  <si>
    <t>八高線用土駅下車徒歩１５分</t>
    <rPh sb="0" eb="2">
      <t>ハチコウ</t>
    </rPh>
    <rPh sb="2" eb="3">
      <t>セン</t>
    </rPh>
    <rPh sb="3" eb="5">
      <t>ヨウド</t>
    </rPh>
    <rPh sb="5" eb="6">
      <t>エキ</t>
    </rPh>
    <rPh sb="6" eb="8">
      <t>ゲシャ</t>
    </rPh>
    <rPh sb="8" eb="10">
      <t>トホ</t>
    </rPh>
    <rPh sb="12" eb="13">
      <t>フン</t>
    </rPh>
    <phoneticPr fontId="2"/>
  </si>
  <si>
    <t>(特非)ななさと福祉会</t>
    <rPh sb="0" eb="4">
      <t>トクヒ</t>
    </rPh>
    <rPh sb="8" eb="11">
      <t>フクシカイ</t>
    </rPh>
    <phoneticPr fontId="2"/>
  </si>
  <si>
    <t>事業所ななさと</t>
    <rPh sb="0" eb="3">
      <t>ジギョウショ</t>
    </rPh>
    <phoneticPr fontId="2"/>
  </si>
  <si>
    <t>月輪959-5</t>
    <rPh sb="0" eb="2">
      <t>ツキノワ</t>
    </rPh>
    <phoneticPr fontId="2"/>
  </si>
  <si>
    <t>古里1603</t>
    <rPh sb="0" eb="2">
      <t>フルサト</t>
    </rPh>
    <phoneticPr fontId="2"/>
  </si>
  <si>
    <t>東武東上線武蔵嵐山駅から県立嵐山郷行きバス「ふるさと牧場入口」下車徒歩5分</t>
    <rPh sb="0" eb="2">
      <t>トウブ</t>
    </rPh>
    <rPh sb="2" eb="4">
      <t>トウジョウ</t>
    </rPh>
    <rPh sb="4" eb="5">
      <t>セン</t>
    </rPh>
    <rPh sb="5" eb="7">
      <t>ムサシ</t>
    </rPh>
    <rPh sb="7" eb="9">
      <t>ランザン</t>
    </rPh>
    <rPh sb="9" eb="10">
      <t>エキ</t>
    </rPh>
    <rPh sb="12" eb="14">
      <t>ケンリツ</t>
    </rPh>
    <rPh sb="14" eb="16">
      <t>ランザン</t>
    </rPh>
    <rPh sb="16" eb="17">
      <t>ゴウ</t>
    </rPh>
    <rPh sb="17" eb="18">
      <t>イ</t>
    </rPh>
    <rPh sb="26" eb="28">
      <t>ボクジョウ</t>
    </rPh>
    <rPh sb="28" eb="30">
      <t>イリグチ</t>
    </rPh>
    <rPh sb="31" eb="33">
      <t>ゲシャ</t>
    </rPh>
    <rPh sb="33" eb="35">
      <t>トホ</t>
    </rPh>
    <rPh sb="36" eb="37">
      <t>フン</t>
    </rPh>
    <phoneticPr fontId="2"/>
  </si>
  <si>
    <t>0493-59-8624</t>
    <phoneticPr fontId="2"/>
  </si>
  <si>
    <t>(福)本庄ひまわり福祉会</t>
    <rPh sb="3" eb="5">
      <t>ホンジョウ</t>
    </rPh>
    <rPh sb="9" eb="12">
      <t>フクシカイ</t>
    </rPh>
    <phoneticPr fontId="2"/>
  </si>
  <si>
    <t>ひまわり自立支援センター</t>
    <rPh sb="4" eb="6">
      <t>ジリツ</t>
    </rPh>
    <rPh sb="6" eb="8">
      <t>シエン</t>
    </rPh>
    <phoneticPr fontId="2"/>
  </si>
  <si>
    <t>今井1037-1</t>
    <rPh sb="0" eb="2">
      <t>イマイ</t>
    </rPh>
    <phoneticPr fontId="2"/>
  </si>
  <si>
    <t>0495-25-6600</t>
    <phoneticPr fontId="2"/>
  </si>
  <si>
    <t>0495-25-6601</t>
    <phoneticPr fontId="2"/>
  </si>
  <si>
    <t>高崎線本庄駅下車タクシー15分</t>
    <rPh sb="0" eb="2">
      <t>タカサキ</t>
    </rPh>
    <rPh sb="2" eb="3">
      <t>セン</t>
    </rPh>
    <rPh sb="3" eb="5">
      <t>ホンジョウ</t>
    </rPh>
    <rPh sb="5" eb="6">
      <t>エキ</t>
    </rPh>
    <rPh sb="6" eb="8">
      <t>ゲシャ</t>
    </rPh>
    <rPh sb="14" eb="15">
      <t>フン</t>
    </rPh>
    <phoneticPr fontId="2"/>
  </si>
  <si>
    <t>ひまわり</t>
    <phoneticPr fontId="2"/>
  </si>
  <si>
    <t>牧西1258</t>
    <rPh sb="0" eb="1">
      <t>マキ</t>
    </rPh>
    <rPh sb="1" eb="2">
      <t>ニシ</t>
    </rPh>
    <phoneticPr fontId="2"/>
  </si>
  <si>
    <t>(特非)あかり</t>
    <rPh sb="1" eb="2">
      <t>トク</t>
    </rPh>
    <rPh sb="2" eb="3">
      <t>ヒ</t>
    </rPh>
    <phoneticPr fontId="2"/>
  </si>
  <si>
    <t>0480-48-6257</t>
    <phoneticPr fontId="2"/>
  </si>
  <si>
    <t>川端620-4</t>
    <rPh sb="0" eb="2">
      <t>カワバタ</t>
    </rPh>
    <phoneticPr fontId="2"/>
  </si>
  <si>
    <t>姫宮駅東口下車徒歩6分</t>
    <rPh sb="0" eb="2">
      <t>ヒメミヤ</t>
    </rPh>
    <rPh sb="2" eb="3">
      <t>エキ</t>
    </rPh>
    <rPh sb="3" eb="5">
      <t>ヒガシグチ</t>
    </rPh>
    <rPh sb="5" eb="7">
      <t>ゲシャ</t>
    </rPh>
    <rPh sb="7" eb="9">
      <t>トホ</t>
    </rPh>
    <rPh sb="10" eb="11">
      <t>フン</t>
    </rPh>
    <phoneticPr fontId="2"/>
  </si>
  <si>
    <t>(特非)福祉作業所ひばり園</t>
    <rPh sb="1" eb="2">
      <t>トク</t>
    </rPh>
    <rPh sb="2" eb="3">
      <t>ヒ</t>
    </rPh>
    <rPh sb="4" eb="6">
      <t>フクシ</t>
    </rPh>
    <rPh sb="6" eb="9">
      <t>サギョウジョ</t>
    </rPh>
    <rPh sb="12" eb="13">
      <t>エン</t>
    </rPh>
    <phoneticPr fontId="2"/>
  </si>
  <si>
    <t>福祉作業所ひばり園</t>
    <rPh sb="0" eb="2">
      <t>フクシ</t>
    </rPh>
    <rPh sb="2" eb="5">
      <t>サギョウジョ</t>
    </rPh>
    <rPh sb="8" eb="9">
      <t>エン</t>
    </rPh>
    <phoneticPr fontId="2"/>
  </si>
  <si>
    <t>牛島940-3</t>
    <rPh sb="0" eb="2">
      <t>ウシジマ</t>
    </rPh>
    <phoneticPr fontId="2"/>
  </si>
  <si>
    <t>048-797-8378</t>
    <phoneticPr fontId="2"/>
  </si>
  <si>
    <t>東武野田線藤の牛島駅下車徒歩10分</t>
    <rPh sb="0" eb="2">
      <t>トウブ</t>
    </rPh>
    <rPh sb="2" eb="4">
      <t>ノダ</t>
    </rPh>
    <rPh sb="4" eb="5">
      <t>セン</t>
    </rPh>
    <rPh sb="5" eb="6">
      <t>フジ</t>
    </rPh>
    <rPh sb="7" eb="9">
      <t>ウシジマ</t>
    </rPh>
    <rPh sb="9" eb="10">
      <t>エキ</t>
    </rPh>
    <rPh sb="10" eb="12">
      <t>ゲシャ</t>
    </rPh>
    <rPh sb="12" eb="14">
      <t>トホ</t>
    </rPh>
    <rPh sb="16" eb="17">
      <t>フン</t>
    </rPh>
    <phoneticPr fontId="2"/>
  </si>
  <si>
    <t>(特非)春日部養成会</t>
    <rPh sb="1" eb="2">
      <t>トク</t>
    </rPh>
    <rPh sb="2" eb="3">
      <t>ヒ</t>
    </rPh>
    <rPh sb="4" eb="7">
      <t>カスカベ</t>
    </rPh>
    <rPh sb="7" eb="9">
      <t>ヨウセイ</t>
    </rPh>
    <rPh sb="9" eb="10">
      <t>カイ</t>
    </rPh>
    <phoneticPr fontId="2"/>
  </si>
  <si>
    <t>春日部養成会　あすかホーム</t>
    <rPh sb="0" eb="3">
      <t>カスカベ</t>
    </rPh>
    <rPh sb="3" eb="5">
      <t>ヨウセイ</t>
    </rPh>
    <rPh sb="5" eb="6">
      <t>カイ</t>
    </rPh>
    <phoneticPr fontId="2"/>
  </si>
  <si>
    <t>春日部駅東口から関宿中央行バス「東高校前」下車8分</t>
    <rPh sb="0" eb="3">
      <t>カスカベ</t>
    </rPh>
    <rPh sb="3" eb="4">
      <t>エキ</t>
    </rPh>
    <rPh sb="4" eb="6">
      <t>ヒガシグチ</t>
    </rPh>
    <rPh sb="8" eb="10">
      <t>セキヤド</t>
    </rPh>
    <rPh sb="10" eb="12">
      <t>チュウオウ</t>
    </rPh>
    <rPh sb="12" eb="13">
      <t>イ</t>
    </rPh>
    <rPh sb="16" eb="17">
      <t>ヒガシ</t>
    </rPh>
    <rPh sb="17" eb="19">
      <t>コウコウ</t>
    </rPh>
    <rPh sb="19" eb="20">
      <t>マエ</t>
    </rPh>
    <rPh sb="21" eb="23">
      <t>ゲシャ</t>
    </rPh>
    <rPh sb="24" eb="25">
      <t>フン</t>
    </rPh>
    <phoneticPr fontId="2"/>
  </si>
  <si>
    <t>大宮区天沼町1-136-2</t>
    <rPh sb="0" eb="3">
      <t>オオミヤク</t>
    </rPh>
    <rPh sb="3" eb="6">
      <t>アマヌマチョウ</t>
    </rPh>
    <phoneticPr fontId="2"/>
  </si>
  <si>
    <t>大宮駅中央口から東武バス「天沼中央通り」下車徒歩1分</t>
    <rPh sb="0" eb="2">
      <t>オオミヤ</t>
    </rPh>
    <rPh sb="2" eb="3">
      <t>エキ</t>
    </rPh>
    <rPh sb="3" eb="6">
      <t>チュウオウグチ</t>
    </rPh>
    <rPh sb="8" eb="10">
      <t>トウブ</t>
    </rPh>
    <rPh sb="13" eb="15">
      <t>アマヌマ</t>
    </rPh>
    <rPh sb="15" eb="18">
      <t>チュウオウドオ</t>
    </rPh>
    <rPh sb="20" eb="22">
      <t>ゲシャ</t>
    </rPh>
    <rPh sb="22" eb="24">
      <t>トホ</t>
    </rPh>
    <rPh sb="25" eb="26">
      <t>フン</t>
    </rPh>
    <phoneticPr fontId="3"/>
  </si>
  <si>
    <t>(医)緑光会</t>
    <rPh sb="1" eb="2">
      <t>イ</t>
    </rPh>
    <rPh sb="3" eb="4">
      <t>リョク</t>
    </rPh>
    <rPh sb="4" eb="6">
      <t>コウカイ</t>
    </rPh>
    <phoneticPr fontId="2"/>
  </si>
  <si>
    <t>友人館</t>
    <rPh sb="0" eb="3">
      <t>ユウジンカン</t>
    </rPh>
    <phoneticPr fontId="2"/>
  </si>
  <si>
    <t>大谷4161-1</t>
    <rPh sb="0" eb="2">
      <t>オオヤ</t>
    </rPh>
    <phoneticPr fontId="2"/>
  </si>
  <si>
    <t>0493-39-2584</t>
    <phoneticPr fontId="2"/>
  </si>
  <si>
    <t>0493-39-5274</t>
    <phoneticPr fontId="2"/>
  </si>
  <si>
    <t>東武東上線東松山駅から熊谷駅行バス「東松山病院前」下車徒歩2分</t>
    <rPh sb="0" eb="2">
      <t>トウブ</t>
    </rPh>
    <rPh sb="2" eb="4">
      <t>トウジョウ</t>
    </rPh>
    <rPh sb="4" eb="5">
      <t>セン</t>
    </rPh>
    <rPh sb="5" eb="8">
      <t>ヒガシマツヤマ</t>
    </rPh>
    <rPh sb="8" eb="9">
      <t>エキ</t>
    </rPh>
    <rPh sb="11" eb="13">
      <t>クマガヤ</t>
    </rPh>
    <rPh sb="13" eb="14">
      <t>エキ</t>
    </rPh>
    <rPh sb="14" eb="15">
      <t>イ</t>
    </rPh>
    <rPh sb="18" eb="21">
      <t>ヒガシマツヤマ</t>
    </rPh>
    <rPh sb="21" eb="23">
      <t>ビョウイン</t>
    </rPh>
    <rPh sb="23" eb="24">
      <t>マエ</t>
    </rPh>
    <rPh sb="25" eb="27">
      <t>ゲシャ</t>
    </rPh>
    <rPh sb="27" eb="29">
      <t>トホ</t>
    </rPh>
    <rPh sb="30" eb="31">
      <t>フン</t>
    </rPh>
    <phoneticPr fontId="2"/>
  </si>
  <si>
    <t>(医)アカシア会</t>
    <rPh sb="7" eb="8">
      <t>カイ</t>
    </rPh>
    <phoneticPr fontId="2"/>
  </si>
  <si>
    <t>就労移行支援事業所ラ・ポルタ</t>
    <rPh sb="0" eb="2">
      <t>シュウロウ</t>
    </rPh>
    <rPh sb="2" eb="4">
      <t>イコウ</t>
    </rPh>
    <rPh sb="4" eb="6">
      <t>シエン</t>
    </rPh>
    <rPh sb="6" eb="9">
      <t>ジギョウショ</t>
    </rPh>
    <phoneticPr fontId="3"/>
  </si>
  <si>
    <t>早稲田3-26-11</t>
    <rPh sb="0" eb="3">
      <t>ワセダ</t>
    </rPh>
    <phoneticPr fontId="2"/>
  </si>
  <si>
    <t>武蔵野線三郷駅北口から早稲田循環バス「丹後小学校前」下車徒歩2分</t>
    <rPh sb="0" eb="3">
      <t>ムサシノ</t>
    </rPh>
    <rPh sb="3" eb="4">
      <t>セン</t>
    </rPh>
    <rPh sb="4" eb="6">
      <t>ミサト</t>
    </rPh>
    <rPh sb="6" eb="7">
      <t>エキ</t>
    </rPh>
    <rPh sb="7" eb="9">
      <t>キタグチ</t>
    </rPh>
    <rPh sb="11" eb="14">
      <t>ワセダ</t>
    </rPh>
    <rPh sb="14" eb="16">
      <t>ジュンカン</t>
    </rPh>
    <rPh sb="19" eb="21">
      <t>タンゴ</t>
    </rPh>
    <rPh sb="21" eb="24">
      <t>ショウガッコウ</t>
    </rPh>
    <rPh sb="24" eb="25">
      <t>マエ</t>
    </rPh>
    <rPh sb="26" eb="28">
      <t>ゲシャ</t>
    </rPh>
    <rPh sb="28" eb="30">
      <t>トホ</t>
    </rPh>
    <rPh sb="31" eb="32">
      <t>フン</t>
    </rPh>
    <phoneticPr fontId="2"/>
  </si>
  <si>
    <t>光風寮</t>
    <rPh sb="0" eb="2">
      <t>コウフウ</t>
    </rPh>
    <rPh sb="2" eb="3">
      <t>リョウ</t>
    </rPh>
    <phoneticPr fontId="2"/>
  </si>
  <si>
    <t>市場1061-1</t>
    <phoneticPr fontId="2"/>
  </si>
  <si>
    <t>049-295-2425</t>
    <phoneticPr fontId="2"/>
  </si>
  <si>
    <t>049-295-8425</t>
    <phoneticPr fontId="2"/>
  </si>
  <si>
    <t>○</t>
    <phoneticPr fontId="2"/>
  </si>
  <si>
    <t>報恩施設</t>
    <rPh sb="0" eb="2">
      <t>ホウオン</t>
    </rPh>
    <rPh sb="2" eb="4">
      <t>シセツ</t>
    </rPh>
    <phoneticPr fontId="2"/>
  </si>
  <si>
    <t>市場1076</t>
    <phoneticPr fontId="2"/>
  </si>
  <si>
    <t>049-295-7403</t>
    <phoneticPr fontId="2"/>
  </si>
  <si>
    <t>049-295-7404</t>
    <phoneticPr fontId="2"/>
  </si>
  <si>
    <t>(福)聖徳会</t>
    <rPh sb="3" eb="5">
      <t>セイトク</t>
    </rPh>
    <rPh sb="5" eb="6">
      <t>カイ</t>
    </rPh>
    <phoneticPr fontId="2"/>
  </si>
  <si>
    <t>見沼園</t>
    <rPh sb="0" eb="2">
      <t>ミヌマ</t>
    </rPh>
    <rPh sb="2" eb="3">
      <t>エン</t>
    </rPh>
    <phoneticPr fontId="2"/>
  </si>
  <si>
    <t>荒木1735</t>
    <rPh sb="0" eb="2">
      <t>アラキ</t>
    </rPh>
    <phoneticPr fontId="2"/>
  </si>
  <si>
    <t>048-557-2873</t>
    <phoneticPr fontId="2"/>
  </si>
  <si>
    <t>048-557-2876</t>
    <phoneticPr fontId="2"/>
  </si>
  <si>
    <t>秩父鉄道武州荒木駅下車徒歩15分</t>
    <rPh sb="0" eb="2">
      <t>チチブ</t>
    </rPh>
    <rPh sb="2" eb="4">
      <t>テツドウ</t>
    </rPh>
    <rPh sb="4" eb="6">
      <t>ブシュウ</t>
    </rPh>
    <rPh sb="6" eb="8">
      <t>アラキ</t>
    </rPh>
    <rPh sb="8" eb="9">
      <t>エキ</t>
    </rPh>
    <rPh sb="9" eb="11">
      <t>ゲシャ</t>
    </rPh>
    <rPh sb="11" eb="13">
      <t>トホ</t>
    </rPh>
    <rPh sb="15" eb="16">
      <t>プン</t>
    </rPh>
    <phoneticPr fontId="2"/>
  </si>
  <si>
    <t>やどかり情報館</t>
    <rPh sb="4" eb="7">
      <t>ジョウホウカン</t>
    </rPh>
    <phoneticPr fontId="3"/>
  </si>
  <si>
    <t>見沼区染谷1177-4</t>
    <rPh sb="0" eb="2">
      <t>ミヌマ</t>
    </rPh>
    <rPh sb="2" eb="3">
      <t>ク</t>
    </rPh>
    <rPh sb="3" eb="5">
      <t>ソメヤ</t>
    </rPh>
    <phoneticPr fontId="2"/>
  </si>
  <si>
    <t>048-680-1891</t>
    <phoneticPr fontId="2"/>
  </si>
  <si>
    <t>048-680-1894</t>
    <phoneticPr fontId="2"/>
  </si>
  <si>
    <t>大宮駅から国際興業バス「向大谷」下車徒歩10分</t>
    <rPh sb="0" eb="2">
      <t>オオミヤ</t>
    </rPh>
    <rPh sb="2" eb="3">
      <t>エキ</t>
    </rPh>
    <rPh sb="5" eb="7">
      <t>コクサイ</t>
    </rPh>
    <rPh sb="7" eb="9">
      <t>コウギョウ</t>
    </rPh>
    <rPh sb="12" eb="13">
      <t>ム</t>
    </rPh>
    <rPh sb="13" eb="15">
      <t>オオタニ</t>
    </rPh>
    <rPh sb="16" eb="18">
      <t>ゲシャ</t>
    </rPh>
    <rPh sb="18" eb="20">
      <t>トホ</t>
    </rPh>
    <rPh sb="22" eb="23">
      <t>フン</t>
    </rPh>
    <phoneticPr fontId="3"/>
  </si>
  <si>
    <t>337-0026</t>
    <phoneticPr fontId="2"/>
  </si>
  <si>
    <t>川越市職業センター</t>
    <rPh sb="0" eb="3">
      <t>カワゴエシ</t>
    </rPh>
    <rPh sb="3" eb="5">
      <t>ショクギョウ</t>
    </rPh>
    <phoneticPr fontId="2"/>
  </si>
  <si>
    <t>笠幡4033-2</t>
    <rPh sb="0" eb="2">
      <t>カサハタ</t>
    </rPh>
    <phoneticPr fontId="2"/>
  </si>
  <si>
    <t>350-1175</t>
    <phoneticPr fontId="2"/>
  </si>
  <si>
    <t>049-232-9911</t>
    <phoneticPr fontId="2"/>
  </si>
  <si>
    <t>049-232-9912</t>
    <phoneticPr fontId="2"/>
  </si>
  <si>
    <t>○</t>
    <phoneticPr fontId="2"/>
  </si>
  <si>
    <t>笠幡駅下車徒歩7分</t>
    <rPh sb="0" eb="2">
      <t>カサハタ</t>
    </rPh>
    <rPh sb="2" eb="3">
      <t>エキ</t>
    </rPh>
    <rPh sb="3" eb="5">
      <t>ゲシャ</t>
    </rPh>
    <rPh sb="5" eb="7">
      <t>トホ</t>
    </rPh>
    <rPh sb="8" eb="9">
      <t>フン</t>
    </rPh>
    <phoneticPr fontId="2"/>
  </si>
  <si>
    <t>川越市みよしの支援センター</t>
    <rPh sb="0" eb="3">
      <t>カワゴエシ</t>
    </rPh>
    <rPh sb="7" eb="9">
      <t>シエン</t>
    </rPh>
    <phoneticPr fontId="2"/>
  </si>
  <si>
    <t>宮下町1-19-13</t>
    <rPh sb="0" eb="3">
      <t>ミヤシタマチ</t>
    </rPh>
    <phoneticPr fontId="2"/>
  </si>
  <si>
    <t>350-0052</t>
    <phoneticPr fontId="2"/>
  </si>
  <si>
    <t>049-225-2519</t>
    <phoneticPr fontId="2"/>
  </si>
  <si>
    <t>049-229-2811</t>
    <phoneticPr fontId="2"/>
  </si>
  <si>
    <t>川越駅から埼玉医大・上尾駅行きバス「宮下町」下車徒歩3分</t>
    <rPh sb="0" eb="2">
      <t>カワゴエ</t>
    </rPh>
    <rPh sb="2" eb="3">
      <t>エキ</t>
    </rPh>
    <rPh sb="5" eb="7">
      <t>サイタマ</t>
    </rPh>
    <rPh sb="7" eb="9">
      <t>イダイ</t>
    </rPh>
    <rPh sb="10" eb="12">
      <t>アゲオ</t>
    </rPh>
    <rPh sb="12" eb="13">
      <t>エキ</t>
    </rPh>
    <rPh sb="13" eb="14">
      <t>イ</t>
    </rPh>
    <rPh sb="18" eb="21">
      <t>ミヤシタマチ</t>
    </rPh>
    <rPh sb="22" eb="24">
      <t>ゲシャ</t>
    </rPh>
    <rPh sb="24" eb="26">
      <t>トホ</t>
    </rPh>
    <rPh sb="27" eb="28">
      <t>フン</t>
    </rPh>
    <phoneticPr fontId="2"/>
  </si>
  <si>
    <t>ほっぷ</t>
    <phoneticPr fontId="2"/>
  </si>
  <si>
    <t>049-247-0036</t>
    <phoneticPr fontId="2"/>
  </si>
  <si>
    <t>○</t>
    <phoneticPr fontId="2"/>
  </si>
  <si>
    <t>川越線西川越駅下車徒歩15分</t>
    <rPh sb="0" eb="2">
      <t>カワゴエ</t>
    </rPh>
    <rPh sb="2" eb="3">
      <t>セン</t>
    </rPh>
    <rPh sb="3" eb="6">
      <t>ニシカワゴエ</t>
    </rPh>
    <rPh sb="6" eb="7">
      <t>エキ</t>
    </rPh>
    <rPh sb="7" eb="9">
      <t>ゲシャ</t>
    </rPh>
    <rPh sb="9" eb="11">
      <t>トホ</t>
    </rPh>
    <rPh sb="13" eb="14">
      <t>フン</t>
    </rPh>
    <phoneticPr fontId="2"/>
  </si>
  <si>
    <t>宇都宮線白岡駅下車徒歩30分</t>
    <rPh sb="0" eb="3">
      <t>ウツノミヤ</t>
    </rPh>
    <rPh sb="3" eb="4">
      <t>セン</t>
    </rPh>
    <rPh sb="4" eb="6">
      <t>シラオカ</t>
    </rPh>
    <rPh sb="6" eb="7">
      <t>エキ</t>
    </rPh>
    <rPh sb="7" eb="9">
      <t>ゲシャ</t>
    </rPh>
    <rPh sb="9" eb="11">
      <t>トホ</t>
    </rPh>
    <rPh sb="13" eb="14">
      <t>フン</t>
    </rPh>
    <phoneticPr fontId="2"/>
  </si>
  <si>
    <t>○</t>
    <phoneticPr fontId="2"/>
  </si>
  <si>
    <t>0480-92-7686</t>
    <phoneticPr fontId="2"/>
  </si>
  <si>
    <t>西2-18-6</t>
    <rPh sb="0" eb="1">
      <t>ニシ</t>
    </rPh>
    <phoneticPr fontId="2"/>
  </si>
  <si>
    <t>白岡太陽の家にじ</t>
    <rPh sb="0" eb="2">
      <t>シラオカ</t>
    </rPh>
    <rPh sb="2" eb="4">
      <t>タイヨウ</t>
    </rPh>
    <rPh sb="5" eb="6">
      <t>イエ</t>
    </rPh>
    <phoneticPr fontId="2"/>
  </si>
  <si>
    <t>(福)みぬま福祉会</t>
    <rPh sb="1" eb="2">
      <t>フク</t>
    </rPh>
    <rPh sb="6" eb="9">
      <t>フクシカイ</t>
    </rPh>
    <phoneticPr fontId="2"/>
  </si>
  <si>
    <t>東武伊勢崎線武里駅西口下車徒歩15分</t>
    <rPh sb="0" eb="2">
      <t>トウブ</t>
    </rPh>
    <rPh sb="2" eb="5">
      <t>イセザキ</t>
    </rPh>
    <rPh sb="5" eb="6">
      <t>セン</t>
    </rPh>
    <rPh sb="6" eb="8">
      <t>タケサト</t>
    </rPh>
    <rPh sb="8" eb="9">
      <t>エキ</t>
    </rPh>
    <rPh sb="9" eb="11">
      <t>ニシグチ</t>
    </rPh>
    <rPh sb="11" eb="13">
      <t>ゲシャ</t>
    </rPh>
    <rPh sb="13" eb="15">
      <t>トホ</t>
    </rPh>
    <rPh sb="17" eb="18">
      <t>フン</t>
    </rPh>
    <phoneticPr fontId="2"/>
  </si>
  <si>
    <t>○</t>
    <phoneticPr fontId="2"/>
  </si>
  <si>
    <t>048-733-3606</t>
    <phoneticPr fontId="2"/>
  </si>
  <si>
    <t>大場687</t>
    <rPh sb="0" eb="2">
      <t>オオバ</t>
    </rPh>
    <phoneticPr fontId="2"/>
  </si>
  <si>
    <t>わかば春日部</t>
    <rPh sb="3" eb="6">
      <t>カスカベ</t>
    </rPh>
    <phoneticPr fontId="2"/>
  </si>
  <si>
    <t>(特非)わかば春日部</t>
    <rPh sb="1" eb="2">
      <t>トク</t>
    </rPh>
    <rPh sb="2" eb="3">
      <t>ヒ</t>
    </rPh>
    <rPh sb="7" eb="10">
      <t>カスカベ</t>
    </rPh>
    <phoneticPr fontId="2"/>
  </si>
  <si>
    <t>東武伊勢崎線せんげん台駅西口から獨協高校行バス終点下車徒歩5分</t>
    <rPh sb="0" eb="2">
      <t>トウブ</t>
    </rPh>
    <rPh sb="2" eb="5">
      <t>イセザキ</t>
    </rPh>
    <rPh sb="5" eb="6">
      <t>セン</t>
    </rPh>
    <rPh sb="10" eb="11">
      <t>ダイ</t>
    </rPh>
    <rPh sb="11" eb="12">
      <t>エキ</t>
    </rPh>
    <rPh sb="12" eb="14">
      <t>ニシグチ</t>
    </rPh>
    <rPh sb="16" eb="18">
      <t>ドッキョウ</t>
    </rPh>
    <rPh sb="18" eb="20">
      <t>コウコウ</t>
    </rPh>
    <rPh sb="20" eb="21">
      <t>イ</t>
    </rPh>
    <rPh sb="23" eb="25">
      <t>シュウテン</t>
    </rPh>
    <rPh sb="25" eb="27">
      <t>ゲシャ</t>
    </rPh>
    <rPh sb="27" eb="29">
      <t>トホ</t>
    </rPh>
    <rPh sb="30" eb="31">
      <t>フン</t>
    </rPh>
    <phoneticPr fontId="2"/>
  </si>
  <si>
    <t>048-975-8533</t>
    <phoneticPr fontId="2"/>
  </si>
  <si>
    <t>048-975-8511</t>
    <phoneticPr fontId="2"/>
  </si>
  <si>
    <t>恩間新田249</t>
    <rPh sb="0" eb="2">
      <t>オンマ</t>
    </rPh>
    <rPh sb="2" eb="4">
      <t>シンデン</t>
    </rPh>
    <phoneticPr fontId="2"/>
  </si>
  <si>
    <t>くらしセンターべしみ</t>
    <phoneticPr fontId="2"/>
  </si>
  <si>
    <t>(福)つぐみ共生会</t>
    <rPh sb="1" eb="2">
      <t>フク</t>
    </rPh>
    <rPh sb="6" eb="9">
      <t>キョウセイカイ</t>
    </rPh>
    <phoneticPr fontId="2"/>
  </si>
  <si>
    <t>048-952-7846</t>
    <phoneticPr fontId="2"/>
  </si>
  <si>
    <t>048-952-7806</t>
    <phoneticPr fontId="2"/>
  </si>
  <si>
    <t>新和4-562-3</t>
    <rPh sb="0" eb="2">
      <t>シンワ</t>
    </rPh>
    <phoneticPr fontId="2"/>
  </si>
  <si>
    <t>障害者の生活・作業施設　ひまわりの家</t>
    <rPh sb="0" eb="3">
      <t>ショウガイシャ</t>
    </rPh>
    <rPh sb="4" eb="6">
      <t>セイカツ</t>
    </rPh>
    <rPh sb="7" eb="9">
      <t>サギョウ</t>
    </rPh>
    <rPh sb="9" eb="11">
      <t>シセツ</t>
    </rPh>
    <rPh sb="17" eb="18">
      <t>イエ</t>
    </rPh>
    <phoneticPr fontId="2"/>
  </si>
  <si>
    <t>(特非)ひまわりの家</t>
    <rPh sb="1" eb="2">
      <t>トク</t>
    </rPh>
    <rPh sb="2" eb="3">
      <t>ヒ</t>
    </rPh>
    <rPh sb="9" eb="10">
      <t>イエ</t>
    </rPh>
    <phoneticPr fontId="2"/>
  </si>
  <si>
    <t>高崎線岡部駅下車タクシー5分</t>
    <rPh sb="0" eb="2">
      <t>タカサキ</t>
    </rPh>
    <rPh sb="2" eb="3">
      <t>セン</t>
    </rPh>
    <rPh sb="3" eb="5">
      <t>オカベ</t>
    </rPh>
    <rPh sb="5" eb="6">
      <t>エキ</t>
    </rPh>
    <rPh sb="6" eb="8">
      <t>ゲシャ</t>
    </rPh>
    <rPh sb="13" eb="14">
      <t>フン</t>
    </rPh>
    <phoneticPr fontId="2"/>
  </si>
  <si>
    <t>048-585-0939</t>
    <phoneticPr fontId="2"/>
  </si>
  <si>
    <t>048-585-0935</t>
    <phoneticPr fontId="2"/>
  </si>
  <si>
    <t>榛沢新田6-1</t>
    <rPh sb="0" eb="2">
      <t>ハンザワ</t>
    </rPh>
    <rPh sb="2" eb="4">
      <t>シンデン</t>
    </rPh>
    <phoneticPr fontId="2"/>
  </si>
  <si>
    <t>ねぎぼうず作業所</t>
    <rPh sb="5" eb="8">
      <t>サギョウショ</t>
    </rPh>
    <phoneticPr fontId="2"/>
  </si>
  <si>
    <t>宇都宮線蓮田駅東口から独立行政法人国立病院機構東埼玉病院（橋場経由）バス「橋場」下車徒歩2分</t>
    <rPh sb="0" eb="3">
      <t>ウツノミヤ</t>
    </rPh>
    <rPh sb="3" eb="4">
      <t>セン</t>
    </rPh>
    <rPh sb="4" eb="6">
      <t>ハスダ</t>
    </rPh>
    <rPh sb="6" eb="7">
      <t>エキ</t>
    </rPh>
    <rPh sb="7" eb="9">
      <t>ヒガシグチ</t>
    </rPh>
    <rPh sb="11" eb="13">
      <t>ドクリツ</t>
    </rPh>
    <rPh sb="13" eb="15">
      <t>ギョウセイ</t>
    </rPh>
    <rPh sb="15" eb="17">
      <t>ホウジン</t>
    </rPh>
    <rPh sb="17" eb="19">
      <t>コクリツ</t>
    </rPh>
    <rPh sb="19" eb="21">
      <t>ビョウイン</t>
    </rPh>
    <rPh sb="21" eb="23">
      <t>キコウ</t>
    </rPh>
    <rPh sb="23" eb="24">
      <t>ヒガシ</t>
    </rPh>
    <rPh sb="24" eb="26">
      <t>サイタマ</t>
    </rPh>
    <rPh sb="26" eb="28">
      <t>ビョウイン</t>
    </rPh>
    <rPh sb="29" eb="31">
      <t>ハシバ</t>
    </rPh>
    <rPh sb="31" eb="33">
      <t>ケイユ</t>
    </rPh>
    <rPh sb="37" eb="39">
      <t>ハシバ</t>
    </rPh>
    <rPh sb="40" eb="42">
      <t>ゲシャ</t>
    </rPh>
    <rPh sb="42" eb="44">
      <t>トホ</t>
    </rPh>
    <rPh sb="45" eb="46">
      <t>フン</t>
    </rPh>
    <phoneticPr fontId="2"/>
  </si>
  <si>
    <t>蓮田はすの実作業所</t>
    <rPh sb="0" eb="2">
      <t>ハスダ</t>
    </rPh>
    <rPh sb="5" eb="9">
      <t>ミサギョウショ</t>
    </rPh>
    <phoneticPr fontId="2"/>
  </si>
  <si>
    <t>(福)つどい福祉会</t>
    <rPh sb="1" eb="2">
      <t>フク</t>
    </rPh>
    <rPh sb="6" eb="9">
      <t>フクシカイ</t>
    </rPh>
    <phoneticPr fontId="2"/>
  </si>
  <si>
    <t>つどい</t>
    <phoneticPr fontId="2"/>
  </si>
  <si>
    <t>熊野堂125-2</t>
    <rPh sb="0" eb="2">
      <t>クマノ</t>
    </rPh>
    <rPh sb="2" eb="3">
      <t>ドウ</t>
    </rPh>
    <phoneticPr fontId="2"/>
  </si>
  <si>
    <t>0495-77-0433</t>
    <phoneticPr fontId="2"/>
  </si>
  <si>
    <t>0495-77-0559</t>
    <phoneticPr fontId="2"/>
  </si>
  <si>
    <t>八高線丹荘駅下車タクシー10分</t>
    <rPh sb="0" eb="2">
      <t>ハチコウ</t>
    </rPh>
    <rPh sb="2" eb="3">
      <t>セン</t>
    </rPh>
    <rPh sb="3" eb="5">
      <t>タンショウ</t>
    </rPh>
    <rPh sb="5" eb="6">
      <t>エキ</t>
    </rPh>
    <rPh sb="6" eb="8">
      <t>ゲシャ</t>
    </rPh>
    <rPh sb="14" eb="15">
      <t>フン</t>
    </rPh>
    <phoneticPr fontId="2"/>
  </si>
  <si>
    <t>サイディアーナ</t>
    <phoneticPr fontId="2"/>
  </si>
  <si>
    <t>児玉郡上里町</t>
    <rPh sb="0" eb="3">
      <t>コダマグン</t>
    </rPh>
    <rPh sb="3" eb="6">
      <t>カミサトマチ</t>
    </rPh>
    <phoneticPr fontId="2"/>
  </si>
  <si>
    <t>0495-34-1119</t>
    <phoneticPr fontId="2"/>
  </si>
  <si>
    <t>高崎線神保原駅下車タクシー10分</t>
    <rPh sb="0" eb="2">
      <t>タカサキ</t>
    </rPh>
    <rPh sb="2" eb="3">
      <t>セン</t>
    </rPh>
    <rPh sb="3" eb="6">
      <t>ジンボハラ</t>
    </rPh>
    <rPh sb="6" eb="7">
      <t>エキ</t>
    </rPh>
    <rPh sb="7" eb="9">
      <t>ゲシャ</t>
    </rPh>
    <rPh sb="15" eb="16">
      <t>フン</t>
    </rPh>
    <phoneticPr fontId="2"/>
  </si>
  <si>
    <t>(特非)越谷市手をつなぐ育成会・友</t>
    <rPh sb="4" eb="7">
      <t>コシガヤシ</t>
    </rPh>
    <rPh sb="7" eb="8">
      <t>テ</t>
    </rPh>
    <rPh sb="12" eb="15">
      <t>イクセイカイ</t>
    </rPh>
    <rPh sb="16" eb="17">
      <t>トモ</t>
    </rPh>
    <phoneticPr fontId="2"/>
  </si>
  <si>
    <t>千草園</t>
    <rPh sb="0" eb="3">
      <t>チグサエン</t>
    </rPh>
    <phoneticPr fontId="2"/>
  </si>
  <si>
    <t>花田4-8-16</t>
    <rPh sb="0" eb="2">
      <t>ハナダ</t>
    </rPh>
    <phoneticPr fontId="2"/>
  </si>
  <si>
    <t>東武伊勢崎線越谷駅西口より朝日バス花田循環「花田第４公園入口」下車徒歩1分</t>
    <rPh sb="0" eb="2">
      <t>トウブ</t>
    </rPh>
    <rPh sb="2" eb="5">
      <t>イセサキ</t>
    </rPh>
    <rPh sb="5" eb="6">
      <t>セン</t>
    </rPh>
    <rPh sb="6" eb="8">
      <t>コシガヤ</t>
    </rPh>
    <rPh sb="8" eb="9">
      <t>エキ</t>
    </rPh>
    <rPh sb="9" eb="11">
      <t>ニシグチ</t>
    </rPh>
    <rPh sb="13" eb="15">
      <t>アサヒ</t>
    </rPh>
    <rPh sb="17" eb="19">
      <t>ハナダ</t>
    </rPh>
    <rPh sb="19" eb="21">
      <t>ジュンカン</t>
    </rPh>
    <rPh sb="22" eb="24">
      <t>ハナダ</t>
    </rPh>
    <rPh sb="24" eb="25">
      <t>ダイ</t>
    </rPh>
    <rPh sb="26" eb="28">
      <t>コウエン</t>
    </rPh>
    <rPh sb="28" eb="30">
      <t>イリグチ</t>
    </rPh>
    <rPh sb="31" eb="33">
      <t>ゲシャ</t>
    </rPh>
    <rPh sb="33" eb="35">
      <t>トホ</t>
    </rPh>
    <rPh sb="36" eb="37">
      <t>フン</t>
    </rPh>
    <phoneticPr fontId="2"/>
  </si>
  <si>
    <t>野の花</t>
    <rPh sb="0" eb="1">
      <t>ノ</t>
    </rPh>
    <rPh sb="2" eb="3">
      <t>ハナ</t>
    </rPh>
    <phoneticPr fontId="2"/>
  </si>
  <si>
    <t>大成町1-119-1</t>
    <rPh sb="0" eb="3">
      <t>オオナリチョウ</t>
    </rPh>
    <phoneticPr fontId="2"/>
  </si>
  <si>
    <t>048-988-6549</t>
    <phoneticPr fontId="2"/>
  </si>
  <si>
    <t>東武伊勢崎線越谷駅東口より吉川駅行バス「大相模保育所前」下車徒歩5分</t>
    <rPh sb="0" eb="2">
      <t>トウブ</t>
    </rPh>
    <rPh sb="2" eb="5">
      <t>イセサキ</t>
    </rPh>
    <rPh sb="5" eb="6">
      <t>セン</t>
    </rPh>
    <rPh sb="6" eb="8">
      <t>コシガヤ</t>
    </rPh>
    <rPh sb="8" eb="9">
      <t>エキ</t>
    </rPh>
    <rPh sb="9" eb="11">
      <t>ヒガシグチ</t>
    </rPh>
    <rPh sb="13" eb="15">
      <t>ヨシカワ</t>
    </rPh>
    <rPh sb="15" eb="16">
      <t>エキ</t>
    </rPh>
    <rPh sb="16" eb="17">
      <t>イ</t>
    </rPh>
    <rPh sb="20" eb="21">
      <t>オオ</t>
    </rPh>
    <rPh sb="21" eb="23">
      <t>サガミ</t>
    </rPh>
    <rPh sb="23" eb="26">
      <t>ホイクショ</t>
    </rPh>
    <rPh sb="26" eb="27">
      <t>マエ</t>
    </rPh>
    <rPh sb="28" eb="30">
      <t>ゲシャ</t>
    </rPh>
    <rPh sb="30" eb="32">
      <t>トホ</t>
    </rPh>
    <rPh sb="33" eb="34">
      <t>フン</t>
    </rPh>
    <phoneticPr fontId="2"/>
  </si>
  <si>
    <t>(社)埼玉県筋ジストロフィー協会</t>
    <rPh sb="1" eb="2">
      <t>シャ</t>
    </rPh>
    <rPh sb="3" eb="6">
      <t>サイタマケン</t>
    </rPh>
    <rPh sb="6" eb="7">
      <t>キン</t>
    </rPh>
    <rPh sb="14" eb="16">
      <t>キョウカイ</t>
    </rPh>
    <phoneticPr fontId="2"/>
  </si>
  <si>
    <t>黒浜訓練センター</t>
    <rPh sb="0" eb="2">
      <t>クロハマ</t>
    </rPh>
    <rPh sb="2" eb="4">
      <t>クンレン</t>
    </rPh>
    <phoneticPr fontId="2"/>
  </si>
  <si>
    <t>048-768-8327</t>
    <phoneticPr fontId="2"/>
  </si>
  <si>
    <t>○</t>
    <phoneticPr fontId="2"/>
  </si>
  <si>
    <t>宇都宮線蓮田駅東口から国立東埼玉病院行バス「国立東埼玉病院」下車徒歩1分</t>
    <rPh sb="0" eb="3">
      <t>ウツノミヤ</t>
    </rPh>
    <rPh sb="3" eb="4">
      <t>セン</t>
    </rPh>
    <rPh sb="4" eb="6">
      <t>ハスダ</t>
    </rPh>
    <rPh sb="6" eb="7">
      <t>エキ</t>
    </rPh>
    <rPh sb="7" eb="9">
      <t>ヒガシグチ</t>
    </rPh>
    <rPh sb="11" eb="13">
      <t>コクリツ</t>
    </rPh>
    <rPh sb="13" eb="14">
      <t>ヒガシ</t>
    </rPh>
    <rPh sb="14" eb="16">
      <t>サイタマ</t>
    </rPh>
    <rPh sb="16" eb="18">
      <t>ビョウイン</t>
    </rPh>
    <rPh sb="18" eb="19">
      <t>イ</t>
    </rPh>
    <rPh sb="22" eb="24">
      <t>コクリツ</t>
    </rPh>
    <rPh sb="24" eb="25">
      <t>ヒガシ</t>
    </rPh>
    <rPh sb="25" eb="27">
      <t>サイタマ</t>
    </rPh>
    <rPh sb="27" eb="29">
      <t>ビョウイン</t>
    </rPh>
    <rPh sb="30" eb="32">
      <t>ゲシャ</t>
    </rPh>
    <rPh sb="32" eb="34">
      <t>トホ</t>
    </rPh>
    <rPh sb="35" eb="36">
      <t>フン</t>
    </rPh>
    <phoneticPr fontId="2"/>
  </si>
  <si>
    <t>秩父鉄道ひろせ野鳥の森駅下車徒歩5分</t>
    <rPh sb="0" eb="2">
      <t>チチブ</t>
    </rPh>
    <rPh sb="2" eb="4">
      <t>テツドウ</t>
    </rPh>
    <rPh sb="7" eb="9">
      <t>ヤチョウ</t>
    </rPh>
    <rPh sb="10" eb="11">
      <t>モリ</t>
    </rPh>
    <rPh sb="11" eb="12">
      <t>エキ</t>
    </rPh>
    <rPh sb="12" eb="14">
      <t>ゲシャ</t>
    </rPh>
    <rPh sb="14" eb="16">
      <t>トホ</t>
    </rPh>
    <rPh sb="17" eb="18">
      <t>フン</t>
    </rPh>
    <phoneticPr fontId="2"/>
  </si>
  <si>
    <t>たけのこ</t>
    <phoneticPr fontId="2"/>
  </si>
  <si>
    <t>0493-56-4727</t>
    <phoneticPr fontId="2"/>
  </si>
  <si>
    <t>(特非)上尾市身体障害者福祉会</t>
    <rPh sb="0" eb="4">
      <t>トクヒ</t>
    </rPh>
    <rPh sb="4" eb="7">
      <t>アゲオシ</t>
    </rPh>
    <rPh sb="7" eb="9">
      <t>シンタイ</t>
    </rPh>
    <rPh sb="9" eb="12">
      <t>ショウガイシャ</t>
    </rPh>
    <rPh sb="12" eb="15">
      <t>フクシカイ</t>
    </rPh>
    <phoneticPr fontId="2"/>
  </si>
  <si>
    <t>多夢向</t>
    <rPh sb="0" eb="1">
      <t>オオ</t>
    </rPh>
    <rPh sb="1" eb="2">
      <t>ユメ</t>
    </rPh>
    <rPh sb="2" eb="3">
      <t>ム</t>
    </rPh>
    <phoneticPr fontId="2"/>
  </si>
  <si>
    <t>向山3-51-14</t>
    <rPh sb="0" eb="2">
      <t>ムカイヤマ</t>
    </rPh>
    <phoneticPr fontId="2"/>
  </si>
  <si>
    <t>○</t>
    <phoneticPr fontId="2"/>
  </si>
  <si>
    <t>048-780-7881</t>
    <phoneticPr fontId="2"/>
  </si>
  <si>
    <t>048-780-7882</t>
    <phoneticPr fontId="2"/>
  </si>
  <si>
    <t>高崎線上尾駅から西上尾第１団地、西上尾第２団地行きバス「市民体育館入口」下車徒歩2分</t>
    <rPh sb="0" eb="2">
      <t>タカサキ</t>
    </rPh>
    <rPh sb="2" eb="3">
      <t>セン</t>
    </rPh>
    <rPh sb="3" eb="5">
      <t>アゲオ</t>
    </rPh>
    <rPh sb="5" eb="6">
      <t>エキ</t>
    </rPh>
    <rPh sb="8" eb="9">
      <t>ニシ</t>
    </rPh>
    <rPh sb="9" eb="11">
      <t>アゲオ</t>
    </rPh>
    <rPh sb="11" eb="12">
      <t>ダイ</t>
    </rPh>
    <rPh sb="13" eb="15">
      <t>ダンチ</t>
    </rPh>
    <rPh sb="16" eb="17">
      <t>ニシ</t>
    </rPh>
    <rPh sb="17" eb="19">
      <t>アゲオ</t>
    </rPh>
    <rPh sb="19" eb="20">
      <t>ダイ</t>
    </rPh>
    <rPh sb="21" eb="23">
      <t>ダンチ</t>
    </rPh>
    <rPh sb="23" eb="24">
      <t>イ</t>
    </rPh>
    <rPh sb="28" eb="30">
      <t>シミン</t>
    </rPh>
    <rPh sb="30" eb="33">
      <t>タイイクカン</t>
    </rPh>
    <rPh sb="33" eb="34">
      <t>イ</t>
    </rPh>
    <rPh sb="34" eb="35">
      <t>グチ</t>
    </rPh>
    <rPh sb="36" eb="38">
      <t>ゲシャ</t>
    </rPh>
    <rPh sb="38" eb="40">
      <t>トホ</t>
    </rPh>
    <rPh sb="41" eb="42">
      <t>フン</t>
    </rPh>
    <phoneticPr fontId="2"/>
  </si>
  <si>
    <t>362-0045</t>
    <phoneticPr fontId="2"/>
  </si>
  <si>
    <t>(福)光陽会</t>
    <rPh sb="0" eb="3">
      <t>フク</t>
    </rPh>
    <rPh sb="3" eb="6">
      <t>コウヨウカイ</t>
    </rPh>
    <phoneticPr fontId="2"/>
  </si>
  <si>
    <t>希望の家</t>
    <rPh sb="0" eb="2">
      <t>キボウ</t>
    </rPh>
    <rPh sb="3" eb="4">
      <t>イエ</t>
    </rPh>
    <phoneticPr fontId="2"/>
  </si>
  <si>
    <t>青柳8-2-34</t>
    <rPh sb="0" eb="2">
      <t>アオヤギ</t>
    </rPh>
    <phoneticPr fontId="2"/>
  </si>
  <si>
    <t>340-0002</t>
    <phoneticPr fontId="2"/>
  </si>
  <si>
    <t>048-935-5174</t>
    <phoneticPr fontId="2"/>
  </si>
  <si>
    <t>○</t>
    <phoneticPr fontId="2"/>
  </si>
  <si>
    <t>東武伊勢崎線新田駅から柿木公民館、松原団地駅東口行きバス「青上橋」下車徒歩3分</t>
    <rPh sb="0" eb="2">
      <t>トウブ</t>
    </rPh>
    <rPh sb="2" eb="5">
      <t>イセサキ</t>
    </rPh>
    <rPh sb="5" eb="6">
      <t>セン</t>
    </rPh>
    <rPh sb="6" eb="8">
      <t>シンデン</t>
    </rPh>
    <rPh sb="8" eb="9">
      <t>エキ</t>
    </rPh>
    <rPh sb="11" eb="13">
      <t>カキノキ</t>
    </rPh>
    <rPh sb="13" eb="16">
      <t>コウミンカン</t>
    </rPh>
    <rPh sb="17" eb="19">
      <t>マツバラ</t>
    </rPh>
    <rPh sb="19" eb="21">
      <t>ダンチ</t>
    </rPh>
    <rPh sb="21" eb="22">
      <t>エキ</t>
    </rPh>
    <rPh sb="22" eb="24">
      <t>ヒガシグチ</t>
    </rPh>
    <rPh sb="24" eb="25">
      <t>イ</t>
    </rPh>
    <rPh sb="29" eb="30">
      <t>アオ</t>
    </rPh>
    <rPh sb="30" eb="32">
      <t>ウエハシ</t>
    </rPh>
    <rPh sb="33" eb="35">
      <t>ゲシャ</t>
    </rPh>
    <rPh sb="35" eb="37">
      <t>トホ</t>
    </rPh>
    <rPh sb="38" eb="39">
      <t>フン</t>
    </rPh>
    <phoneticPr fontId="2"/>
  </si>
  <si>
    <t>れんげそう作業所</t>
    <rPh sb="5" eb="8">
      <t>サギョウショ</t>
    </rPh>
    <phoneticPr fontId="2"/>
  </si>
  <si>
    <t>倉松826-3</t>
    <rPh sb="0" eb="1">
      <t>クラ</t>
    </rPh>
    <rPh sb="1" eb="2">
      <t>マツ</t>
    </rPh>
    <phoneticPr fontId="2"/>
  </si>
  <si>
    <t>0480-34-9451</t>
    <phoneticPr fontId="2"/>
  </si>
  <si>
    <t>0480-34-9575</t>
    <phoneticPr fontId="2"/>
  </si>
  <si>
    <t>東武動物公園駅東口から関宿中央ターミナル行バス「杉戸第二小学校入口」下車徒歩7分</t>
    <rPh sb="0" eb="7">
      <t>トウブドウブツコウエンエキ</t>
    </rPh>
    <rPh sb="7" eb="9">
      <t>ヒガシグチ</t>
    </rPh>
    <rPh sb="11" eb="13">
      <t>セキヤド</t>
    </rPh>
    <rPh sb="13" eb="15">
      <t>チュウオウ</t>
    </rPh>
    <rPh sb="20" eb="21">
      <t>イ</t>
    </rPh>
    <rPh sb="24" eb="26">
      <t>スギト</t>
    </rPh>
    <rPh sb="26" eb="27">
      <t>ダイ</t>
    </rPh>
    <rPh sb="27" eb="28">
      <t>2</t>
    </rPh>
    <rPh sb="28" eb="31">
      <t>ショウガッコウ</t>
    </rPh>
    <rPh sb="31" eb="33">
      <t>イリグチ</t>
    </rPh>
    <rPh sb="34" eb="36">
      <t>ゲシャ</t>
    </rPh>
    <rPh sb="36" eb="38">
      <t>トホ</t>
    </rPh>
    <rPh sb="39" eb="40">
      <t>フン</t>
    </rPh>
    <phoneticPr fontId="2"/>
  </si>
  <si>
    <t>(福)蓮田市社会福祉協議会</t>
    <rPh sb="1" eb="2">
      <t>フク</t>
    </rPh>
    <rPh sb="3" eb="6">
      <t>ハスダシ</t>
    </rPh>
    <rPh sb="6" eb="8">
      <t>シャカイ</t>
    </rPh>
    <rPh sb="8" eb="10">
      <t>フクシ</t>
    </rPh>
    <rPh sb="10" eb="13">
      <t>キョウギカイ</t>
    </rPh>
    <phoneticPr fontId="2"/>
  </si>
  <si>
    <t>蓮田はなみずき作業所</t>
    <rPh sb="0" eb="2">
      <t>ハスダ</t>
    </rPh>
    <rPh sb="7" eb="10">
      <t>サギョウショ</t>
    </rPh>
    <phoneticPr fontId="2"/>
  </si>
  <si>
    <t>根金1490-1</t>
    <rPh sb="0" eb="1">
      <t>ネ</t>
    </rPh>
    <rPh sb="1" eb="2">
      <t>カネ</t>
    </rPh>
    <phoneticPr fontId="2"/>
  </si>
  <si>
    <t>048-766-2619</t>
    <phoneticPr fontId="2"/>
  </si>
  <si>
    <t>048-766-5150</t>
    <phoneticPr fontId="2"/>
  </si>
  <si>
    <t>○</t>
    <phoneticPr fontId="2"/>
  </si>
  <si>
    <t>宇都宮線蓮田駅西口から伊奈学園行バス「二本木」下車徒歩5分</t>
    <rPh sb="0" eb="3">
      <t>ウツノミヤ</t>
    </rPh>
    <rPh sb="3" eb="4">
      <t>セン</t>
    </rPh>
    <rPh sb="4" eb="6">
      <t>ハスダ</t>
    </rPh>
    <rPh sb="6" eb="7">
      <t>エキ</t>
    </rPh>
    <rPh sb="7" eb="9">
      <t>ニシグチ</t>
    </rPh>
    <rPh sb="11" eb="13">
      <t>イナ</t>
    </rPh>
    <rPh sb="13" eb="15">
      <t>ガクエン</t>
    </rPh>
    <rPh sb="15" eb="16">
      <t>イ</t>
    </rPh>
    <rPh sb="19" eb="22">
      <t>ニホンギ</t>
    </rPh>
    <rPh sb="23" eb="25">
      <t>ゲシャ</t>
    </rPh>
    <rPh sb="25" eb="27">
      <t>トホ</t>
    </rPh>
    <rPh sb="28" eb="29">
      <t>フン</t>
    </rPh>
    <phoneticPr fontId="2"/>
  </si>
  <si>
    <t>宇都宮線白岡駅下車徒歩20分</t>
    <rPh sb="0" eb="3">
      <t>ウツノミヤ</t>
    </rPh>
    <rPh sb="3" eb="4">
      <t>セン</t>
    </rPh>
    <rPh sb="4" eb="6">
      <t>シラオカ</t>
    </rPh>
    <rPh sb="6" eb="7">
      <t>エキ</t>
    </rPh>
    <rPh sb="7" eb="9">
      <t>ゲシャ</t>
    </rPh>
    <rPh sb="9" eb="11">
      <t>トホ</t>
    </rPh>
    <rPh sb="13" eb="14">
      <t>フン</t>
    </rPh>
    <phoneticPr fontId="2"/>
  </si>
  <si>
    <t>(福)入間東部福祉会</t>
    <rPh sb="1" eb="2">
      <t>フク</t>
    </rPh>
    <rPh sb="3" eb="5">
      <t>イルマ</t>
    </rPh>
    <rPh sb="5" eb="7">
      <t>トウブ</t>
    </rPh>
    <rPh sb="7" eb="10">
      <t>フクシカイ</t>
    </rPh>
    <phoneticPr fontId="2"/>
  </si>
  <si>
    <t>大井デイケアセンター</t>
    <rPh sb="0" eb="2">
      <t>オオイ</t>
    </rPh>
    <phoneticPr fontId="2"/>
  </si>
  <si>
    <t>大井中央2-2-1</t>
    <rPh sb="0" eb="2">
      <t>オオイ</t>
    </rPh>
    <rPh sb="2" eb="4">
      <t>チュウオウ</t>
    </rPh>
    <phoneticPr fontId="2"/>
  </si>
  <si>
    <t>049-256-3893</t>
    <phoneticPr fontId="2"/>
  </si>
  <si>
    <t>049-269-5290</t>
    <phoneticPr fontId="2"/>
  </si>
  <si>
    <t>東武東上線ふじみ野駅から大井循環バス「大井総合支所」下車徒歩2分</t>
    <rPh sb="0" eb="2">
      <t>トウブ</t>
    </rPh>
    <rPh sb="2" eb="4">
      <t>トウジョウ</t>
    </rPh>
    <rPh sb="4" eb="5">
      <t>セン</t>
    </rPh>
    <rPh sb="8" eb="9">
      <t>ノ</t>
    </rPh>
    <rPh sb="9" eb="10">
      <t>エキ</t>
    </rPh>
    <rPh sb="12" eb="14">
      <t>オオイ</t>
    </rPh>
    <rPh sb="14" eb="16">
      <t>ジュンカン</t>
    </rPh>
    <rPh sb="19" eb="21">
      <t>オオイ</t>
    </rPh>
    <rPh sb="21" eb="23">
      <t>ソウゴウ</t>
    </rPh>
    <rPh sb="23" eb="25">
      <t>シショ</t>
    </rPh>
    <rPh sb="26" eb="28">
      <t>ゲシャ</t>
    </rPh>
    <rPh sb="28" eb="30">
      <t>トホ</t>
    </rPh>
    <rPh sb="31" eb="32">
      <t>フン</t>
    </rPh>
    <phoneticPr fontId="2"/>
  </si>
  <si>
    <t>所沢市立きぼうの園</t>
    <rPh sb="0" eb="2">
      <t>トコロザワ</t>
    </rPh>
    <rPh sb="2" eb="4">
      <t>シリツ</t>
    </rPh>
    <rPh sb="8" eb="9">
      <t>ソノ</t>
    </rPh>
    <phoneticPr fontId="2"/>
  </si>
  <si>
    <t>所沢市・（福）所沢市社会福祉協議会</t>
    <rPh sb="0" eb="3">
      <t>トコロザワシ</t>
    </rPh>
    <rPh sb="5" eb="6">
      <t>フク</t>
    </rPh>
    <rPh sb="7" eb="10">
      <t>トコロザワシ</t>
    </rPh>
    <rPh sb="10" eb="14">
      <t>シャカイフクシ</t>
    </rPh>
    <rPh sb="14" eb="17">
      <t>キョウギカイ</t>
    </rPh>
    <phoneticPr fontId="2"/>
  </si>
  <si>
    <t>北原町937-1</t>
    <rPh sb="0" eb="2">
      <t>キタハラ</t>
    </rPh>
    <rPh sb="2" eb="3">
      <t>マチ</t>
    </rPh>
    <phoneticPr fontId="2"/>
  </si>
  <si>
    <t>359-0004</t>
    <phoneticPr fontId="2"/>
  </si>
  <si>
    <t>○</t>
    <phoneticPr fontId="2"/>
  </si>
  <si>
    <t>西武新宿線航空公園駅からエステシティ所沢行バス「秩父学園前」下車徒歩1分</t>
    <rPh sb="0" eb="2">
      <t>セイブ</t>
    </rPh>
    <rPh sb="2" eb="4">
      <t>シンジュク</t>
    </rPh>
    <rPh sb="4" eb="5">
      <t>セン</t>
    </rPh>
    <rPh sb="5" eb="7">
      <t>コウクウ</t>
    </rPh>
    <rPh sb="7" eb="9">
      <t>コウエン</t>
    </rPh>
    <rPh sb="9" eb="10">
      <t>エキ</t>
    </rPh>
    <rPh sb="18" eb="20">
      <t>トコロザワ</t>
    </rPh>
    <rPh sb="20" eb="21">
      <t>イ</t>
    </rPh>
    <rPh sb="24" eb="26">
      <t>チチブ</t>
    </rPh>
    <rPh sb="26" eb="28">
      <t>ガクエン</t>
    </rPh>
    <rPh sb="28" eb="29">
      <t>マエ</t>
    </rPh>
    <rPh sb="30" eb="32">
      <t>ゲシャ</t>
    </rPh>
    <rPh sb="32" eb="34">
      <t>トホ</t>
    </rPh>
    <rPh sb="35" eb="36">
      <t>フン</t>
    </rPh>
    <phoneticPr fontId="2"/>
  </si>
  <si>
    <t>04-2995-2851</t>
    <phoneticPr fontId="2"/>
  </si>
  <si>
    <t>04-2996-2025</t>
    <phoneticPr fontId="2"/>
  </si>
  <si>
    <t>フレンズ</t>
    <phoneticPr fontId="2"/>
  </si>
  <si>
    <t>志賀543-4</t>
    <phoneticPr fontId="2"/>
  </si>
  <si>
    <t>0493-62-6916</t>
    <phoneticPr fontId="2"/>
  </si>
  <si>
    <t>0493-59-8279</t>
    <phoneticPr fontId="2"/>
  </si>
  <si>
    <t>355-0214</t>
    <phoneticPr fontId="2"/>
  </si>
  <si>
    <t>東武東上線嵐山町駅から徒歩20分</t>
    <rPh sb="0" eb="2">
      <t>トウブ</t>
    </rPh>
    <rPh sb="2" eb="4">
      <t>トウジョウ</t>
    </rPh>
    <rPh sb="4" eb="5">
      <t>セン</t>
    </rPh>
    <rPh sb="5" eb="8">
      <t>ランザンマチ</t>
    </rPh>
    <rPh sb="8" eb="9">
      <t>エキ</t>
    </rPh>
    <rPh sb="11" eb="13">
      <t>トホ</t>
    </rPh>
    <rPh sb="15" eb="16">
      <t>フン</t>
    </rPh>
    <phoneticPr fontId="2"/>
  </si>
  <si>
    <t>(特非)夢・フレンズ</t>
    <rPh sb="0" eb="4">
      <t>トクヒ</t>
    </rPh>
    <rPh sb="4" eb="5">
      <t>ユメ</t>
    </rPh>
    <phoneticPr fontId="2"/>
  </si>
  <si>
    <t>こぶしの森</t>
    <rPh sb="4" eb="5">
      <t>モリ</t>
    </rPh>
    <phoneticPr fontId="2"/>
  </si>
  <si>
    <t>新塚1-4-1</t>
    <rPh sb="0" eb="1">
      <t>シン</t>
    </rPh>
    <rPh sb="1" eb="2">
      <t>ツカ</t>
    </rPh>
    <phoneticPr fontId="2"/>
  </si>
  <si>
    <t>東武東上線朝霞駅から大泉学園駅行バス「総合高校」下車徒歩3分</t>
    <rPh sb="0" eb="2">
      <t>トウブ</t>
    </rPh>
    <rPh sb="2" eb="4">
      <t>トウジョウ</t>
    </rPh>
    <rPh sb="4" eb="5">
      <t>セン</t>
    </rPh>
    <rPh sb="5" eb="7">
      <t>アサカ</t>
    </rPh>
    <rPh sb="7" eb="8">
      <t>エキ</t>
    </rPh>
    <rPh sb="10" eb="12">
      <t>オオイズミ</t>
    </rPh>
    <rPh sb="12" eb="14">
      <t>ガクエン</t>
    </rPh>
    <rPh sb="14" eb="15">
      <t>エキ</t>
    </rPh>
    <rPh sb="15" eb="16">
      <t>イ</t>
    </rPh>
    <rPh sb="19" eb="21">
      <t>ソウゴウ</t>
    </rPh>
    <rPh sb="21" eb="23">
      <t>コウコウ</t>
    </rPh>
    <rPh sb="24" eb="26">
      <t>ゲシャ</t>
    </rPh>
    <rPh sb="26" eb="28">
      <t>トホ</t>
    </rPh>
    <rPh sb="29" eb="30">
      <t>フン</t>
    </rPh>
    <phoneticPr fontId="2"/>
  </si>
  <si>
    <t>第２雑草授産センター</t>
    <rPh sb="0" eb="1">
      <t>ダイ</t>
    </rPh>
    <rPh sb="2" eb="4">
      <t>ザッソウ</t>
    </rPh>
    <rPh sb="4" eb="6">
      <t>ジュサン</t>
    </rPh>
    <phoneticPr fontId="2"/>
  </si>
  <si>
    <t>下野本1492-1</t>
    <rPh sb="0" eb="1">
      <t>シモ</t>
    </rPh>
    <rPh sb="1" eb="2">
      <t>ノ</t>
    </rPh>
    <rPh sb="2" eb="3">
      <t>モト</t>
    </rPh>
    <phoneticPr fontId="2"/>
  </si>
  <si>
    <t>0493-81-3514</t>
    <phoneticPr fontId="2"/>
  </si>
  <si>
    <t>0493-81-3524</t>
    <phoneticPr fontId="2"/>
  </si>
  <si>
    <t>東武東上線東松山駅から川越行バス「柏崎」下車徒歩5分</t>
    <rPh sb="0" eb="2">
      <t>トウブ</t>
    </rPh>
    <rPh sb="2" eb="4">
      <t>トウジョウ</t>
    </rPh>
    <rPh sb="4" eb="5">
      <t>セン</t>
    </rPh>
    <rPh sb="5" eb="8">
      <t>ヒガシマツヤマ</t>
    </rPh>
    <rPh sb="8" eb="9">
      <t>エキ</t>
    </rPh>
    <rPh sb="11" eb="13">
      <t>カワゴエ</t>
    </rPh>
    <rPh sb="13" eb="14">
      <t>イ</t>
    </rPh>
    <rPh sb="17" eb="19">
      <t>カシワザキ</t>
    </rPh>
    <rPh sb="20" eb="22">
      <t>ゲシャ</t>
    </rPh>
    <rPh sb="22" eb="24">
      <t>トホ</t>
    </rPh>
    <rPh sb="25" eb="26">
      <t>フン</t>
    </rPh>
    <phoneticPr fontId="2"/>
  </si>
  <si>
    <t>松伏町立かるがもセンター</t>
    <rPh sb="0" eb="2">
      <t>マツブシ</t>
    </rPh>
    <rPh sb="2" eb="4">
      <t>チョウリツ</t>
    </rPh>
    <phoneticPr fontId="2"/>
  </si>
  <si>
    <t>松伏町・(福)松伏町社会福祉協議会</t>
    <rPh sb="0" eb="3">
      <t>マツブシマチ</t>
    </rPh>
    <rPh sb="4" eb="7">
      <t>フク</t>
    </rPh>
    <rPh sb="7" eb="10">
      <t>マツブシマチ</t>
    </rPh>
    <rPh sb="10" eb="14">
      <t>シャカイフクシ</t>
    </rPh>
    <rPh sb="14" eb="17">
      <t>キョウギカイ</t>
    </rPh>
    <phoneticPr fontId="2"/>
  </si>
  <si>
    <t>048-992-4135</t>
    <phoneticPr fontId="2"/>
  </si>
  <si>
    <t>障害者サポートセンター「にじの家」</t>
    <rPh sb="0" eb="3">
      <t>ショウガイシャ</t>
    </rPh>
    <rPh sb="15" eb="16">
      <t>イエ</t>
    </rPh>
    <phoneticPr fontId="2"/>
  </si>
  <si>
    <t>(福)彩虹会</t>
    <rPh sb="0" eb="3">
      <t>フク</t>
    </rPh>
    <rPh sb="3" eb="4">
      <t>イロド</t>
    </rPh>
    <rPh sb="4" eb="5">
      <t>ニジ</t>
    </rPh>
    <rPh sb="5" eb="6">
      <t>カイ</t>
    </rPh>
    <phoneticPr fontId="2"/>
  </si>
  <si>
    <t>ワークレッスンあーとの国</t>
    <rPh sb="11" eb="12">
      <t>クニ</t>
    </rPh>
    <phoneticPr fontId="2"/>
  </si>
  <si>
    <t>0493-22-1108</t>
    <phoneticPr fontId="2"/>
  </si>
  <si>
    <t>草加市障害福祉サービス事業所つばさの森</t>
    <rPh sb="0" eb="3">
      <t>ソウカシ</t>
    </rPh>
    <rPh sb="3" eb="5">
      <t>ショウガイ</t>
    </rPh>
    <rPh sb="5" eb="7">
      <t>フクシ</t>
    </rPh>
    <rPh sb="11" eb="14">
      <t>ジギョウショ</t>
    </rPh>
    <rPh sb="18" eb="19">
      <t>モリ</t>
    </rPh>
    <phoneticPr fontId="2"/>
  </si>
  <si>
    <t>048-935-5679</t>
    <phoneticPr fontId="2"/>
  </si>
  <si>
    <t>彩花事業所</t>
    <rPh sb="0" eb="2">
      <t>サイカ</t>
    </rPh>
    <rPh sb="2" eb="5">
      <t>ジギョウショ</t>
    </rPh>
    <phoneticPr fontId="2"/>
  </si>
  <si>
    <t>0495-77-0040</t>
    <phoneticPr fontId="2"/>
  </si>
  <si>
    <t>埼玉県済生会ワークステーションのぞみ</t>
    <phoneticPr fontId="2"/>
  </si>
  <si>
    <t>(福)恩賜財団済生会支部埼玉県済生会</t>
    <rPh sb="0" eb="3">
      <t>フク</t>
    </rPh>
    <phoneticPr fontId="2"/>
  </si>
  <si>
    <t>048-257-1830</t>
    <phoneticPr fontId="2"/>
  </si>
  <si>
    <t>鴻巣市・(福)鴻巣市社会福祉協議会</t>
    <rPh sb="0" eb="3">
      <t>コウノスシ</t>
    </rPh>
    <rPh sb="4" eb="7">
      <t>フク</t>
    </rPh>
    <rPh sb="7" eb="10">
      <t>コウノスシ</t>
    </rPh>
    <rPh sb="10" eb="14">
      <t>シャカイフクシ</t>
    </rPh>
    <rPh sb="14" eb="17">
      <t>キョウギカイ</t>
    </rPh>
    <phoneticPr fontId="2"/>
  </si>
  <si>
    <t>鴻巣市あしたば第二作業所</t>
    <rPh sb="0" eb="3">
      <t>コウノスシ</t>
    </rPh>
    <rPh sb="7" eb="9">
      <t>ダイニ</t>
    </rPh>
    <rPh sb="9" eb="12">
      <t>サギョウショ</t>
    </rPh>
    <phoneticPr fontId="2"/>
  </si>
  <si>
    <t>048-543-3225</t>
    <phoneticPr fontId="2"/>
  </si>
  <si>
    <t>鴻巣市吹上太陽の家</t>
    <rPh sb="0" eb="3">
      <t>コウノスシ</t>
    </rPh>
    <rPh sb="3" eb="5">
      <t>フキアゲ</t>
    </rPh>
    <rPh sb="5" eb="7">
      <t>タイヨウ</t>
    </rPh>
    <rPh sb="8" eb="9">
      <t>イエ</t>
    </rPh>
    <phoneticPr fontId="2"/>
  </si>
  <si>
    <t>048-549-2289</t>
    <phoneticPr fontId="2"/>
  </si>
  <si>
    <t>障がい者自立支援農場きづな作業所</t>
    <rPh sb="13" eb="16">
      <t>サギョウショ</t>
    </rPh>
    <phoneticPr fontId="2"/>
  </si>
  <si>
    <t>(特非)障がい者自立支援農場きづな</t>
    <rPh sb="0" eb="4">
      <t>トクヒ</t>
    </rPh>
    <rPh sb="4" eb="5">
      <t>ショウ</t>
    </rPh>
    <rPh sb="7" eb="8">
      <t>シャ</t>
    </rPh>
    <rPh sb="8" eb="10">
      <t>ジリツ</t>
    </rPh>
    <rPh sb="10" eb="12">
      <t>シエン</t>
    </rPh>
    <rPh sb="12" eb="14">
      <t>ノウジョウ</t>
    </rPh>
    <phoneticPr fontId="2"/>
  </si>
  <si>
    <t>蕨市多機能型事業所スマイラ松原</t>
    <rPh sb="0" eb="2">
      <t>ワラビシ</t>
    </rPh>
    <rPh sb="2" eb="5">
      <t>タキノウ</t>
    </rPh>
    <rPh sb="5" eb="6">
      <t>ガタ</t>
    </rPh>
    <rPh sb="6" eb="9">
      <t>ジギョウショ</t>
    </rPh>
    <rPh sb="13" eb="15">
      <t>マツバラ</t>
    </rPh>
    <phoneticPr fontId="2"/>
  </si>
  <si>
    <t>蕨市・(福)蕨市社会福祉協議会</t>
    <rPh sb="0" eb="2">
      <t>ワラビシ</t>
    </rPh>
    <rPh sb="3" eb="6">
      <t>フク</t>
    </rPh>
    <rPh sb="6" eb="8">
      <t>ワラビシ</t>
    </rPh>
    <rPh sb="8" eb="12">
      <t>シャカイフクシ</t>
    </rPh>
    <rPh sb="12" eb="15">
      <t>キョウギカイ</t>
    </rPh>
    <phoneticPr fontId="2"/>
  </si>
  <si>
    <t>048-441-5405</t>
    <phoneticPr fontId="2"/>
  </si>
  <si>
    <t>北本市立あすなろ学園</t>
    <rPh sb="0" eb="2">
      <t>キタモト</t>
    </rPh>
    <rPh sb="2" eb="4">
      <t>シリツ</t>
    </rPh>
    <rPh sb="8" eb="10">
      <t>ガクエン</t>
    </rPh>
    <phoneticPr fontId="2"/>
  </si>
  <si>
    <t>北本市・(福)埼玉県社会福祉事業団</t>
    <rPh sb="0" eb="3">
      <t>キタモトシ</t>
    </rPh>
    <rPh sb="4" eb="7">
      <t>フク</t>
    </rPh>
    <rPh sb="7" eb="10">
      <t>サイタマケン</t>
    </rPh>
    <rPh sb="10" eb="14">
      <t>シャカイフクシ</t>
    </rPh>
    <rPh sb="14" eb="17">
      <t>ジギョウダン</t>
    </rPh>
    <phoneticPr fontId="2"/>
  </si>
  <si>
    <t>048-592-6721</t>
    <phoneticPr fontId="2"/>
  </si>
  <si>
    <t>すまいるはうす</t>
    <phoneticPr fontId="2"/>
  </si>
  <si>
    <t>(特非)埼玉障害者センター</t>
    <rPh sb="0" eb="4">
      <t>トクヒ</t>
    </rPh>
    <rPh sb="4" eb="6">
      <t>サイタマ</t>
    </rPh>
    <rPh sb="6" eb="9">
      <t>ショウガイシャ</t>
    </rPh>
    <phoneticPr fontId="2"/>
  </si>
  <si>
    <t>049-287-3455</t>
    <phoneticPr fontId="2"/>
  </si>
  <si>
    <t>シンフォニー</t>
    <phoneticPr fontId="2"/>
  </si>
  <si>
    <t>(特非)シンフォニー</t>
    <rPh sb="0" eb="4">
      <t>トクヒ</t>
    </rPh>
    <phoneticPr fontId="2"/>
  </si>
  <si>
    <t>(福)いずみの福祉会</t>
    <rPh sb="7" eb="10">
      <t>フクシカイ</t>
    </rPh>
    <phoneticPr fontId="2"/>
  </si>
  <si>
    <t>多機能型支援施設阿須フレンドワーク</t>
    <rPh sb="0" eb="4">
      <t>タキノウガタ</t>
    </rPh>
    <rPh sb="4" eb="6">
      <t>シエン</t>
    </rPh>
    <rPh sb="6" eb="8">
      <t>シセツ</t>
    </rPh>
    <rPh sb="8" eb="10">
      <t>アズ</t>
    </rPh>
    <phoneticPr fontId="2"/>
  </si>
  <si>
    <t>042-974-2551</t>
    <phoneticPr fontId="2"/>
  </si>
  <si>
    <t>みのりの郷</t>
    <rPh sb="4" eb="5">
      <t>サト</t>
    </rPh>
    <phoneticPr fontId="2"/>
  </si>
  <si>
    <t>(福)ありす福祉会</t>
    <rPh sb="0" eb="3">
      <t>フク</t>
    </rPh>
    <rPh sb="6" eb="9">
      <t>フクシカイ</t>
    </rPh>
    <phoneticPr fontId="2"/>
  </si>
  <si>
    <t>(福)全国ベーチェット協会</t>
  </si>
  <si>
    <t>熊谷市</t>
  </si>
  <si>
    <t>板井1696</t>
  </si>
  <si>
    <t>048-536-5421</t>
  </si>
  <si>
    <t>048-536-3029</t>
  </si>
  <si>
    <t>(福)きずなの会</t>
  </si>
  <si>
    <t>療護園滑川　</t>
  </si>
  <si>
    <t>比企郡滑川町</t>
  </si>
  <si>
    <t>和泉838-1</t>
  </si>
  <si>
    <t>0493-56-6835</t>
  </si>
  <si>
    <t>0493-56-6832</t>
  </si>
  <si>
    <t>(福)神川福祉会</t>
  </si>
  <si>
    <t>神川フロンティア</t>
  </si>
  <si>
    <t>児玉郡神川町</t>
  </si>
  <si>
    <t>0495-77-4876</t>
  </si>
  <si>
    <t>0495-77-5270</t>
  </si>
  <si>
    <t>(福)幸光福祉会</t>
  </si>
  <si>
    <t>桃の里</t>
  </si>
  <si>
    <t>越谷市</t>
  </si>
  <si>
    <t>南荻島770</t>
  </si>
  <si>
    <t>048-972-0544</t>
  </si>
  <si>
    <t>048-972-0944</t>
  </si>
  <si>
    <t>鴻巣市</t>
  </si>
  <si>
    <t>笠原177-1</t>
  </si>
  <si>
    <t>048-540-2031</t>
  </si>
  <si>
    <t>048-540-2033</t>
  </si>
  <si>
    <t>(福)共愛会</t>
  </si>
  <si>
    <t>ときわ寮</t>
  </si>
  <si>
    <t>羽生市</t>
  </si>
  <si>
    <t>048-561-2362</t>
  </si>
  <si>
    <t>048-563-3072</t>
  </si>
  <si>
    <t>あしび寮</t>
  </si>
  <si>
    <t>久喜市・(福)啓和会</t>
  </si>
  <si>
    <t>久喜市</t>
  </si>
  <si>
    <t>所沢市立こあふる</t>
    <phoneticPr fontId="2"/>
  </si>
  <si>
    <t>三ヶ島5-828-6</t>
    <rPh sb="0" eb="1">
      <t>サン</t>
    </rPh>
    <rPh sb="2" eb="3">
      <t>シマ</t>
    </rPh>
    <phoneticPr fontId="2"/>
  </si>
  <si>
    <t>359-1164</t>
    <phoneticPr fontId="2"/>
  </si>
  <si>
    <t>04-2938-1500</t>
    <phoneticPr fontId="2"/>
  </si>
  <si>
    <t>04-2938-1502</t>
    <phoneticPr fontId="2"/>
  </si>
  <si>
    <t>久喜市・(福)久喜市社会福祉協議会</t>
    <rPh sb="0" eb="3">
      <t>クキシ</t>
    </rPh>
    <rPh sb="5" eb="6">
      <t>フク</t>
    </rPh>
    <rPh sb="7" eb="10">
      <t>クキシ</t>
    </rPh>
    <rPh sb="10" eb="14">
      <t>シャカイフクシ</t>
    </rPh>
    <rPh sb="14" eb="17">
      <t>キョウギカイ</t>
    </rPh>
    <phoneticPr fontId="2"/>
  </si>
  <si>
    <t>久喜市けやきの木</t>
    <rPh sb="0" eb="3">
      <t>クキシ</t>
    </rPh>
    <rPh sb="7" eb="8">
      <t>キ</t>
    </rPh>
    <phoneticPr fontId="2"/>
  </si>
  <si>
    <t>青毛1146-1</t>
    <rPh sb="0" eb="2">
      <t>アオゲ</t>
    </rPh>
    <phoneticPr fontId="2"/>
  </si>
  <si>
    <t>0480-21-7555</t>
    <phoneticPr fontId="2"/>
  </si>
  <si>
    <t>久喜市くりの木</t>
    <rPh sb="0" eb="3">
      <t>クキシ</t>
    </rPh>
    <rPh sb="6" eb="7">
      <t>キ</t>
    </rPh>
    <phoneticPr fontId="2"/>
  </si>
  <si>
    <t>0480-55-2341</t>
    <phoneticPr fontId="2"/>
  </si>
  <si>
    <t>0480-55-2343</t>
    <phoneticPr fontId="2"/>
  </si>
  <si>
    <t>久喜市ゆう・あい</t>
    <rPh sb="0" eb="3">
      <t>クキシ</t>
    </rPh>
    <phoneticPr fontId="2"/>
  </si>
  <si>
    <t>上内327-6</t>
    <rPh sb="0" eb="1">
      <t>ウエ</t>
    </rPh>
    <rPh sb="1" eb="2">
      <t>ウチ</t>
    </rPh>
    <phoneticPr fontId="2"/>
  </si>
  <si>
    <t>340-0211</t>
    <phoneticPr fontId="2"/>
  </si>
  <si>
    <t>0480-57-4353</t>
    <phoneticPr fontId="2"/>
  </si>
  <si>
    <t>048-971-7351</t>
    <phoneticPr fontId="2"/>
  </si>
  <si>
    <t>0495-71-4141</t>
    <phoneticPr fontId="2"/>
  </si>
  <si>
    <t>中新井1-134-15</t>
    <rPh sb="0" eb="1">
      <t>チュウ</t>
    </rPh>
    <rPh sb="1" eb="3">
      <t>アライ</t>
    </rPh>
    <phoneticPr fontId="2"/>
  </si>
  <si>
    <t>西武新宿線新所沢駅から徒歩16分</t>
    <rPh sb="0" eb="5">
      <t>セイブシンジュクセン</t>
    </rPh>
    <rPh sb="5" eb="8">
      <t>シントコロザワ</t>
    </rPh>
    <rPh sb="8" eb="9">
      <t>エキ</t>
    </rPh>
    <rPh sb="11" eb="13">
      <t>トホ</t>
    </rPh>
    <rPh sb="15" eb="16">
      <t>フン</t>
    </rPh>
    <phoneticPr fontId="2"/>
  </si>
  <si>
    <t>熊谷駅から小川町行バス「県立循環器呼吸器病センター」下車徒歩１分</t>
    <rPh sb="0" eb="2">
      <t>クマガヤ</t>
    </rPh>
    <rPh sb="2" eb="3">
      <t>エキ</t>
    </rPh>
    <rPh sb="5" eb="8">
      <t>オガワマチ</t>
    </rPh>
    <rPh sb="8" eb="9">
      <t>イ</t>
    </rPh>
    <rPh sb="12" eb="14">
      <t>ケンリツ</t>
    </rPh>
    <rPh sb="14" eb="17">
      <t>ジュンカンキ</t>
    </rPh>
    <rPh sb="17" eb="20">
      <t>コキュウキ</t>
    </rPh>
    <rPh sb="20" eb="21">
      <t>ビョウ</t>
    </rPh>
    <rPh sb="26" eb="28">
      <t>ゲシャ</t>
    </rPh>
    <rPh sb="28" eb="30">
      <t>トホ</t>
    </rPh>
    <rPh sb="31" eb="32">
      <t>フン</t>
    </rPh>
    <phoneticPr fontId="2"/>
  </si>
  <si>
    <t>○</t>
    <phoneticPr fontId="2"/>
  </si>
  <si>
    <t>東武東上線森林公園駅からタクシー10分</t>
    <rPh sb="0" eb="2">
      <t>トウブ</t>
    </rPh>
    <rPh sb="2" eb="4">
      <t>トウジョウ</t>
    </rPh>
    <rPh sb="4" eb="5">
      <t>セン</t>
    </rPh>
    <rPh sb="5" eb="7">
      <t>シンリン</t>
    </rPh>
    <rPh sb="7" eb="9">
      <t>コウエン</t>
    </rPh>
    <rPh sb="9" eb="10">
      <t>エキ</t>
    </rPh>
    <rPh sb="18" eb="19">
      <t>フン</t>
    </rPh>
    <phoneticPr fontId="2"/>
  </si>
  <si>
    <t>八高線丹荘駅下車徒歩5分</t>
    <rPh sb="0" eb="2">
      <t>ハチコウ</t>
    </rPh>
    <rPh sb="2" eb="3">
      <t>セン</t>
    </rPh>
    <rPh sb="3" eb="4">
      <t>タン</t>
    </rPh>
    <rPh sb="4" eb="5">
      <t>ソウ</t>
    </rPh>
    <rPh sb="5" eb="6">
      <t>エキ</t>
    </rPh>
    <rPh sb="6" eb="8">
      <t>ゲシャ</t>
    </rPh>
    <rPh sb="8" eb="10">
      <t>トホ</t>
    </rPh>
    <rPh sb="11" eb="12">
      <t>フン</t>
    </rPh>
    <phoneticPr fontId="2"/>
  </si>
  <si>
    <t>○</t>
    <phoneticPr fontId="2"/>
  </si>
  <si>
    <t>高崎線鴻巣駅から加須駅行きバス「笠原十字路」下車徒歩20分</t>
    <rPh sb="0" eb="2">
      <t>タカサキ</t>
    </rPh>
    <rPh sb="2" eb="3">
      <t>セン</t>
    </rPh>
    <rPh sb="3" eb="6">
      <t>コウノスエキ</t>
    </rPh>
    <rPh sb="8" eb="10">
      <t>カゾ</t>
    </rPh>
    <rPh sb="10" eb="11">
      <t>エキ</t>
    </rPh>
    <rPh sb="11" eb="12">
      <t>ユ</t>
    </rPh>
    <rPh sb="16" eb="18">
      <t>カサハラ</t>
    </rPh>
    <rPh sb="18" eb="21">
      <t>ジュウジロ</t>
    </rPh>
    <rPh sb="22" eb="24">
      <t>ゲシャ</t>
    </rPh>
    <rPh sb="24" eb="26">
      <t>トホ</t>
    </rPh>
    <rPh sb="28" eb="29">
      <t>フン</t>
    </rPh>
    <phoneticPr fontId="2"/>
  </si>
  <si>
    <t>東武伊勢崎線羽生駅下車タクシー10分</t>
    <phoneticPr fontId="2"/>
  </si>
  <si>
    <t>東部伊勢崎線越谷駅岩槻駅行バス「野中バス停」下車徒歩4分</t>
    <rPh sb="0" eb="2">
      <t>トウブ</t>
    </rPh>
    <rPh sb="2" eb="5">
      <t>イセザキ</t>
    </rPh>
    <rPh sb="5" eb="6">
      <t>セン</t>
    </rPh>
    <rPh sb="6" eb="8">
      <t>コシガヤ</t>
    </rPh>
    <rPh sb="8" eb="9">
      <t>エキ</t>
    </rPh>
    <rPh sb="9" eb="11">
      <t>イワツキ</t>
    </rPh>
    <rPh sb="11" eb="12">
      <t>エキ</t>
    </rPh>
    <rPh sb="12" eb="13">
      <t>ユ</t>
    </rPh>
    <rPh sb="16" eb="18">
      <t>ノナカ</t>
    </rPh>
    <rPh sb="20" eb="21">
      <t>テイ</t>
    </rPh>
    <rPh sb="22" eb="24">
      <t>ゲシャ</t>
    </rPh>
    <rPh sb="24" eb="26">
      <t>トホ</t>
    </rPh>
    <rPh sb="27" eb="28">
      <t>フン</t>
    </rPh>
    <phoneticPr fontId="2"/>
  </si>
  <si>
    <t>西部池袋線小手指駅から早稲田大学行バス「芸術総合高校入口」下車徒歩5分</t>
    <rPh sb="0" eb="2">
      <t>セイブ</t>
    </rPh>
    <rPh sb="2" eb="4">
      <t>イケブクロ</t>
    </rPh>
    <rPh sb="4" eb="5">
      <t>セン</t>
    </rPh>
    <rPh sb="5" eb="8">
      <t>コテサシ</t>
    </rPh>
    <rPh sb="8" eb="9">
      <t>エキ</t>
    </rPh>
    <rPh sb="11" eb="14">
      <t>ワセダ</t>
    </rPh>
    <rPh sb="14" eb="16">
      <t>ダイガク</t>
    </rPh>
    <rPh sb="16" eb="17">
      <t>イ</t>
    </rPh>
    <rPh sb="20" eb="22">
      <t>ゲイジュツ</t>
    </rPh>
    <rPh sb="22" eb="24">
      <t>ソウゴウ</t>
    </rPh>
    <rPh sb="24" eb="26">
      <t>コウコウ</t>
    </rPh>
    <rPh sb="26" eb="27">
      <t>イ</t>
    </rPh>
    <rPh sb="27" eb="28">
      <t>グチ</t>
    </rPh>
    <rPh sb="29" eb="31">
      <t>ゲシャ</t>
    </rPh>
    <rPh sb="31" eb="33">
      <t>トホ</t>
    </rPh>
    <rPh sb="34" eb="35">
      <t>フン</t>
    </rPh>
    <phoneticPr fontId="2"/>
  </si>
  <si>
    <t>久喜駅から久喜市市内循環バス野久喜吉羽循環「けやきの木」下車</t>
    <rPh sb="0" eb="2">
      <t>クキ</t>
    </rPh>
    <rPh sb="2" eb="3">
      <t>エキ</t>
    </rPh>
    <rPh sb="5" eb="8">
      <t>クキシ</t>
    </rPh>
    <rPh sb="8" eb="10">
      <t>シナイ</t>
    </rPh>
    <rPh sb="10" eb="12">
      <t>ジュンカン</t>
    </rPh>
    <rPh sb="14" eb="17">
      <t>ノグキ</t>
    </rPh>
    <rPh sb="17" eb="19">
      <t>ヨシバ</t>
    </rPh>
    <rPh sb="19" eb="21">
      <t>ジュンカン</t>
    </rPh>
    <rPh sb="26" eb="27">
      <t>キ</t>
    </rPh>
    <rPh sb="28" eb="30">
      <t>ゲシャ</t>
    </rPh>
    <phoneticPr fontId="2"/>
  </si>
  <si>
    <t>栗橋駅から徒歩20分</t>
    <rPh sb="0" eb="2">
      <t>クリハシ</t>
    </rPh>
    <rPh sb="2" eb="3">
      <t>エキ</t>
    </rPh>
    <rPh sb="5" eb="7">
      <t>トホ</t>
    </rPh>
    <rPh sb="9" eb="10">
      <t>フン</t>
    </rPh>
    <phoneticPr fontId="2"/>
  </si>
  <si>
    <t>北葛飾郡松伏町</t>
    <rPh sb="4" eb="7">
      <t>マツブシマチ</t>
    </rPh>
    <phoneticPr fontId="2"/>
  </si>
  <si>
    <t>田島1524</t>
    <rPh sb="0" eb="2">
      <t>タジマ</t>
    </rPh>
    <phoneticPr fontId="2"/>
  </si>
  <si>
    <t>343-0105</t>
    <phoneticPr fontId="2"/>
  </si>
  <si>
    <t>048-992-4132</t>
    <phoneticPr fontId="2"/>
  </si>
  <si>
    <t>○</t>
    <phoneticPr fontId="2"/>
  </si>
  <si>
    <t>東武伊勢崎線北越谷駅から野田行・東埼玉テクノポリス南行「第一保育所入口」下車徒歩5分</t>
    <rPh sb="0" eb="2">
      <t>トウブ</t>
    </rPh>
    <rPh sb="2" eb="5">
      <t>イセザキ</t>
    </rPh>
    <rPh sb="5" eb="6">
      <t>セン</t>
    </rPh>
    <rPh sb="6" eb="9">
      <t>キタコシガヤ</t>
    </rPh>
    <rPh sb="9" eb="10">
      <t>エキ</t>
    </rPh>
    <rPh sb="12" eb="14">
      <t>ノダ</t>
    </rPh>
    <rPh sb="14" eb="15">
      <t>イ</t>
    </rPh>
    <rPh sb="16" eb="17">
      <t>ヒガシ</t>
    </rPh>
    <rPh sb="17" eb="19">
      <t>サイタマ</t>
    </rPh>
    <rPh sb="25" eb="26">
      <t>ミナミ</t>
    </rPh>
    <rPh sb="26" eb="27">
      <t>イ</t>
    </rPh>
    <rPh sb="28" eb="30">
      <t>ダイイチ</t>
    </rPh>
    <rPh sb="30" eb="32">
      <t>ホイク</t>
    </rPh>
    <rPh sb="32" eb="33">
      <t>ジョ</t>
    </rPh>
    <rPh sb="33" eb="35">
      <t>イリグチ</t>
    </rPh>
    <rPh sb="36" eb="38">
      <t>ゲシャ</t>
    </rPh>
    <rPh sb="38" eb="40">
      <t>トホ</t>
    </rPh>
    <rPh sb="41" eb="42">
      <t>フン</t>
    </rPh>
    <phoneticPr fontId="2"/>
  </si>
  <si>
    <t>栗橋駅下車徒歩20分</t>
    <rPh sb="0" eb="2">
      <t>クリハシ</t>
    </rPh>
    <rPh sb="2" eb="3">
      <t>エキ</t>
    </rPh>
    <rPh sb="3" eb="5">
      <t>ゲシャ</t>
    </rPh>
    <rPh sb="5" eb="7">
      <t>トホ</t>
    </rPh>
    <rPh sb="9" eb="10">
      <t>フン</t>
    </rPh>
    <phoneticPr fontId="2"/>
  </si>
  <si>
    <t>材木町23-2</t>
    <rPh sb="0" eb="3">
      <t>ザイモクチョウ</t>
    </rPh>
    <phoneticPr fontId="2"/>
  </si>
  <si>
    <t>355-0028</t>
    <phoneticPr fontId="2"/>
  </si>
  <si>
    <t>0493-23-6688</t>
    <phoneticPr fontId="2"/>
  </si>
  <si>
    <t>東武東上線東松山駅下車徒歩10分</t>
    <rPh sb="0" eb="2">
      <t>トウブ</t>
    </rPh>
    <rPh sb="2" eb="4">
      <t>トウジョウ</t>
    </rPh>
    <rPh sb="4" eb="5">
      <t>セン</t>
    </rPh>
    <rPh sb="5" eb="8">
      <t>ヒガシマツヤマ</t>
    </rPh>
    <rPh sb="8" eb="9">
      <t>エキ</t>
    </rPh>
    <rPh sb="9" eb="11">
      <t>ゲシャ</t>
    </rPh>
    <rPh sb="11" eb="13">
      <t>トホ</t>
    </rPh>
    <rPh sb="15" eb="16">
      <t>フン</t>
    </rPh>
    <phoneticPr fontId="2"/>
  </si>
  <si>
    <t>柿木町1105-2</t>
    <rPh sb="0" eb="3">
      <t>カキノキチョウ</t>
    </rPh>
    <phoneticPr fontId="2"/>
  </si>
  <si>
    <t>340-0001</t>
    <phoneticPr fontId="2"/>
  </si>
  <si>
    <t>048-935-5678</t>
    <phoneticPr fontId="2"/>
  </si>
  <si>
    <t>東武伊勢崎線新越谷駅から草加東高校行きバス「草加東高校」下車徒歩3分</t>
    <rPh sb="0" eb="2">
      <t>トウブ</t>
    </rPh>
    <rPh sb="2" eb="5">
      <t>イセザキ</t>
    </rPh>
    <rPh sb="5" eb="6">
      <t>セン</t>
    </rPh>
    <rPh sb="6" eb="9">
      <t>シンコシガヤ</t>
    </rPh>
    <rPh sb="9" eb="10">
      <t>エキ</t>
    </rPh>
    <rPh sb="12" eb="14">
      <t>ソウカ</t>
    </rPh>
    <rPh sb="14" eb="15">
      <t>ヒガシ</t>
    </rPh>
    <rPh sb="15" eb="17">
      <t>コウコウ</t>
    </rPh>
    <rPh sb="17" eb="18">
      <t>イ</t>
    </rPh>
    <rPh sb="22" eb="24">
      <t>ソウカ</t>
    </rPh>
    <rPh sb="24" eb="25">
      <t>ヒガシ</t>
    </rPh>
    <rPh sb="25" eb="27">
      <t>コウコウ</t>
    </rPh>
    <rPh sb="28" eb="30">
      <t>ゲシャ</t>
    </rPh>
    <rPh sb="30" eb="32">
      <t>トホ</t>
    </rPh>
    <rPh sb="33" eb="34">
      <t>フン</t>
    </rPh>
    <phoneticPr fontId="2"/>
  </si>
  <si>
    <t>植竹736-7</t>
    <rPh sb="0" eb="2">
      <t>ウエタケ</t>
    </rPh>
    <phoneticPr fontId="2"/>
  </si>
  <si>
    <t>367-0245</t>
    <phoneticPr fontId="2"/>
  </si>
  <si>
    <t>八高線丹荘駅下車徒歩3分</t>
    <rPh sb="0" eb="2">
      <t>ハチコウ</t>
    </rPh>
    <rPh sb="2" eb="3">
      <t>セン</t>
    </rPh>
    <rPh sb="3" eb="6">
      <t>タンショウエキ</t>
    </rPh>
    <rPh sb="6" eb="8">
      <t>ゲシャ</t>
    </rPh>
    <rPh sb="8" eb="10">
      <t>トホ</t>
    </rPh>
    <rPh sb="11" eb="12">
      <t>プン</t>
    </rPh>
    <phoneticPr fontId="2"/>
  </si>
  <si>
    <t>阿須224</t>
    <rPh sb="0" eb="2">
      <t>アズ</t>
    </rPh>
    <phoneticPr fontId="2"/>
  </si>
  <si>
    <t>357-0046</t>
    <phoneticPr fontId="2"/>
  </si>
  <si>
    <t>042-975-5501</t>
    <phoneticPr fontId="2"/>
  </si>
  <si>
    <t>西武池袋線飯能駅から青梅行きバス「飯能南高校」下車徒歩6分</t>
    <rPh sb="0" eb="2">
      <t>セイブ</t>
    </rPh>
    <rPh sb="2" eb="4">
      <t>イケブクロ</t>
    </rPh>
    <rPh sb="4" eb="5">
      <t>セン</t>
    </rPh>
    <rPh sb="5" eb="7">
      <t>ハンノウ</t>
    </rPh>
    <rPh sb="7" eb="8">
      <t>エキ</t>
    </rPh>
    <rPh sb="10" eb="12">
      <t>オウメ</t>
    </rPh>
    <rPh sb="12" eb="13">
      <t>イ</t>
    </rPh>
    <rPh sb="17" eb="19">
      <t>ハンノウ</t>
    </rPh>
    <rPh sb="19" eb="20">
      <t>ミナミ</t>
    </rPh>
    <rPh sb="20" eb="22">
      <t>コウコウ</t>
    </rPh>
    <rPh sb="23" eb="25">
      <t>ゲシャ</t>
    </rPh>
    <rPh sb="25" eb="27">
      <t>トホ</t>
    </rPh>
    <rPh sb="28" eb="29">
      <t>フン</t>
    </rPh>
    <phoneticPr fontId="2"/>
  </si>
  <si>
    <t>西川口4-15-15</t>
    <rPh sb="0" eb="3">
      <t>ニシカワグチ</t>
    </rPh>
    <phoneticPr fontId="2"/>
  </si>
  <si>
    <t>332-0021</t>
    <phoneticPr fontId="2"/>
  </si>
  <si>
    <t>048-257-1830</t>
    <phoneticPr fontId="2"/>
  </si>
  <si>
    <t>京浜東北線西川口駅下車徒歩12分</t>
    <rPh sb="0" eb="2">
      <t>ケイヒン</t>
    </rPh>
    <rPh sb="2" eb="4">
      <t>トウホク</t>
    </rPh>
    <rPh sb="4" eb="5">
      <t>セン</t>
    </rPh>
    <rPh sb="5" eb="8">
      <t>ニシカワグチ</t>
    </rPh>
    <rPh sb="8" eb="9">
      <t>エキ</t>
    </rPh>
    <rPh sb="9" eb="11">
      <t>ゲシャ</t>
    </rPh>
    <rPh sb="11" eb="13">
      <t>トホ</t>
    </rPh>
    <rPh sb="15" eb="16">
      <t>フン</t>
    </rPh>
    <phoneticPr fontId="2"/>
  </si>
  <si>
    <t>原馬室3116-2</t>
    <rPh sb="0" eb="1">
      <t>ハラ</t>
    </rPh>
    <rPh sb="1" eb="2">
      <t>ウマ</t>
    </rPh>
    <rPh sb="2" eb="3">
      <t>シツ</t>
    </rPh>
    <phoneticPr fontId="2"/>
  </si>
  <si>
    <t>365-0043</t>
    <phoneticPr fontId="2"/>
  </si>
  <si>
    <t>048-543-3225</t>
    <phoneticPr fontId="2"/>
  </si>
  <si>
    <t>高崎線鴻巣駅からコミュニティバスフラワー号馬室コース「観音堂」下車徒歩5分</t>
    <rPh sb="0" eb="2">
      <t>タカサキ</t>
    </rPh>
    <rPh sb="2" eb="3">
      <t>セン</t>
    </rPh>
    <rPh sb="3" eb="5">
      <t>コウノス</t>
    </rPh>
    <rPh sb="5" eb="6">
      <t>エキ</t>
    </rPh>
    <rPh sb="20" eb="21">
      <t>ゴウ</t>
    </rPh>
    <rPh sb="21" eb="22">
      <t>ウマ</t>
    </rPh>
    <rPh sb="22" eb="23">
      <t>ムロ</t>
    </rPh>
    <rPh sb="27" eb="30">
      <t>カンノンドウ</t>
    </rPh>
    <rPh sb="31" eb="33">
      <t>ゲシャ</t>
    </rPh>
    <rPh sb="33" eb="35">
      <t>トホ</t>
    </rPh>
    <rPh sb="36" eb="37">
      <t>フン</t>
    </rPh>
    <phoneticPr fontId="2"/>
  </si>
  <si>
    <t>鎌塚57-1</t>
    <rPh sb="0" eb="1">
      <t>カマ</t>
    </rPh>
    <rPh sb="1" eb="2">
      <t>ツカ</t>
    </rPh>
    <phoneticPr fontId="2"/>
  </si>
  <si>
    <t>369-0112</t>
    <phoneticPr fontId="2"/>
  </si>
  <si>
    <t>048-549-2288</t>
    <phoneticPr fontId="2"/>
  </si>
  <si>
    <t>高崎線吹上駅からコミュニティバスフラワー号吹上コース「吹上福祉活動センター」下車徒歩1分</t>
    <rPh sb="0" eb="2">
      <t>タカサキ</t>
    </rPh>
    <rPh sb="2" eb="3">
      <t>セン</t>
    </rPh>
    <rPh sb="3" eb="5">
      <t>フキアゲ</t>
    </rPh>
    <rPh sb="5" eb="6">
      <t>エキ</t>
    </rPh>
    <rPh sb="20" eb="21">
      <t>ゴウ</t>
    </rPh>
    <rPh sb="21" eb="23">
      <t>フキアゲ</t>
    </rPh>
    <rPh sb="27" eb="29">
      <t>フキアゲ</t>
    </rPh>
    <rPh sb="29" eb="31">
      <t>フクシ</t>
    </rPh>
    <rPh sb="31" eb="33">
      <t>カツドウ</t>
    </rPh>
    <rPh sb="38" eb="40">
      <t>ゲシャ</t>
    </rPh>
    <rPh sb="40" eb="42">
      <t>トホ</t>
    </rPh>
    <rPh sb="43" eb="44">
      <t>フン</t>
    </rPh>
    <phoneticPr fontId="2"/>
  </si>
  <si>
    <t>秩父郡小鹿野町</t>
    <rPh sb="0" eb="3">
      <t>チチブグン</t>
    </rPh>
    <rPh sb="3" eb="7">
      <t>オガノマチ</t>
    </rPh>
    <phoneticPr fontId="2"/>
  </si>
  <si>
    <t>長留3545</t>
    <rPh sb="0" eb="1">
      <t>ナガ</t>
    </rPh>
    <rPh sb="1" eb="2">
      <t>ト</t>
    </rPh>
    <phoneticPr fontId="2"/>
  </si>
  <si>
    <t>368-0102</t>
    <phoneticPr fontId="2"/>
  </si>
  <si>
    <t>0494-75-2049</t>
    <phoneticPr fontId="2"/>
  </si>
  <si>
    <t>西武秩父駅から上野沢行きバス「長若馬場」下車徒歩13分</t>
    <rPh sb="0" eb="2">
      <t>セイブ</t>
    </rPh>
    <rPh sb="2" eb="4">
      <t>チチブ</t>
    </rPh>
    <rPh sb="4" eb="5">
      <t>エキ</t>
    </rPh>
    <rPh sb="7" eb="8">
      <t>ウエ</t>
    </rPh>
    <rPh sb="8" eb="10">
      <t>ノザワ</t>
    </rPh>
    <rPh sb="10" eb="11">
      <t>イ</t>
    </rPh>
    <rPh sb="15" eb="16">
      <t>ナガ</t>
    </rPh>
    <rPh sb="16" eb="17">
      <t>ワカ</t>
    </rPh>
    <rPh sb="17" eb="19">
      <t>バンバ</t>
    </rPh>
    <rPh sb="20" eb="22">
      <t>ゲシャ</t>
    </rPh>
    <rPh sb="22" eb="24">
      <t>トホ</t>
    </rPh>
    <rPh sb="26" eb="27">
      <t>フン</t>
    </rPh>
    <phoneticPr fontId="2"/>
  </si>
  <si>
    <t>錦町3-3-27</t>
    <rPh sb="0" eb="2">
      <t>ニシキチョウ</t>
    </rPh>
    <phoneticPr fontId="2"/>
  </si>
  <si>
    <t>335-0005</t>
    <phoneticPr fontId="2"/>
  </si>
  <si>
    <t>048-444-6647</t>
    <phoneticPr fontId="2"/>
  </si>
  <si>
    <t>京浜東北線蕨駅から蕨市コミュニティバス西ルート「社会福祉センター前」下車徒歩1分</t>
    <rPh sb="0" eb="2">
      <t>ケイヒン</t>
    </rPh>
    <rPh sb="2" eb="5">
      <t>トウホクセン</t>
    </rPh>
    <rPh sb="5" eb="7">
      <t>ワラビエキ</t>
    </rPh>
    <rPh sb="9" eb="11">
      <t>ワラビシ</t>
    </rPh>
    <rPh sb="19" eb="20">
      <t>ニシ</t>
    </rPh>
    <rPh sb="24" eb="28">
      <t>シャカイフクシ</t>
    </rPh>
    <rPh sb="32" eb="33">
      <t>マエ</t>
    </rPh>
    <rPh sb="34" eb="36">
      <t>ゲシャ</t>
    </rPh>
    <rPh sb="36" eb="38">
      <t>トホ</t>
    </rPh>
    <rPh sb="39" eb="40">
      <t>フン</t>
    </rPh>
    <phoneticPr fontId="2"/>
  </si>
  <si>
    <t>中丸10-54-2</t>
    <rPh sb="0" eb="2">
      <t>ナカマル</t>
    </rPh>
    <phoneticPr fontId="2"/>
  </si>
  <si>
    <t>364-0013</t>
    <phoneticPr fontId="2"/>
  </si>
  <si>
    <t>048-592-6260</t>
    <phoneticPr fontId="2"/>
  </si>
  <si>
    <t>○</t>
    <phoneticPr fontId="2"/>
  </si>
  <si>
    <t>高崎線北本駅から徒歩25分</t>
    <rPh sb="0" eb="2">
      <t>タカサキ</t>
    </rPh>
    <rPh sb="2" eb="3">
      <t>セン</t>
    </rPh>
    <rPh sb="3" eb="5">
      <t>キタモト</t>
    </rPh>
    <rPh sb="5" eb="6">
      <t>エキ</t>
    </rPh>
    <rPh sb="8" eb="10">
      <t>トホ</t>
    </rPh>
    <rPh sb="12" eb="13">
      <t>フン</t>
    </rPh>
    <phoneticPr fontId="2"/>
  </si>
  <si>
    <t>須加1738</t>
    <rPh sb="0" eb="2">
      <t>スガ</t>
    </rPh>
    <phoneticPr fontId="2"/>
  </si>
  <si>
    <t>秩父鉄道新郷駅下車タクシー5分</t>
    <rPh sb="0" eb="2">
      <t>チチブ</t>
    </rPh>
    <rPh sb="2" eb="4">
      <t>テツドウ</t>
    </rPh>
    <rPh sb="4" eb="6">
      <t>シンゴウ</t>
    </rPh>
    <rPh sb="6" eb="7">
      <t>エキ</t>
    </rPh>
    <rPh sb="7" eb="9">
      <t>ゲシャ</t>
    </rPh>
    <rPh sb="14" eb="15">
      <t>フン</t>
    </rPh>
    <phoneticPr fontId="2"/>
  </si>
  <si>
    <t>350-2213</t>
    <phoneticPr fontId="2"/>
  </si>
  <si>
    <t>049-287-3455</t>
    <phoneticPr fontId="2"/>
  </si>
  <si>
    <t>東武東上線坂戸駅より徒歩15分</t>
    <rPh sb="0" eb="2">
      <t>トウブ</t>
    </rPh>
    <rPh sb="2" eb="4">
      <t>トウジョウ</t>
    </rPh>
    <rPh sb="4" eb="5">
      <t>セン</t>
    </rPh>
    <rPh sb="5" eb="7">
      <t>サカド</t>
    </rPh>
    <rPh sb="7" eb="8">
      <t>エキ</t>
    </rPh>
    <rPh sb="10" eb="12">
      <t>トホ</t>
    </rPh>
    <rPh sb="14" eb="15">
      <t>フン</t>
    </rPh>
    <phoneticPr fontId="2"/>
  </si>
  <si>
    <t>048-578-1011</t>
    <phoneticPr fontId="2"/>
  </si>
  <si>
    <t>長在家1675</t>
    <rPh sb="0" eb="1">
      <t>ナガ</t>
    </rPh>
    <rPh sb="1" eb="3">
      <t>ザイケ</t>
    </rPh>
    <phoneticPr fontId="2"/>
  </si>
  <si>
    <t>369-1101</t>
    <phoneticPr fontId="2"/>
  </si>
  <si>
    <t>秩父鉄道明戸駅下車徒歩16分</t>
    <rPh sb="0" eb="2">
      <t>チチブ</t>
    </rPh>
    <rPh sb="2" eb="4">
      <t>テツドウ</t>
    </rPh>
    <rPh sb="4" eb="6">
      <t>アケド</t>
    </rPh>
    <rPh sb="6" eb="7">
      <t>エキ</t>
    </rPh>
    <rPh sb="7" eb="9">
      <t>ゲシャ</t>
    </rPh>
    <rPh sb="9" eb="11">
      <t>トホ</t>
    </rPh>
    <rPh sb="13" eb="14">
      <t>プン</t>
    </rPh>
    <phoneticPr fontId="2"/>
  </si>
  <si>
    <t>上尾市</t>
  </si>
  <si>
    <t>上尾村543-2</t>
  </si>
  <si>
    <t>362-0013</t>
  </si>
  <si>
    <t>新座3-3-20-105</t>
    <rPh sb="0" eb="2">
      <t>ニイザ</t>
    </rPh>
    <phoneticPr fontId="2"/>
  </si>
  <si>
    <t>352-0006</t>
    <phoneticPr fontId="2"/>
  </si>
  <si>
    <t>東武東上線志木駅から新座団地行バス「新座団地」下車徒歩1分</t>
    <rPh sb="0" eb="2">
      <t>トウブ</t>
    </rPh>
    <rPh sb="2" eb="4">
      <t>トウジョウ</t>
    </rPh>
    <rPh sb="4" eb="5">
      <t>セン</t>
    </rPh>
    <rPh sb="5" eb="7">
      <t>シキ</t>
    </rPh>
    <rPh sb="7" eb="8">
      <t>エキ</t>
    </rPh>
    <rPh sb="10" eb="12">
      <t>ニイザ</t>
    </rPh>
    <rPh sb="12" eb="14">
      <t>ダンチ</t>
    </rPh>
    <rPh sb="14" eb="15">
      <t>イ</t>
    </rPh>
    <rPh sb="18" eb="20">
      <t>ニイザ</t>
    </rPh>
    <rPh sb="20" eb="22">
      <t>ダンチ</t>
    </rPh>
    <rPh sb="23" eb="25">
      <t>ゲシャ</t>
    </rPh>
    <rPh sb="25" eb="27">
      <t>トホ</t>
    </rPh>
    <rPh sb="28" eb="29">
      <t>フン</t>
    </rPh>
    <phoneticPr fontId="2"/>
  </si>
  <si>
    <t>高崎線桶川駅から市内循環バス「いずみの学園前」下車徒歩2分</t>
    <rPh sb="0" eb="2">
      <t>タカサキ</t>
    </rPh>
    <rPh sb="2" eb="3">
      <t>セン</t>
    </rPh>
    <rPh sb="3" eb="5">
      <t>オケガワ</t>
    </rPh>
    <rPh sb="5" eb="6">
      <t>エキ</t>
    </rPh>
    <rPh sb="8" eb="10">
      <t>シナイ</t>
    </rPh>
    <rPh sb="10" eb="12">
      <t>ジュンカン</t>
    </rPh>
    <rPh sb="19" eb="21">
      <t>ガクエン</t>
    </rPh>
    <rPh sb="21" eb="22">
      <t>マエ</t>
    </rPh>
    <rPh sb="23" eb="25">
      <t>ゲシャ</t>
    </rPh>
    <rPh sb="25" eb="27">
      <t>トホ</t>
    </rPh>
    <rPh sb="28" eb="29">
      <t>フン</t>
    </rPh>
    <phoneticPr fontId="2"/>
  </si>
  <si>
    <t>北峰大河原8-7</t>
    <rPh sb="0" eb="2">
      <t>キタミネ</t>
    </rPh>
    <rPh sb="2" eb="5">
      <t>オオガワラ</t>
    </rPh>
    <phoneticPr fontId="2"/>
  </si>
  <si>
    <t>350-0258</t>
    <phoneticPr fontId="2"/>
  </si>
  <si>
    <t>049-298-8316</t>
    <phoneticPr fontId="2"/>
  </si>
  <si>
    <t>049-298-8317</t>
    <phoneticPr fontId="2"/>
  </si>
  <si>
    <t>東武東上線坂戸駅から大橋行バス「小山」下車徒歩2分</t>
    <rPh sb="0" eb="2">
      <t>トウブ</t>
    </rPh>
    <rPh sb="2" eb="4">
      <t>トウジョウ</t>
    </rPh>
    <rPh sb="4" eb="5">
      <t>セン</t>
    </rPh>
    <rPh sb="5" eb="7">
      <t>サカド</t>
    </rPh>
    <rPh sb="7" eb="8">
      <t>エキ</t>
    </rPh>
    <rPh sb="10" eb="12">
      <t>オオハシ</t>
    </rPh>
    <rPh sb="12" eb="13">
      <t>イ</t>
    </rPh>
    <rPh sb="16" eb="18">
      <t>コヤマ</t>
    </rPh>
    <rPh sb="19" eb="21">
      <t>ゲシャ</t>
    </rPh>
    <rPh sb="21" eb="23">
      <t>トホ</t>
    </rPh>
    <rPh sb="24" eb="25">
      <t>フン</t>
    </rPh>
    <phoneticPr fontId="2"/>
  </si>
  <si>
    <t>048-424-3199</t>
    <phoneticPr fontId="2"/>
  </si>
  <si>
    <t>(福)清風会</t>
    <rPh sb="0" eb="3">
      <t>フク</t>
    </rPh>
    <rPh sb="3" eb="5">
      <t>セイフウ</t>
    </rPh>
    <rPh sb="5" eb="6">
      <t>カイ</t>
    </rPh>
    <phoneticPr fontId="2"/>
  </si>
  <si>
    <t>福祉医療センター太陽の園</t>
    <rPh sb="0" eb="2">
      <t>フクシ</t>
    </rPh>
    <rPh sb="2" eb="4">
      <t>イリョウ</t>
    </rPh>
    <rPh sb="8" eb="10">
      <t>タイヨウ</t>
    </rPh>
    <rPh sb="11" eb="12">
      <t>ソノ</t>
    </rPh>
    <phoneticPr fontId="2"/>
  </si>
  <si>
    <t>津田1855-1</t>
    <rPh sb="0" eb="2">
      <t>ツダ</t>
    </rPh>
    <phoneticPr fontId="2"/>
  </si>
  <si>
    <t>360-0101</t>
    <phoneticPr fontId="2"/>
  </si>
  <si>
    <t>0493-39-2851</t>
    <phoneticPr fontId="2"/>
  </si>
  <si>
    <t>0493-39-2247</t>
    <phoneticPr fontId="2"/>
  </si>
  <si>
    <t>○</t>
    <phoneticPr fontId="2"/>
  </si>
  <si>
    <t>(福)東埼玉</t>
    <rPh sb="0" eb="3">
      <t>フク</t>
    </rPh>
    <rPh sb="3" eb="4">
      <t>ヒガシ</t>
    </rPh>
    <rPh sb="4" eb="6">
      <t>サイタマ</t>
    </rPh>
    <phoneticPr fontId="2"/>
  </si>
  <si>
    <t>北葛飾郡松伏町</t>
    <rPh sb="0" eb="4">
      <t>キタカツシカグン</t>
    </rPh>
    <rPh sb="4" eb="7">
      <t>マツブシマチ</t>
    </rPh>
    <phoneticPr fontId="2"/>
  </si>
  <si>
    <t>下赤岩222</t>
    <rPh sb="0" eb="1">
      <t>シタ</t>
    </rPh>
    <rPh sb="1" eb="2">
      <t>アカ</t>
    </rPh>
    <rPh sb="2" eb="3">
      <t>イワ</t>
    </rPh>
    <phoneticPr fontId="2"/>
  </si>
  <si>
    <t>343-0116</t>
    <phoneticPr fontId="2"/>
  </si>
  <si>
    <t>048-992-2701</t>
    <phoneticPr fontId="2"/>
  </si>
  <si>
    <t>048-992-2702</t>
    <phoneticPr fontId="2"/>
  </si>
  <si>
    <t>中川の郷療育センター</t>
    <rPh sb="0" eb="2">
      <t>ナカガワ</t>
    </rPh>
    <rPh sb="3" eb="4">
      <t>サト</t>
    </rPh>
    <rPh sb="4" eb="5">
      <t>リョウ</t>
    </rPh>
    <rPh sb="5" eb="6">
      <t>イク</t>
    </rPh>
    <phoneticPr fontId="2"/>
  </si>
  <si>
    <t>光の家療育センター</t>
    <rPh sb="0" eb="1">
      <t>ヒカリ</t>
    </rPh>
    <rPh sb="2" eb="3">
      <t>イエ</t>
    </rPh>
    <rPh sb="3" eb="4">
      <t>リョウ</t>
    </rPh>
    <rPh sb="4" eb="5">
      <t>イク</t>
    </rPh>
    <phoneticPr fontId="2"/>
  </si>
  <si>
    <t>小田谷瀬田162</t>
    <rPh sb="0" eb="1">
      <t>チイ</t>
    </rPh>
    <rPh sb="1" eb="2">
      <t>タ</t>
    </rPh>
    <rPh sb="2" eb="3">
      <t>タニ</t>
    </rPh>
    <rPh sb="3" eb="5">
      <t>セダ</t>
    </rPh>
    <phoneticPr fontId="2"/>
  </si>
  <si>
    <t>350-0446</t>
    <phoneticPr fontId="2"/>
  </si>
  <si>
    <t>049-276-1357</t>
    <phoneticPr fontId="2"/>
  </si>
  <si>
    <t>049-295-5103</t>
    <phoneticPr fontId="2"/>
  </si>
  <si>
    <t>(福)埼玉療育友の会</t>
    <rPh sb="0" eb="3">
      <t>フク</t>
    </rPh>
    <rPh sb="3" eb="5">
      <t>サイタマ</t>
    </rPh>
    <rPh sb="5" eb="6">
      <t>リョウ</t>
    </rPh>
    <rPh sb="6" eb="7">
      <t>イク</t>
    </rPh>
    <rPh sb="7" eb="8">
      <t>トモ</t>
    </rPh>
    <rPh sb="9" eb="10">
      <t>カイ</t>
    </rPh>
    <phoneticPr fontId="2"/>
  </si>
  <si>
    <t>藤田179-1</t>
    <rPh sb="0" eb="2">
      <t>フジタ</t>
    </rPh>
    <phoneticPr fontId="2"/>
  </si>
  <si>
    <t>369-1204</t>
    <phoneticPr fontId="2"/>
  </si>
  <si>
    <t>048-581-0351</t>
    <phoneticPr fontId="2"/>
  </si>
  <si>
    <t>048-581-9677</t>
    <phoneticPr fontId="2"/>
  </si>
  <si>
    <t>(福)育心会</t>
    <rPh sb="0" eb="3">
      <t>フク</t>
    </rPh>
    <rPh sb="3" eb="4">
      <t>イク</t>
    </rPh>
    <rPh sb="4" eb="5">
      <t>シン</t>
    </rPh>
    <rPh sb="5" eb="6">
      <t>カイ</t>
    </rPh>
    <phoneticPr fontId="2"/>
  </si>
  <si>
    <t>育心寮</t>
    <rPh sb="0" eb="1">
      <t>イク</t>
    </rPh>
    <rPh sb="1" eb="3">
      <t>シンリョウ</t>
    </rPh>
    <phoneticPr fontId="2"/>
  </si>
  <si>
    <t>市場1057</t>
    <rPh sb="0" eb="2">
      <t>イチバ</t>
    </rPh>
    <phoneticPr fontId="2"/>
  </si>
  <si>
    <t>350-0434</t>
    <phoneticPr fontId="2"/>
  </si>
  <si>
    <t>049-294-3331</t>
    <phoneticPr fontId="2"/>
  </si>
  <si>
    <t>049-295-8424</t>
    <phoneticPr fontId="2"/>
  </si>
  <si>
    <t>348-8530</t>
    <phoneticPr fontId="2"/>
  </si>
  <si>
    <t>(福)相思会</t>
    <rPh sb="0" eb="3">
      <t>フク</t>
    </rPh>
    <rPh sb="3" eb="6">
      <t>ソウシカイ</t>
    </rPh>
    <phoneticPr fontId="2"/>
  </si>
  <si>
    <t>埼玉中央学園</t>
    <rPh sb="0" eb="2">
      <t>サイタマ</t>
    </rPh>
    <rPh sb="2" eb="4">
      <t>チュウオウ</t>
    </rPh>
    <rPh sb="4" eb="6">
      <t>ガクエン</t>
    </rPh>
    <phoneticPr fontId="2"/>
  </si>
  <si>
    <t>上種足894-1</t>
    <rPh sb="0" eb="1">
      <t>ウエ</t>
    </rPh>
    <rPh sb="1" eb="2">
      <t>タネ</t>
    </rPh>
    <rPh sb="2" eb="3">
      <t>アシ</t>
    </rPh>
    <phoneticPr fontId="2"/>
  </si>
  <si>
    <t>347-0115</t>
    <phoneticPr fontId="2"/>
  </si>
  <si>
    <t>0480-73-1969</t>
    <phoneticPr fontId="2"/>
  </si>
  <si>
    <t>0480-73-3995</t>
    <phoneticPr fontId="2"/>
  </si>
  <si>
    <t>関口150-3</t>
    <phoneticPr fontId="2"/>
  </si>
  <si>
    <t>(福)むさしの福祉会</t>
    <rPh sb="0" eb="3">
      <t>フク</t>
    </rPh>
    <rPh sb="7" eb="10">
      <t>フクシカイ</t>
    </rPh>
    <phoneticPr fontId="2"/>
  </si>
  <si>
    <t>0494-75-4145</t>
    <phoneticPr fontId="2"/>
  </si>
  <si>
    <t>草加市・(福)草加市社会福祉事業団</t>
    <rPh sb="0" eb="3">
      <t>ソウカシ</t>
    </rPh>
    <rPh sb="4" eb="7">
      <t>フク</t>
    </rPh>
    <rPh sb="7" eb="10">
      <t>ソウカシ</t>
    </rPh>
    <rPh sb="10" eb="14">
      <t>シャカイフクシ</t>
    </rPh>
    <rPh sb="14" eb="17">
      <t>ジギョウダン</t>
    </rPh>
    <phoneticPr fontId="2"/>
  </si>
  <si>
    <t>そめや共同作業所</t>
    <rPh sb="3" eb="5">
      <t>キョウドウ</t>
    </rPh>
    <rPh sb="5" eb="7">
      <t>サギョウ</t>
    </rPh>
    <rPh sb="7" eb="8">
      <t>ショ</t>
    </rPh>
    <phoneticPr fontId="2"/>
  </si>
  <si>
    <t>あざみ共同作業所</t>
    <rPh sb="3" eb="5">
      <t>キョウドウ</t>
    </rPh>
    <rPh sb="5" eb="7">
      <t>サギョウ</t>
    </rPh>
    <rPh sb="7" eb="8">
      <t>ショ</t>
    </rPh>
    <phoneticPr fontId="2"/>
  </si>
  <si>
    <t>きりしき共同作業所</t>
    <rPh sb="4" eb="6">
      <t>キョウドウ</t>
    </rPh>
    <rPh sb="6" eb="8">
      <t>サギョウ</t>
    </rPh>
    <rPh sb="8" eb="9">
      <t>ショ</t>
    </rPh>
    <phoneticPr fontId="2"/>
  </si>
  <si>
    <t>大宮太陽の家</t>
    <rPh sb="0" eb="2">
      <t>オオミヤ</t>
    </rPh>
    <rPh sb="2" eb="4">
      <t>タイヨウ</t>
    </rPh>
    <rPh sb="5" eb="6">
      <t>イエ</t>
    </rPh>
    <phoneticPr fontId="2"/>
  </si>
  <si>
    <t>あけぼの作業所</t>
    <rPh sb="4" eb="6">
      <t>サギョウ</t>
    </rPh>
    <rPh sb="6" eb="7">
      <t>ショ</t>
    </rPh>
    <phoneticPr fontId="2"/>
  </si>
  <si>
    <t>048-826-7170</t>
    <phoneticPr fontId="2"/>
  </si>
  <si>
    <t>048-826-7171</t>
    <phoneticPr fontId="2"/>
  </si>
  <si>
    <t>グリーンフィンガーズ</t>
    <phoneticPr fontId="2"/>
  </si>
  <si>
    <t>048-823-7772</t>
    <phoneticPr fontId="2"/>
  </si>
  <si>
    <t>○</t>
    <phoneticPr fontId="2"/>
  </si>
  <si>
    <t>(福)鴻沼福祉会</t>
    <rPh sb="0" eb="3">
      <t>フク</t>
    </rPh>
    <rPh sb="3" eb="4">
      <t>コウ</t>
    </rPh>
    <rPh sb="4" eb="5">
      <t>ヌマ</t>
    </rPh>
    <rPh sb="5" eb="7">
      <t>フクシ</t>
    </rPh>
    <rPh sb="7" eb="8">
      <t>カイ</t>
    </rPh>
    <phoneticPr fontId="2"/>
  </si>
  <si>
    <t>(福)みぬま福祉会</t>
    <rPh sb="0" eb="3">
      <t>フク</t>
    </rPh>
    <rPh sb="6" eb="8">
      <t>フクシ</t>
    </rPh>
    <rPh sb="8" eb="9">
      <t>カイ</t>
    </rPh>
    <phoneticPr fontId="2"/>
  </si>
  <si>
    <t>(特非)あけぼの会</t>
    <rPh sb="1" eb="3">
      <t>トクヒ</t>
    </rPh>
    <rPh sb="8" eb="9">
      <t>カイ</t>
    </rPh>
    <phoneticPr fontId="2"/>
  </si>
  <si>
    <t>大宮駅から国際興業バス「染谷中」下車 徒歩２分</t>
    <rPh sb="12" eb="14">
      <t>ソメヤ</t>
    </rPh>
    <rPh sb="14" eb="15">
      <t>ナカ</t>
    </rPh>
    <phoneticPr fontId="2"/>
  </si>
  <si>
    <t xml:space="preserve">大宮駅から西武バス「円阿弥」下車徒歩２分 </t>
    <rPh sb="5" eb="7">
      <t>セイブ</t>
    </rPh>
    <phoneticPr fontId="2"/>
  </si>
  <si>
    <t xml:space="preserve">京浜東北線南浦和駅下車徒歩１５分 </t>
    <rPh sb="0" eb="2">
      <t>ケイヒン</t>
    </rPh>
    <rPh sb="2" eb="4">
      <t>トウホク</t>
    </rPh>
    <rPh sb="4" eb="5">
      <t>セン</t>
    </rPh>
    <rPh sb="5" eb="8">
      <t>ミナミウラワ</t>
    </rPh>
    <phoneticPr fontId="2"/>
  </si>
  <si>
    <t xml:space="preserve">京浜東北線北浦和駅下車徒歩５分 </t>
    <rPh sb="0" eb="2">
      <t>ケイヒン</t>
    </rPh>
    <rPh sb="2" eb="4">
      <t>トウホク</t>
    </rPh>
    <rPh sb="4" eb="5">
      <t>セン</t>
    </rPh>
    <rPh sb="5" eb="8">
      <t>キタウラワ</t>
    </rPh>
    <rPh sb="8" eb="9">
      <t>エキ</t>
    </rPh>
    <phoneticPr fontId="2"/>
  </si>
  <si>
    <t>見沼区染谷2-145</t>
    <rPh sb="0" eb="3">
      <t>ミヌマク</t>
    </rPh>
    <rPh sb="3" eb="5">
      <t>ソメヤ</t>
    </rPh>
    <phoneticPr fontId="2"/>
  </si>
  <si>
    <t>中央区円阿弥1-3-15鴻沼福祉会館２階</t>
    <rPh sb="0" eb="3">
      <t>チュウオウク</t>
    </rPh>
    <rPh sb="3" eb="6">
      <t>エンナミ</t>
    </rPh>
    <rPh sb="12" eb="18">
      <t>コウヌマカン</t>
    </rPh>
    <rPh sb="19" eb="20">
      <t>カイ</t>
    </rPh>
    <phoneticPr fontId="2"/>
  </si>
  <si>
    <t>浦和区常盤9-34-10松村第二ビル２F</t>
    <rPh sb="0" eb="3">
      <t>ウラワク</t>
    </rPh>
    <rPh sb="3" eb="5">
      <t>トキワ</t>
    </rPh>
    <rPh sb="12" eb="16">
      <t>マツムラダイ２</t>
    </rPh>
    <phoneticPr fontId="2"/>
  </si>
  <si>
    <t>浦和区木崎3-2-16</t>
    <rPh sb="0" eb="2">
      <t>ウラワ</t>
    </rPh>
    <rPh sb="2" eb="3">
      <t>ク</t>
    </rPh>
    <rPh sb="3" eb="5">
      <t>キザキ</t>
    </rPh>
    <phoneticPr fontId="2"/>
  </si>
  <si>
    <t>330-0061</t>
    <phoneticPr fontId="2"/>
  </si>
  <si>
    <t>330-0042</t>
    <phoneticPr fontId="2"/>
  </si>
  <si>
    <t>(福)茶の花福祉会</t>
    <rPh sb="0" eb="3">
      <t>フク</t>
    </rPh>
    <rPh sb="3" eb="4">
      <t>チャ</t>
    </rPh>
    <rPh sb="5" eb="6">
      <t>ハナ</t>
    </rPh>
    <rPh sb="6" eb="9">
      <t>フクシカイ</t>
    </rPh>
    <phoneticPr fontId="2"/>
  </si>
  <si>
    <t>ほりがね大樹作業所</t>
    <rPh sb="4" eb="6">
      <t>タイジュ</t>
    </rPh>
    <rPh sb="6" eb="9">
      <t>サギョウショ</t>
    </rPh>
    <phoneticPr fontId="2"/>
  </si>
  <si>
    <t>堀兼969-1</t>
    <rPh sb="0" eb="2">
      <t>ホリガネ</t>
    </rPh>
    <phoneticPr fontId="2"/>
  </si>
  <si>
    <t>350-1312</t>
    <phoneticPr fontId="2"/>
  </si>
  <si>
    <t>04-2950-2941</t>
    <phoneticPr fontId="2"/>
  </si>
  <si>
    <t>04-2950-2220</t>
    <phoneticPr fontId="2"/>
  </si>
  <si>
    <t>西武新宿線新狭山駅から堀兼循環コース（右回り）バス「堀下」下車徒歩1分</t>
    <rPh sb="0" eb="2">
      <t>セイブ</t>
    </rPh>
    <rPh sb="2" eb="4">
      <t>シンジュク</t>
    </rPh>
    <rPh sb="4" eb="5">
      <t>セン</t>
    </rPh>
    <rPh sb="5" eb="8">
      <t>シンサヤマ</t>
    </rPh>
    <rPh sb="8" eb="9">
      <t>エキ</t>
    </rPh>
    <rPh sb="11" eb="12">
      <t>ホリ</t>
    </rPh>
    <rPh sb="12" eb="13">
      <t>カ</t>
    </rPh>
    <rPh sb="13" eb="15">
      <t>ジュンカン</t>
    </rPh>
    <rPh sb="19" eb="21">
      <t>ミギマワ</t>
    </rPh>
    <rPh sb="26" eb="27">
      <t>ホリ</t>
    </rPh>
    <rPh sb="27" eb="28">
      <t>シタ</t>
    </rPh>
    <rPh sb="29" eb="31">
      <t>ゲシャ</t>
    </rPh>
    <rPh sb="31" eb="33">
      <t>トホ</t>
    </rPh>
    <rPh sb="34" eb="35">
      <t>フン</t>
    </rPh>
    <phoneticPr fontId="2"/>
  </si>
  <si>
    <t>0480-31-7824</t>
    <phoneticPr fontId="2"/>
  </si>
  <si>
    <t>048-793-4000</t>
    <phoneticPr fontId="2"/>
  </si>
  <si>
    <t>（特非）あゆみ</t>
    <rPh sb="1" eb="2">
      <t>トク</t>
    </rPh>
    <rPh sb="2" eb="3">
      <t>ヒ</t>
    </rPh>
    <phoneticPr fontId="2"/>
  </si>
  <si>
    <t>あゆみ工房</t>
    <rPh sb="3" eb="5">
      <t>コウボウ</t>
    </rPh>
    <phoneticPr fontId="2"/>
  </si>
  <si>
    <t>石田本郷835-1</t>
    <rPh sb="0" eb="2">
      <t>イシダ</t>
    </rPh>
    <rPh sb="2" eb="4">
      <t>ホンゴウ</t>
    </rPh>
    <phoneticPr fontId="2"/>
  </si>
  <si>
    <t>350-0835</t>
    <phoneticPr fontId="2"/>
  </si>
  <si>
    <t>049-226-6562</t>
    <phoneticPr fontId="2"/>
  </si>
  <si>
    <t>○</t>
    <phoneticPr fontId="2"/>
  </si>
  <si>
    <t>東武東上線川越駅から川越運動公園行バス「埼玉医大前」下車徒歩１０分</t>
  </si>
  <si>
    <t>爪田ヶ谷52-3</t>
    <phoneticPr fontId="2"/>
  </si>
  <si>
    <t>白岡805-2</t>
    <phoneticPr fontId="2"/>
  </si>
  <si>
    <t>349-0218</t>
    <phoneticPr fontId="2"/>
  </si>
  <si>
    <t>0480-92-4968</t>
    <phoneticPr fontId="2"/>
  </si>
  <si>
    <t>○</t>
    <phoneticPr fontId="2"/>
  </si>
  <si>
    <t>349-0222</t>
    <phoneticPr fontId="2"/>
  </si>
  <si>
    <t>0480-92-7940</t>
    <phoneticPr fontId="2"/>
  </si>
  <si>
    <t>○</t>
    <phoneticPr fontId="2"/>
  </si>
  <si>
    <t>(福)健翔会</t>
    <rPh sb="1" eb="2">
      <t>フク</t>
    </rPh>
    <rPh sb="3" eb="4">
      <t>ケン</t>
    </rPh>
    <rPh sb="4" eb="5">
      <t>ショウ</t>
    </rPh>
    <rPh sb="5" eb="6">
      <t>カイ</t>
    </rPh>
    <phoneticPr fontId="2"/>
  </si>
  <si>
    <t>小見1144-2</t>
    <rPh sb="0" eb="2">
      <t>コミ</t>
    </rPh>
    <phoneticPr fontId="2"/>
  </si>
  <si>
    <t>361-0007</t>
    <phoneticPr fontId="2"/>
  </si>
  <si>
    <t>048-555-6166</t>
    <phoneticPr fontId="2"/>
  </si>
  <si>
    <t>048-501-7543</t>
    <phoneticPr fontId="2"/>
  </si>
  <si>
    <t>○</t>
    <phoneticPr fontId="2"/>
  </si>
  <si>
    <t>秩父鉄道東行田駅下車徒歩20分</t>
    <rPh sb="0" eb="2">
      <t>チチブ</t>
    </rPh>
    <rPh sb="2" eb="4">
      <t>テツドウ</t>
    </rPh>
    <rPh sb="4" eb="7">
      <t>ヒガシギョウダ</t>
    </rPh>
    <rPh sb="7" eb="8">
      <t>エキ</t>
    </rPh>
    <rPh sb="8" eb="10">
      <t>ゲシャ</t>
    </rPh>
    <rPh sb="10" eb="12">
      <t>トホ</t>
    </rPh>
    <rPh sb="14" eb="15">
      <t>フン</t>
    </rPh>
    <phoneticPr fontId="2"/>
  </si>
  <si>
    <t>(特非)ホームベース</t>
    <rPh sb="1" eb="3">
      <t>トクヒ</t>
    </rPh>
    <phoneticPr fontId="2"/>
  </si>
  <si>
    <t>さいか上尾</t>
    <rPh sb="3" eb="5">
      <t>アゲオ</t>
    </rPh>
    <phoneticPr fontId="2"/>
  </si>
  <si>
    <t>八潮市障がい者福祉施設わかくさ</t>
    <rPh sb="0" eb="3">
      <t>ヤシオシ</t>
    </rPh>
    <rPh sb="3" eb="4">
      <t>ショウ</t>
    </rPh>
    <rPh sb="6" eb="7">
      <t>シャ</t>
    </rPh>
    <rPh sb="7" eb="9">
      <t>フクシ</t>
    </rPh>
    <rPh sb="9" eb="11">
      <t>シセツ</t>
    </rPh>
    <phoneticPr fontId="2"/>
  </si>
  <si>
    <t>南川崎826-3</t>
    <rPh sb="0" eb="3">
      <t>ミナミカワサキ</t>
    </rPh>
    <phoneticPr fontId="2"/>
  </si>
  <si>
    <t>340-0814</t>
    <phoneticPr fontId="2"/>
  </si>
  <si>
    <t>048-997-7189</t>
    <phoneticPr fontId="2"/>
  </si>
  <si>
    <t>つくばエクスプレス八潮駅から市コミュニティバス・北ルート「わかくさ」下車徒歩1分</t>
    <rPh sb="9" eb="11">
      <t>ヤシオ</t>
    </rPh>
    <rPh sb="11" eb="12">
      <t>エキ</t>
    </rPh>
    <rPh sb="14" eb="15">
      <t>シ</t>
    </rPh>
    <rPh sb="24" eb="25">
      <t>キタ</t>
    </rPh>
    <rPh sb="34" eb="36">
      <t>ゲシャ</t>
    </rPh>
    <rPh sb="36" eb="38">
      <t>トホ</t>
    </rPh>
    <rPh sb="39" eb="40">
      <t>フン</t>
    </rPh>
    <phoneticPr fontId="2"/>
  </si>
  <si>
    <t>さいどの家</t>
    <rPh sb="4" eb="5">
      <t>イエ</t>
    </rPh>
    <phoneticPr fontId="2"/>
  </si>
  <si>
    <t>048-826-5507</t>
    <phoneticPr fontId="2"/>
  </si>
  <si>
    <t>048-826-5508</t>
    <phoneticPr fontId="2"/>
  </si>
  <si>
    <t>緑区道祖土4-33-29</t>
    <phoneticPr fontId="2"/>
  </si>
  <si>
    <t>336-0907</t>
    <phoneticPr fontId="2"/>
  </si>
  <si>
    <t>久喜市あゆみの郷</t>
    <rPh sb="0" eb="3">
      <t>クキシ</t>
    </rPh>
    <rPh sb="7" eb="8">
      <t>サト</t>
    </rPh>
    <phoneticPr fontId="2"/>
  </si>
  <si>
    <t>東大輪2273-1</t>
    <rPh sb="0" eb="1">
      <t>ヒガシ</t>
    </rPh>
    <rPh sb="1" eb="3">
      <t>タイリン</t>
    </rPh>
    <phoneticPr fontId="2"/>
  </si>
  <si>
    <t>340-0202</t>
    <phoneticPr fontId="2"/>
  </si>
  <si>
    <t>0480-58-8956</t>
    <phoneticPr fontId="2"/>
  </si>
  <si>
    <t>東武伊勢崎線鷲宮駅から徒歩20分</t>
    <rPh sb="0" eb="2">
      <t>トウブ</t>
    </rPh>
    <rPh sb="2" eb="5">
      <t>イセサキ</t>
    </rPh>
    <rPh sb="5" eb="6">
      <t>セン</t>
    </rPh>
    <rPh sb="6" eb="8">
      <t>ワシノミヤ</t>
    </rPh>
    <rPh sb="8" eb="9">
      <t>エキ</t>
    </rPh>
    <rPh sb="11" eb="13">
      <t>トホ</t>
    </rPh>
    <rPh sb="15" eb="16">
      <t>フン</t>
    </rPh>
    <phoneticPr fontId="2"/>
  </si>
  <si>
    <t>宇都宮線東鷲宮駅から徒歩20分</t>
    <rPh sb="0" eb="3">
      <t>ウツノミヤ</t>
    </rPh>
    <rPh sb="3" eb="4">
      <t>セン</t>
    </rPh>
    <rPh sb="4" eb="7">
      <t>ヒガシワシノミヤ</t>
    </rPh>
    <rPh sb="7" eb="8">
      <t>エキ</t>
    </rPh>
    <rPh sb="10" eb="12">
      <t>トホ</t>
    </rPh>
    <rPh sb="14" eb="15">
      <t>フン</t>
    </rPh>
    <phoneticPr fontId="2"/>
  </si>
  <si>
    <t>048-471-4310</t>
    <phoneticPr fontId="2"/>
  </si>
  <si>
    <t>○</t>
    <phoneticPr fontId="2"/>
  </si>
  <si>
    <t>(株)風</t>
    <rPh sb="0" eb="3">
      <t>カブ</t>
    </rPh>
    <rPh sb="3" eb="4">
      <t>カゼ</t>
    </rPh>
    <phoneticPr fontId="2"/>
  </si>
  <si>
    <t>白岡市</t>
    <rPh sb="0" eb="2">
      <t>シラオカ</t>
    </rPh>
    <rPh sb="2" eb="3">
      <t>シ</t>
    </rPh>
    <phoneticPr fontId="2"/>
  </si>
  <si>
    <t>白岡市立東ありの実館</t>
    <rPh sb="0" eb="2">
      <t>シラオカ</t>
    </rPh>
    <rPh sb="2" eb="3">
      <t>シ</t>
    </rPh>
    <rPh sb="3" eb="4">
      <t>リツ</t>
    </rPh>
    <rPh sb="4" eb="5">
      <t>ヒガシ</t>
    </rPh>
    <rPh sb="8" eb="9">
      <t>ミ</t>
    </rPh>
    <rPh sb="9" eb="10">
      <t>カン</t>
    </rPh>
    <phoneticPr fontId="2"/>
  </si>
  <si>
    <t>白岡市立ありの実館</t>
    <rPh sb="0" eb="2">
      <t>シラオカ</t>
    </rPh>
    <rPh sb="2" eb="3">
      <t>シ</t>
    </rPh>
    <rPh sb="3" eb="4">
      <t>リツ</t>
    </rPh>
    <rPh sb="7" eb="8">
      <t>ミ</t>
    </rPh>
    <rPh sb="8" eb="9">
      <t>カン</t>
    </rPh>
    <phoneticPr fontId="2"/>
  </si>
  <si>
    <t>白岡市・(福)白岡市社会福祉協議会</t>
    <rPh sb="0" eb="2">
      <t>シラオカ</t>
    </rPh>
    <rPh sb="2" eb="3">
      <t>シ</t>
    </rPh>
    <rPh sb="4" eb="7">
      <t>フク</t>
    </rPh>
    <rPh sb="7" eb="9">
      <t>シラオカ</t>
    </rPh>
    <rPh sb="9" eb="10">
      <t>シ</t>
    </rPh>
    <rPh sb="10" eb="14">
      <t>シャカイフクシ</t>
    </rPh>
    <rPh sb="14" eb="17">
      <t>キョウギカイ</t>
    </rPh>
    <phoneticPr fontId="2"/>
  </si>
  <si>
    <t>－</t>
    <phoneticPr fontId="2"/>
  </si>
  <si>
    <t>△</t>
  </si>
  <si>
    <t>織の音工房</t>
    <rPh sb="0" eb="1">
      <t>オリ</t>
    </rPh>
    <rPh sb="2" eb="3">
      <t>オト</t>
    </rPh>
    <rPh sb="3" eb="5">
      <t>コウボウ</t>
    </rPh>
    <phoneticPr fontId="2"/>
  </si>
  <si>
    <t>048-653-1355</t>
    <phoneticPr fontId="2"/>
  </si>
  <si>
    <t>高崎線宮原駅下車徒歩5分</t>
    <rPh sb="0" eb="2">
      <t>タカサキ</t>
    </rPh>
    <rPh sb="2" eb="3">
      <t>セン</t>
    </rPh>
    <rPh sb="3" eb="5">
      <t>ミヤハラ</t>
    </rPh>
    <rPh sb="5" eb="6">
      <t>エキ</t>
    </rPh>
    <rPh sb="6" eb="8">
      <t>ゲシャ</t>
    </rPh>
    <rPh sb="8" eb="10">
      <t>トホ</t>
    </rPh>
    <rPh sb="11" eb="12">
      <t>ブン</t>
    </rPh>
    <phoneticPr fontId="2"/>
  </si>
  <si>
    <t>北区宮原町3-473</t>
    <phoneticPr fontId="2"/>
  </si>
  <si>
    <t>ひびき</t>
    <phoneticPr fontId="2"/>
  </si>
  <si>
    <t>西武秩父線東飯能駅東口下車徒歩5分</t>
    <rPh sb="0" eb="2">
      <t>セイブ</t>
    </rPh>
    <rPh sb="2" eb="4">
      <t>チチブ</t>
    </rPh>
    <rPh sb="4" eb="5">
      <t>セン</t>
    </rPh>
    <rPh sb="5" eb="8">
      <t>ヒガシハンノウ</t>
    </rPh>
    <rPh sb="8" eb="9">
      <t>エキ</t>
    </rPh>
    <rPh sb="9" eb="11">
      <t>ヒガシグチ</t>
    </rPh>
    <rPh sb="11" eb="13">
      <t>ゲシャ</t>
    </rPh>
    <rPh sb="13" eb="15">
      <t>トホ</t>
    </rPh>
    <rPh sb="16" eb="17">
      <t>フン</t>
    </rPh>
    <phoneticPr fontId="2"/>
  </si>
  <si>
    <t>合計</t>
    <rPh sb="0" eb="2">
      <t>ゴウケイ</t>
    </rPh>
    <phoneticPr fontId="2"/>
  </si>
  <si>
    <t>○</t>
    <phoneticPr fontId="2"/>
  </si>
  <si>
    <t>ウェルビー航空公園駅前センター</t>
    <rPh sb="5" eb="7">
      <t>コウクウ</t>
    </rPh>
    <rPh sb="7" eb="9">
      <t>コウエン</t>
    </rPh>
    <rPh sb="9" eb="11">
      <t>エキマエ</t>
    </rPh>
    <phoneticPr fontId="2"/>
  </si>
  <si>
    <t>喜多町17-11
マッキンレービル1階</t>
    <phoneticPr fontId="2"/>
  </si>
  <si>
    <t>359-1113</t>
    <phoneticPr fontId="2"/>
  </si>
  <si>
    <t>04-2920-2323</t>
    <phoneticPr fontId="2"/>
  </si>
  <si>
    <t>04-2920-2324</t>
    <phoneticPr fontId="2"/>
  </si>
  <si>
    <t>西武新宿線航空公園駅下車徒歩1分</t>
    <rPh sb="0" eb="2">
      <t>セイブ</t>
    </rPh>
    <rPh sb="2" eb="4">
      <t>シンジュク</t>
    </rPh>
    <rPh sb="4" eb="5">
      <t>セン</t>
    </rPh>
    <rPh sb="5" eb="7">
      <t>コウクウ</t>
    </rPh>
    <rPh sb="7" eb="9">
      <t>コウエン</t>
    </rPh>
    <rPh sb="9" eb="10">
      <t>エキ</t>
    </rPh>
    <rPh sb="10" eb="12">
      <t>ゲシャ</t>
    </rPh>
    <rPh sb="12" eb="14">
      <t>トホ</t>
    </rPh>
    <rPh sb="15" eb="16">
      <t>フン</t>
    </rPh>
    <phoneticPr fontId="2"/>
  </si>
  <si>
    <t>ウェルビー(株)</t>
    <rPh sb="5" eb="8">
      <t>カブ</t>
    </rPh>
    <phoneticPr fontId="2"/>
  </si>
  <si>
    <t>ウェルビー新越谷駅前センター</t>
    <rPh sb="5" eb="8">
      <t>シンコシガヤ</t>
    </rPh>
    <rPh sb="8" eb="10">
      <t>エキマエ</t>
    </rPh>
    <phoneticPr fontId="2"/>
  </si>
  <si>
    <t>343-0845</t>
    <phoneticPr fontId="2"/>
  </si>
  <si>
    <t>048-990-5656</t>
  </si>
  <si>
    <t>048-990-5657</t>
    <phoneticPr fontId="2"/>
  </si>
  <si>
    <t>大宮区桜木町4-73-1桜木町志村ビル２F</t>
    <rPh sb="0" eb="3">
      <t>オオミヤク</t>
    </rPh>
    <rPh sb="3" eb="6">
      <t>サクラギチョウ</t>
    </rPh>
    <rPh sb="12" eb="15">
      <t>サクラギチョウ</t>
    </rPh>
    <rPh sb="15" eb="17">
      <t>シムラ</t>
    </rPh>
    <phoneticPr fontId="2"/>
  </si>
  <si>
    <t>330-0854</t>
    <phoneticPr fontId="2"/>
  </si>
  <si>
    <t>048-780-2807</t>
    <phoneticPr fontId="2"/>
  </si>
  <si>
    <t>048-780-2817</t>
    <phoneticPr fontId="2"/>
  </si>
  <si>
    <t>○</t>
    <phoneticPr fontId="2"/>
  </si>
  <si>
    <t>大宮駅下車徒歩8分</t>
    <rPh sb="0" eb="2">
      <t>オオミヤ</t>
    </rPh>
    <rPh sb="2" eb="3">
      <t>エキ</t>
    </rPh>
    <rPh sb="3" eb="5">
      <t>ゲシャ</t>
    </rPh>
    <rPh sb="5" eb="7">
      <t>トホ</t>
    </rPh>
    <rPh sb="8" eb="9">
      <t>フン</t>
    </rPh>
    <phoneticPr fontId="2"/>
  </si>
  <si>
    <t>久保田445</t>
    <rPh sb="0" eb="3">
      <t>クボタ</t>
    </rPh>
    <phoneticPr fontId="2"/>
  </si>
  <si>
    <t>0493-54-1443</t>
    <phoneticPr fontId="2"/>
  </si>
  <si>
    <t>0493-59-8708</t>
    <phoneticPr fontId="2"/>
  </si>
  <si>
    <t>○</t>
    <phoneticPr fontId="2"/>
  </si>
  <si>
    <t>東武東上線東松山駅から免許センター行バス｢カルソニックカンセイ｣下車徒歩5分</t>
    <rPh sb="0" eb="2">
      <t>トウブ</t>
    </rPh>
    <rPh sb="2" eb="4">
      <t>トウジョウ</t>
    </rPh>
    <rPh sb="4" eb="5">
      <t>セン</t>
    </rPh>
    <rPh sb="5" eb="8">
      <t>ヒガシマツヤマ</t>
    </rPh>
    <rPh sb="8" eb="9">
      <t>エキ</t>
    </rPh>
    <rPh sb="11" eb="13">
      <t>メンキョ</t>
    </rPh>
    <rPh sb="17" eb="18">
      <t>イ</t>
    </rPh>
    <rPh sb="32" eb="34">
      <t>ゲシャ</t>
    </rPh>
    <rPh sb="34" eb="36">
      <t>トホ</t>
    </rPh>
    <rPh sb="37" eb="38">
      <t>フン</t>
    </rPh>
    <phoneticPr fontId="2"/>
  </si>
  <si>
    <t>(特非)ケアサポートすずらん</t>
    <rPh sb="0" eb="4">
      <t>トクヒ</t>
    </rPh>
    <phoneticPr fontId="2"/>
  </si>
  <si>
    <t>キャンディ</t>
    <phoneticPr fontId="2"/>
  </si>
  <si>
    <t>小川939-10</t>
    <rPh sb="0" eb="2">
      <t>オガワ</t>
    </rPh>
    <phoneticPr fontId="2"/>
  </si>
  <si>
    <t>355-0321</t>
    <phoneticPr fontId="2"/>
  </si>
  <si>
    <t>0493-81-4817</t>
    <phoneticPr fontId="2"/>
  </si>
  <si>
    <t>0493-81-4819</t>
    <phoneticPr fontId="2"/>
  </si>
  <si>
    <t>東武東上線小川町駅から</t>
    <rPh sb="0" eb="2">
      <t>トウブ</t>
    </rPh>
    <rPh sb="2" eb="4">
      <t>トウジョウ</t>
    </rPh>
    <rPh sb="4" eb="5">
      <t>セン</t>
    </rPh>
    <rPh sb="5" eb="8">
      <t>オガワマチ</t>
    </rPh>
    <rPh sb="8" eb="9">
      <t>エキ</t>
    </rPh>
    <phoneticPr fontId="2"/>
  </si>
  <si>
    <t>(福)ルピナス会</t>
    <rPh sb="0" eb="3">
      <t>フク</t>
    </rPh>
    <phoneticPr fontId="2"/>
  </si>
  <si>
    <t>ルピナス鴻巣ホーム</t>
    <rPh sb="4" eb="6">
      <t>コウノス</t>
    </rPh>
    <phoneticPr fontId="2"/>
  </si>
  <si>
    <t>ステップ工房</t>
    <rPh sb="4" eb="6">
      <t>コウボウ</t>
    </rPh>
    <phoneticPr fontId="2"/>
  </si>
  <si>
    <t>就労継続支援Ａ型事業所　あかり</t>
    <rPh sb="0" eb="2">
      <t>シュウロウ</t>
    </rPh>
    <rPh sb="2" eb="4">
      <t>ケイゾク</t>
    </rPh>
    <rPh sb="4" eb="6">
      <t>シエン</t>
    </rPh>
    <rPh sb="7" eb="8">
      <t>ガタ</t>
    </rPh>
    <rPh sb="8" eb="11">
      <t>ジギョウショ</t>
    </rPh>
    <phoneticPr fontId="2"/>
  </si>
  <si>
    <t>048-973-2941</t>
    <phoneticPr fontId="2"/>
  </si>
  <si>
    <t>ギャレット</t>
    <phoneticPr fontId="2"/>
  </si>
  <si>
    <t>048-577-3658</t>
    <phoneticPr fontId="2"/>
  </si>
  <si>
    <t>かっちゃんの作業所</t>
    <rPh sb="6" eb="9">
      <t>サギョウショ</t>
    </rPh>
    <phoneticPr fontId="2"/>
  </si>
  <si>
    <t>049-290-3648</t>
    <phoneticPr fontId="2"/>
  </si>
  <si>
    <t>第２カウベル</t>
    <rPh sb="0" eb="1">
      <t>ダイ</t>
    </rPh>
    <phoneticPr fontId="2"/>
  </si>
  <si>
    <t>049-299-6943</t>
    <phoneticPr fontId="2"/>
  </si>
  <si>
    <t>(福)新座市障害者を守る会</t>
    <rPh sb="0" eb="3">
      <t>フク</t>
    </rPh>
    <rPh sb="3" eb="6">
      <t>ニイザシ</t>
    </rPh>
    <rPh sb="6" eb="9">
      <t>ショウガイシャ</t>
    </rPh>
    <rPh sb="10" eb="11">
      <t>マモ</t>
    </rPh>
    <rPh sb="12" eb="13">
      <t>カイ</t>
    </rPh>
    <phoneticPr fontId="2"/>
  </si>
  <si>
    <t>聖神学園</t>
    <rPh sb="0" eb="1">
      <t>セイ</t>
    </rPh>
    <rPh sb="1" eb="2">
      <t>カミ</t>
    </rPh>
    <rPh sb="2" eb="4">
      <t>ガクエン</t>
    </rPh>
    <phoneticPr fontId="2"/>
  </si>
  <si>
    <t>色えんぴつ</t>
    <rPh sb="0" eb="1">
      <t>イロ</t>
    </rPh>
    <phoneticPr fontId="2"/>
  </si>
  <si>
    <t>伊奈町（(福)伊奈町社会福祉協議会）</t>
    <rPh sb="0" eb="3">
      <t>イナマチ</t>
    </rPh>
    <rPh sb="4" eb="7">
      <t>フク</t>
    </rPh>
    <rPh sb="7" eb="10">
      <t>イナマチ</t>
    </rPh>
    <rPh sb="10" eb="14">
      <t>シャカイフクシ</t>
    </rPh>
    <rPh sb="14" eb="17">
      <t>キョウギカイ</t>
    </rPh>
    <phoneticPr fontId="2"/>
  </si>
  <si>
    <t>伊奈町障害福祉サービス事業所まつぼっくり</t>
    <rPh sb="0" eb="3">
      <t>イナマチ</t>
    </rPh>
    <rPh sb="3" eb="5">
      <t>ショウガイ</t>
    </rPh>
    <rPh sb="5" eb="7">
      <t>フクシ</t>
    </rPh>
    <rPh sb="11" eb="14">
      <t>ジギョウショ</t>
    </rPh>
    <phoneticPr fontId="2"/>
  </si>
  <si>
    <t>048-723-6575</t>
    <phoneticPr fontId="2"/>
  </si>
  <si>
    <t>(特非)たねまき</t>
    <rPh sb="0" eb="4">
      <t>トクヒ</t>
    </rPh>
    <phoneticPr fontId="2"/>
  </si>
  <si>
    <t>ワークショップ野の花</t>
    <rPh sb="7" eb="8">
      <t>ノ</t>
    </rPh>
    <rPh sb="9" eb="10">
      <t>ハナ</t>
    </rPh>
    <phoneticPr fontId="2"/>
  </si>
  <si>
    <t>0480-53-6630</t>
    <phoneticPr fontId="2"/>
  </si>
  <si>
    <t>北葛飾郡杉戸町</t>
    <rPh sb="0" eb="4">
      <t>キタカツシカグン</t>
    </rPh>
    <rPh sb="4" eb="7">
      <t>スギトマチ</t>
    </rPh>
    <phoneticPr fontId="2"/>
  </si>
  <si>
    <t>(特非)バオバブの木</t>
    <rPh sb="0" eb="4">
      <t>トクヒ</t>
    </rPh>
    <rPh sb="9" eb="10">
      <t>キ</t>
    </rPh>
    <phoneticPr fontId="2"/>
  </si>
  <si>
    <t>南萩島２１０－１</t>
    <rPh sb="0" eb="1">
      <t>ミナミ</t>
    </rPh>
    <rPh sb="1" eb="3">
      <t>ハギシマ</t>
    </rPh>
    <phoneticPr fontId="2"/>
  </si>
  <si>
    <t>東武伊勢崎線越谷駅より岩槻駅行き堤根下車徒歩5分</t>
    <rPh sb="0" eb="2">
      <t>トウブ</t>
    </rPh>
    <rPh sb="2" eb="5">
      <t>イセサキ</t>
    </rPh>
    <rPh sb="5" eb="6">
      <t>セン</t>
    </rPh>
    <rPh sb="6" eb="8">
      <t>コシガヤ</t>
    </rPh>
    <rPh sb="8" eb="9">
      <t>エキ</t>
    </rPh>
    <rPh sb="11" eb="13">
      <t>イワツキ</t>
    </rPh>
    <rPh sb="13" eb="14">
      <t>エキ</t>
    </rPh>
    <rPh sb="14" eb="15">
      <t>イ</t>
    </rPh>
    <rPh sb="16" eb="17">
      <t>ツツミ</t>
    </rPh>
    <rPh sb="17" eb="18">
      <t>ネ</t>
    </rPh>
    <rPh sb="18" eb="20">
      <t>ゲシャ</t>
    </rPh>
    <rPh sb="20" eb="22">
      <t>トホ</t>
    </rPh>
    <rPh sb="23" eb="24">
      <t>フン</t>
    </rPh>
    <phoneticPr fontId="2"/>
  </si>
  <si>
    <t>きらめき</t>
    <phoneticPr fontId="2"/>
  </si>
  <si>
    <t>○</t>
    <phoneticPr fontId="2"/>
  </si>
  <si>
    <t>(福)ハッピーネット</t>
    <rPh sb="0" eb="3">
      <t>フク</t>
    </rPh>
    <phoneticPr fontId="2"/>
  </si>
  <si>
    <t>桜区西堀9-9-23</t>
    <rPh sb="0" eb="2">
      <t>サクラク</t>
    </rPh>
    <rPh sb="2" eb="4">
      <t>ニシボリ</t>
    </rPh>
    <phoneticPr fontId="2"/>
  </si>
  <si>
    <t>(株)安</t>
    <rPh sb="0" eb="3">
      <t>カブ</t>
    </rPh>
    <rPh sb="3" eb="4">
      <t>ヤス</t>
    </rPh>
    <phoneticPr fontId="2"/>
  </si>
  <si>
    <t>千間台東1-1-6</t>
    <rPh sb="0" eb="3">
      <t>センゲンダイ</t>
    </rPh>
    <rPh sb="3" eb="4">
      <t>ヒガシ</t>
    </rPh>
    <phoneticPr fontId="2"/>
  </si>
  <si>
    <t>343-0042</t>
    <phoneticPr fontId="2"/>
  </si>
  <si>
    <t>048-973-2940</t>
    <phoneticPr fontId="2"/>
  </si>
  <si>
    <t>東武伊勢崎線せんげん台駅下車徒歩2分</t>
    <rPh sb="0" eb="2">
      <t>トウブ</t>
    </rPh>
    <rPh sb="2" eb="5">
      <t>イセザキ</t>
    </rPh>
    <rPh sb="5" eb="6">
      <t>セン</t>
    </rPh>
    <rPh sb="10" eb="11">
      <t>ダイ</t>
    </rPh>
    <rPh sb="11" eb="12">
      <t>エキ</t>
    </rPh>
    <rPh sb="12" eb="14">
      <t>ゲシャ</t>
    </rPh>
    <rPh sb="14" eb="16">
      <t>トホ</t>
    </rPh>
    <rPh sb="17" eb="18">
      <t>フン</t>
    </rPh>
    <phoneticPr fontId="2"/>
  </si>
  <si>
    <t>難</t>
    <rPh sb="0" eb="1">
      <t>ナン</t>
    </rPh>
    <phoneticPr fontId="2"/>
  </si>
  <si>
    <t>春日部市・(福)春日部市社会福祉協議会</t>
    <rPh sb="0" eb="4">
      <t>カスカベシ</t>
    </rPh>
    <rPh sb="5" eb="8">
      <t>フク</t>
    </rPh>
    <rPh sb="8" eb="12">
      <t>カスカベシ</t>
    </rPh>
    <rPh sb="12" eb="16">
      <t>シャカイフクシ</t>
    </rPh>
    <rPh sb="16" eb="19">
      <t>キョウギカイ</t>
    </rPh>
    <phoneticPr fontId="2"/>
  </si>
  <si>
    <t>杉戸町宮前184-1</t>
    <rPh sb="0" eb="3">
      <t>スギトマチ</t>
    </rPh>
    <rPh sb="3" eb="5">
      <t>ミヤマエ</t>
    </rPh>
    <phoneticPr fontId="2"/>
  </si>
  <si>
    <t>345-0004</t>
    <phoneticPr fontId="2"/>
  </si>
  <si>
    <t>0480-38-3787</t>
    <phoneticPr fontId="2"/>
  </si>
  <si>
    <t>東武動物公園駅から関宿中央ターミナル行きバス「宮前」下車徒歩16分</t>
    <rPh sb="0" eb="2">
      <t>トウブ</t>
    </rPh>
    <rPh sb="2" eb="4">
      <t>ドウブツ</t>
    </rPh>
    <rPh sb="4" eb="6">
      <t>コウエン</t>
    </rPh>
    <rPh sb="6" eb="7">
      <t>エキ</t>
    </rPh>
    <rPh sb="9" eb="10">
      <t>セキ</t>
    </rPh>
    <rPh sb="10" eb="11">
      <t>ヤド</t>
    </rPh>
    <rPh sb="11" eb="13">
      <t>チュウオウ</t>
    </rPh>
    <rPh sb="18" eb="19">
      <t>イ</t>
    </rPh>
    <rPh sb="23" eb="25">
      <t>ミヤマエ</t>
    </rPh>
    <rPh sb="26" eb="28">
      <t>ゲシャ</t>
    </rPh>
    <rPh sb="28" eb="30">
      <t>トホ</t>
    </rPh>
    <rPh sb="32" eb="33">
      <t>フン</t>
    </rPh>
    <phoneticPr fontId="2"/>
  </si>
  <si>
    <t>○</t>
    <phoneticPr fontId="2"/>
  </si>
  <si>
    <t>048-723-3201</t>
    <phoneticPr fontId="2"/>
  </si>
  <si>
    <t>埼玉新都市交通伊宗線（ニューシャトル）伊奈中央駅下車徒歩8分</t>
    <rPh sb="19" eb="21">
      <t>イナ</t>
    </rPh>
    <rPh sb="21" eb="23">
      <t>チュウオウ</t>
    </rPh>
    <phoneticPr fontId="2"/>
  </si>
  <si>
    <t>(特非)ランポーネ</t>
    <rPh sb="0" eb="4">
      <t>トクヒ</t>
    </rPh>
    <phoneticPr fontId="2"/>
  </si>
  <si>
    <t>村岡102</t>
    <rPh sb="0" eb="2">
      <t>ムラオカ</t>
    </rPh>
    <phoneticPr fontId="2"/>
  </si>
  <si>
    <t>360-0162</t>
    <phoneticPr fontId="2"/>
  </si>
  <si>
    <t>048-577-3657</t>
    <phoneticPr fontId="2"/>
  </si>
  <si>
    <t>○</t>
    <phoneticPr fontId="2"/>
  </si>
  <si>
    <t>熊谷駅から立正大学行又は森林公園駅行バス「吉岡小学校入口前」下車徒歩6分</t>
    <rPh sb="0" eb="2">
      <t>クマガヤ</t>
    </rPh>
    <rPh sb="2" eb="3">
      <t>エキ</t>
    </rPh>
    <rPh sb="5" eb="7">
      <t>リッショウ</t>
    </rPh>
    <rPh sb="7" eb="9">
      <t>ダイガク</t>
    </rPh>
    <rPh sb="9" eb="10">
      <t>イ</t>
    </rPh>
    <rPh sb="10" eb="11">
      <t>マタ</t>
    </rPh>
    <rPh sb="12" eb="14">
      <t>シンリン</t>
    </rPh>
    <rPh sb="14" eb="16">
      <t>コウエン</t>
    </rPh>
    <rPh sb="16" eb="17">
      <t>エキ</t>
    </rPh>
    <rPh sb="17" eb="18">
      <t>イ</t>
    </rPh>
    <rPh sb="21" eb="23">
      <t>ヨシオカ</t>
    </rPh>
    <rPh sb="23" eb="26">
      <t>ショウガッコウ</t>
    </rPh>
    <rPh sb="26" eb="28">
      <t>イリグチ</t>
    </rPh>
    <rPh sb="28" eb="29">
      <t>マエ</t>
    </rPh>
    <rPh sb="30" eb="32">
      <t>ゲシャ</t>
    </rPh>
    <rPh sb="32" eb="34">
      <t>トホ</t>
    </rPh>
    <rPh sb="35" eb="36">
      <t>フン</t>
    </rPh>
    <phoneticPr fontId="2"/>
  </si>
  <si>
    <t>加羽ヶ崎281-2</t>
    <rPh sb="0" eb="1">
      <t>クワ</t>
    </rPh>
    <rPh sb="1" eb="2">
      <t>ハネ</t>
    </rPh>
    <rPh sb="3" eb="4">
      <t>サキ</t>
    </rPh>
    <phoneticPr fontId="2"/>
  </si>
  <si>
    <t>348-0031</t>
    <phoneticPr fontId="2"/>
  </si>
  <si>
    <t>048-563-1708</t>
    <phoneticPr fontId="2"/>
  </si>
  <si>
    <t>東武伊勢崎線羽生駅下車徒歩35分</t>
    <rPh sb="0" eb="2">
      <t>トウブ</t>
    </rPh>
    <rPh sb="2" eb="5">
      <t>イセザキ</t>
    </rPh>
    <rPh sb="5" eb="6">
      <t>セン</t>
    </rPh>
    <rPh sb="6" eb="8">
      <t>ハニュウ</t>
    </rPh>
    <rPh sb="8" eb="9">
      <t>エキ</t>
    </rPh>
    <rPh sb="9" eb="11">
      <t>ゲシャ</t>
    </rPh>
    <rPh sb="11" eb="13">
      <t>トホ</t>
    </rPh>
    <rPh sb="15" eb="16">
      <t>フン</t>
    </rPh>
    <phoneticPr fontId="2"/>
  </si>
  <si>
    <t>稲荷町1-1-33</t>
    <rPh sb="0" eb="3">
      <t>イナリマチ</t>
    </rPh>
    <phoneticPr fontId="2"/>
  </si>
  <si>
    <t>(特非)鶴の杜</t>
    <rPh sb="0" eb="4">
      <t>トクヒ</t>
    </rPh>
    <rPh sb="4" eb="5">
      <t>ツル</t>
    </rPh>
    <rPh sb="6" eb="7">
      <t>モリ</t>
    </rPh>
    <phoneticPr fontId="2"/>
  </si>
  <si>
    <t>三ツ木342-11</t>
    <rPh sb="0" eb="1">
      <t>ミ</t>
    </rPh>
    <rPh sb="2" eb="3">
      <t>ギ</t>
    </rPh>
    <phoneticPr fontId="2"/>
  </si>
  <si>
    <t>350-2217</t>
    <phoneticPr fontId="2"/>
  </si>
  <si>
    <t>049-290-2461</t>
    <phoneticPr fontId="2"/>
  </si>
  <si>
    <t>○</t>
    <phoneticPr fontId="2"/>
  </si>
  <si>
    <t>東武東上線若葉駅より市内循環バス南北線「鶴ヶ島市役所」下車徒歩10分</t>
    <rPh sb="10" eb="12">
      <t>シナイ</t>
    </rPh>
    <rPh sb="12" eb="14">
      <t>ジュンカン</t>
    </rPh>
    <rPh sb="16" eb="19">
      <t>ナンボクセン</t>
    </rPh>
    <rPh sb="20" eb="23">
      <t>ツルガシマ</t>
    </rPh>
    <rPh sb="23" eb="26">
      <t>シヤクショ</t>
    </rPh>
    <rPh sb="27" eb="29">
      <t>ゲシャ</t>
    </rPh>
    <rPh sb="29" eb="31">
      <t>トホ</t>
    </rPh>
    <rPh sb="33" eb="34">
      <t>フン</t>
    </rPh>
    <phoneticPr fontId="2"/>
  </si>
  <si>
    <t>脚折1868-3</t>
    <rPh sb="0" eb="1">
      <t>アシ</t>
    </rPh>
    <rPh sb="1" eb="2">
      <t>オ</t>
    </rPh>
    <phoneticPr fontId="2"/>
  </si>
  <si>
    <t>350-2213</t>
    <phoneticPr fontId="2"/>
  </si>
  <si>
    <t>049-299-6944</t>
    <phoneticPr fontId="2"/>
  </si>
  <si>
    <t>東武越生線一本松駅下車徒歩24分</t>
    <rPh sb="0" eb="2">
      <t>トウブ</t>
    </rPh>
    <rPh sb="2" eb="4">
      <t>オゴセ</t>
    </rPh>
    <rPh sb="4" eb="5">
      <t>セン</t>
    </rPh>
    <rPh sb="5" eb="8">
      <t>イッポンマツ</t>
    </rPh>
    <rPh sb="8" eb="9">
      <t>エキ</t>
    </rPh>
    <rPh sb="9" eb="11">
      <t>ゲシャ</t>
    </rPh>
    <rPh sb="11" eb="13">
      <t>トホ</t>
    </rPh>
    <rPh sb="15" eb="16">
      <t>フン</t>
    </rPh>
    <phoneticPr fontId="2"/>
  </si>
  <si>
    <t>くすの木台2-21-3</t>
    <rPh sb="3" eb="4">
      <t>キ</t>
    </rPh>
    <rPh sb="4" eb="5">
      <t>ダイ</t>
    </rPh>
    <phoneticPr fontId="2"/>
  </si>
  <si>
    <t>西武池袋線所沢駅東口下車徒歩13分</t>
    <rPh sb="0" eb="2">
      <t>セイブ</t>
    </rPh>
    <rPh sb="2" eb="4">
      <t>イケブクロ</t>
    </rPh>
    <rPh sb="4" eb="5">
      <t>セン</t>
    </rPh>
    <rPh sb="5" eb="7">
      <t>トコロザワ</t>
    </rPh>
    <rPh sb="7" eb="8">
      <t>エキ</t>
    </rPh>
    <rPh sb="8" eb="10">
      <t>ヒガシグチ</t>
    </rPh>
    <rPh sb="10" eb="12">
      <t>ゲシャ</t>
    </rPh>
    <rPh sb="12" eb="14">
      <t>トホ</t>
    </rPh>
    <rPh sb="16" eb="17">
      <t>プン</t>
    </rPh>
    <phoneticPr fontId="2"/>
  </si>
  <si>
    <t>西みずほ台1-21-26</t>
    <rPh sb="0" eb="1">
      <t>ニシ</t>
    </rPh>
    <rPh sb="4" eb="5">
      <t>ダイ</t>
    </rPh>
    <phoneticPr fontId="2"/>
  </si>
  <si>
    <t>東武東上線みずほ台駅下車徒歩3分</t>
    <rPh sb="0" eb="2">
      <t>トウブ</t>
    </rPh>
    <rPh sb="2" eb="4">
      <t>トウジョウ</t>
    </rPh>
    <rPh sb="4" eb="5">
      <t>セン</t>
    </rPh>
    <rPh sb="8" eb="9">
      <t>ダイ</t>
    </rPh>
    <rPh sb="9" eb="10">
      <t>エキ</t>
    </rPh>
    <rPh sb="10" eb="12">
      <t>ゲシャ</t>
    </rPh>
    <rPh sb="12" eb="14">
      <t>トホ</t>
    </rPh>
    <rPh sb="15" eb="16">
      <t>フン</t>
    </rPh>
    <phoneticPr fontId="2"/>
  </si>
  <si>
    <t>新曽1522-1</t>
    <rPh sb="0" eb="2">
      <t>ニイゾ</t>
    </rPh>
    <phoneticPr fontId="2"/>
  </si>
  <si>
    <t>048-229-7421</t>
    <phoneticPr fontId="2"/>
  </si>
  <si>
    <t>048-229-7431</t>
    <phoneticPr fontId="2"/>
  </si>
  <si>
    <t>(特非)めぐみの里</t>
    <rPh sb="0" eb="4">
      <t>トクヒ</t>
    </rPh>
    <rPh sb="8" eb="9">
      <t>サト</t>
    </rPh>
    <phoneticPr fontId="2"/>
  </si>
  <si>
    <t>(福)はなみずき会</t>
    <rPh sb="0" eb="3">
      <t>フク</t>
    </rPh>
    <rPh sb="8" eb="9">
      <t>カイ</t>
    </rPh>
    <phoneticPr fontId="2"/>
  </si>
  <si>
    <t>西武池袋線飯能駅から双柳市営住宅行バス「工場前」下車徒歩3分</t>
    <rPh sb="0" eb="2">
      <t>セイブ</t>
    </rPh>
    <rPh sb="2" eb="4">
      <t>イケブクロ</t>
    </rPh>
    <rPh sb="4" eb="5">
      <t>セン</t>
    </rPh>
    <rPh sb="5" eb="7">
      <t>ハンノウ</t>
    </rPh>
    <rPh sb="7" eb="8">
      <t>エキ</t>
    </rPh>
    <rPh sb="10" eb="11">
      <t>フタ</t>
    </rPh>
    <rPh sb="11" eb="12">
      <t>ヤナギ</t>
    </rPh>
    <rPh sb="12" eb="14">
      <t>シエイ</t>
    </rPh>
    <rPh sb="14" eb="16">
      <t>ジュウタク</t>
    </rPh>
    <rPh sb="16" eb="17">
      <t>イ</t>
    </rPh>
    <rPh sb="20" eb="22">
      <t>コウジョウ</t>
    </rPh>
    <rPh sb="22" eb="23">
      <t>マエ</t>
    </rPh>
    <rPh sb="24" eb="26">
      <t>ゲシャ</t>
    </rPh>
    <rPh sb="26" eb="28">
      <t>トホ</t>
    </rPh>
    <rPh sb="29" eb="30">
      <t>フン</t>
    </rPh>
    <phoneticPr fontId="2"/>
  </si>
  <si>
    <t>042-974-8304</t>
    <phoneticPr fontId="2"/>
  </si>
  <si>
    <t>南5-5-67サザンビル1階</t>
    <rPh sb="0" eb="1">
      <t>ミナミ</t>
    </rPh>
    <rPh sb="13" eb="14">
      <t>カイ</t>
    </rPh>
    <phoneticPr fontId="2"/>
  </si>
  <si>
    <t>048-501-2536</t>
    <phoneticPr fontId="2"/>
  </si>
  <si>
    <t>グリーン</t>
  </si>
  <si>
    <t>笹目南町29-24</t>
    <rPh sb="0" eb="2">
      <t>ササメ</t>
    </rPh>
    <rPh sb="2" eb="4">
      <t>ミナミチョウ</t>
    </rPh>
    <phoneticPr fontId="2"/>
  </si>
  <si>
    <t>335-0035</t>
  </si>
  <si>
    <t>048-423-2955</t>
  </si>
  <si>
    <t>048-423-2987</t>
  </si>
  <si>
    <t>埼京線戸田公園駅から下笹目行バス「笹目東小学校入口」下車徒歩5分</t>
    <rPh sb="0" eb="2">
      <t>サイキョウ</t>
    </rPh>
    <rPh sb="2" eb="3">
      <t>セン</t>
    </rPh>
    <rPh sb="3" eb="5">
      <t>トダ</t>
    </rPh>
    <rPh sb="5" eb="7">
      <t>コウエン</t>
    </rPh>
    <rPh sb="7" eb="8">
      <t>エキ</t>
    </rPh>
    <rPh sb="10" eb="13">
      <t>シモササメ</t>
    </rPh>
    <rPh sb="13" eb="14">
      <t>ユ</t>
    </rPh>
    <rPh sb="17" eb="19">
      <t>ササメ</t>
    </rPh>
    <rPh sb="19" eb="20">
      <t>ヒガシ</t>
    </rPh>
    <rPh sb="20" eb="23">
      <t>ショウガッコウ</t>
    </rPh>
    <rPh sb="23" eb="24">
      <t>イ</t>
    </rPh>
    <rPh sb="24" eb="25">
      <t>クチ</t>
    </rPh>
    <rPh sb="26" eb="28">
      <t>ゲシャ</t>
    </rPh>
    <rPh sb="28" eb="30">
      <t>トホ</t>
    </rPh>
    <rPh sb="31" eb="32">
      <t>フン</t>
    </rPh>
    <phoneticPr fontId="2"/>
  </si>
  <si>
    <t>本町5-23-11</t>
    <rPh sb="0" eb="2">
      <t>ホンチョウ</t>
    </rPh>
    <phoneticPr fontId="2"/>
  </si>
  <si>
    <t>048-540-5000</t>
    <phoneticPr fontId="2"/>
  </si>
  <si>
    <t>048-544-0050</t>
    <phoneticPr fontId="2"/>
  </si>
  <si>
    <t>048-782-7618</t>
    <phoneticPr fontId="2"/>
  </si>
  <si>
    <t>361-0004</t>
    <phoneticPr fontId="2"/>
  </si>
  <si>
    <t>○</t>
    <phoneticPr fontId="2"/>
  </si>
  <si>
    <t>緑区東浦和1-17-2-2B</t>
    <rPh sb="2" eb="5">
      <t>ヒガシウラワ</t>
    </rPh>
    <phoneticPr fontId="5"/>
  </si>
  <si>
    <t>048-764-8605</t>
  </si>
  <si>
    <t>048-764-8635</t>
  </si>
  <si>
    <t>○</t>
    <phoneticPr fontId="2"/>
  </si>
  <si>
    <t>336-0926</t>
    <phoneticPr fontId="2"/>
  </si>
  <si>
    <t>0493-22-1517</t>
    <phoneticPr fontId="2"/>
  </si>
  <si>
    <t>カピリナ</t>
    <phoneticPr fontId="2"/>
  </si>
  <si>
    <t>344-0067</t>
    <phoneticPr fontId="2"/>
  </si>
  <si>
    <t>○</t>
    <phoneticPr fontId="2"/>
  </si>
  <si>
    <t>(福)ごきげんらいぶ</t>
    <phoneticPr fontId="2"/>
  </si>
  <si>
    <t>多機能型事業所らいぶ</t>
    <rPh sb="0" eb="3">
      <t>タキノウ</t>
    </rPh>
    <rPh sb="3" eb="4">
      <t>ガタ</t>
    </rPh>
    <rPh sb="4" eb="7">
      <t>ジギョウショ</t>
    </rPh>
    <phoneticPr fontId="2"/>
  </si>
  <si>
    <t>大字西新井宿字北田1159-1</t>
    <rPh sb="0" eb="2">
      <t>オオアザ</t>
    </rPh>
    <rPh sb="2" eb="6">
      <t>ニシアライジュク</t>
    </rPh>
    <rPh sb="6" eb="7">
      <t>アザ</t>
    </rPh>
    <rPh sb="7" eb="9">
      <t>キタダ</t>
    </rPh>
    <phoneticPr fontId="2"/>
  </si>
  <si>
    <t>333-0833</t>
    <phoneticPr fontId="2"/>
  </si>
  <si>
    <t>048-290-3000</t>
    <phoneticPr fontId="2"/>
  </si>
  <si>
    <t>048-290-3005</t>
    <phoneticPr fontId="2"/>
  </si>
  <si>
    <t>埼玉高速鉄道新井宿駅から徒歩12分</t>
    <rPh sb="0" eb="2">
      <t>サイタマ</t>
    </rPh>
    <rPh sb="2" eb="4">
      <t>コウソク</t>
    </rPh>
    <rPh sb="4" eb="6">
      <t>テツドウ</t>
    </rPh>
    <rPh sb="6" eb="9">
      <t>アライジュク</t>
    </rPh>
    <rPh sb="9" eb="10">
      <t>エキ</t>
    </rPh>
    <rPh sb="12" eb="14">
      <t>トホ</t>
    </rPh>
    <rPh sb="16" eb="17">
      <t>フン</t>
    </rPh>
    <phoneticPr fontId="2"/>
  </si>
  <si>
    <t>ウェルビー朝霞台駅前センター</t>
    <rPh sb="5" eb="8">
      <t>アサカダイ</t>
    </rPh>
    <rPh sb="8" eb="10">
      <t>エキマエ</t>
    </rPh>
    <phoneticPr fontId="2"/>
  </si>
  <si>
    <t>朝霞市</t>
    <rPh sb="0" eb="3">
      <t>アサカシ</t>
    </rPh>
    <phoneticPr fontId="2"/>
  </si>
  <si>
    <t>351-0033</t>
    <phoneticPr fontId="2"/>
  </si>
  <si>
    <t>048-486-6577</t>
    <phoneticPr fontId="2"/>
  </si>
  <si>
    <t>048-486-6578</t>
    <phoneticPr fontId="2"/>
  </si>
  <si>
    <t>東武東上線朝霞台駅下車徒歩3分、
武蔵野線北朝霞駅下車徒歩2分</t>
    <rPh sb="0" eb="2">
      <t>トウブ</t>
    </rPh>
    <rPh sb="2" eb="4">
      <t>トウジョウ</t>
    </rPh>
    <rPh sb="4" eb="5">
      <t>セン</t>
    </rPh>
    <rPh sb="5" eb="8">
      <t>アサカダイ</t>
    </rPh>
    <rPh sb="8" eb="9">
      <t>エキ</t>
    </rPh>
    <rPh sb="9" eb="11">
      <t>ゲシャ</t>
    </rPh>
    <rPh sb="11" eb="13">
      <t>トホ</t>
    </rPh>
    <rPh sb="14" eb="15">
      <t>フン</t>
    </rPh>
    <rPh sb="17" eb="20">
      <t>ムサシノ</t>
    </rPh>
    <rPh sb="20" eb="21">
      <t>セン</t>
    </rPh>
    <rPh sb="21" eb="24">
      <t>キタアサカ</t>
    </rPh>
    <rPh sb="24" eb="25">
      <t>エキ</t>
    </rPh>
    <rPh sb="25" eb="27">
      <t>ゲシャ</t>
    </rPh>
    <rPh sb="27" eb="29">
      <t>トホ</t>
    </rPh>
    <rPh sb="30" eb="31">
      <t>フン</t>
    </rPh>
    <phoneticPr fontId="2"/>
  </si>
  <si>
    <t>ウェルビー川越駅前センター</t>
    <rPh sb="5" eb="7">
      <t>カワゴエ</t>
    </rPh>
    <rPh sb="7" eb="9">
      <t>エキマエ</t>
    </rPh>
    <phoneticPr fontId="2"/>
  </si>
  <si>
    <t>350-1123</t>
    <phoneticPr fontId="2"/>
  </si>
  <si>
    <t>049-249-8070</t>
    <phoneticPr fontId="2"/>
  </si>
  <si>
    <t>049-249-8071</t>
    <phoneticPr fontId="2"/>
  </si>
  <si>
    <t>○</t>
    <phoneticPr fontId="2"/>
  </si>
  <si>
    <t>川越駅西口徒歩５分</t>
    <rPh sb="0" eb="2">
      <t>カワゴエ</t>
    </rPh>
    <rPh sb="2" eb="3">
      <t>エキ</t>
    </rPh>
    <rPh sb="3" eb="5">
      <t>ニシグチ</t>
    </rPh>
    <rPh sb="5" eb="7">
      <t>トホ</t>
    </rPh>
    <rPh sb="8" eb="9">
      <t>フン</t>
    </rPh>
    <phoneticPr fontId="2"/>
  </si>
  <si>
    <t>○</t>
    <phoneticPr fontId="2"/>
  </si>
  <si>
    <t>(福)新座市障害者を守る会</t>
    <rPh sb="1" eb="2">
      <t>フク</t>
    </rPh>
    <rPh sb="3" eb="6">
      <t>ニイザシ</t>
    </rPh>
    <rPh sb="6" eb="9">
      <t>ショウガイシャ</t>
    </rPh>
    <rPh sb="10" eb="11">
      <t>マモ</t>
    </rPh>
    <rPh sb="12" eb="13">
      <t>カイ</t>
    </rPh>
    <phoneticPr fontId="2"/>
  </si>
  <si>
    <t>(福)新座市障害者を守る会</t>
    <rPh sb="1" eb="2">
      <t>フク</t>
    </rPh>
    <rPh sb="3" eb="6">
      <t>ニイザシ</t>
    </rPh>
    <rPh sb="6" eb="8">
      <t>ショウガイ</t>
    </rPh>
    <rPh sb="8" eb="9">
      <t>シャ</t>
    </rPh>
    <rPh sb="10" eb="11">
      <t>マモ</t>
    </rPh>
    <rPh sb="12" eb="13">
      <t>カイ</t>
    </rPh>
    <phoneticPr fontId="2"/>
  </si>
  <si>
    <t>352-0013</t>
    <phoneticPr fontId="2"/>
  </si>
  <si>
    <t>048-479-2292</t>
    <phoneticPr fontId="2"/>
  </si>
  <si>
    <t>048-479-2332</t>
    <phoneticPr fontId="2"/>
  </si>
  <si>
    <t>○</t>
    <phoneticPr fontId="2"/>
  </si>
  <si>
    <t>(福)ゆうき福祉会</t>
    <rPh sb="1" eb="2">
      <t>フク</t>
    </rPh>
    <rPh sb="6" eb="9">
      <t>フクシカイ</t>
    </rPh>
    <phoneticPr fontId="2"/>
  </si>
  <si>
    <t>すだち亀ヶ谷作業所</t>
    <rPh sb="3" eb="6">
      <t>カメガヤ</t>
    </rPh>
    <rPh sb="6" eb="9">
      <t>サギョウショ</t>
    </rPh>
    <phoneticPr fontId="2"/>
  </si>
  <si>
    <t>亀ヶ谷270-1</t>
    <rPh sb="0" eb="3">
      <t>カメガヤ</t>
    </rPh>
    <phoneticPr fontId="2"/>
  </si>
  <si>
    <t>359-0014</t>
    <phoneticPr fontId="2"/>
  </si>
  <si>
    <t>武蔵野線東所沢駅から柳瀬循環コース左回りバス「やなせ荘入口」下車徒歩5分</t>
    <rPh sb="0" eb="3">
      <t>ムサシノ</t>
    </rPh>
    <rPh sb="3" eb="4">
      <t>セン</t>
    </rPh>
    <rPh sb="4" eb="5">
      <t>ヒガシ</t>
    </rPh>
    <rPh sb="5" eb="7">
      <t>トコロザワ</t>
    </rPh>
    <rPh sb="7" eb="8">
      <t>エキ</t>
    </rPh>
    <rPh sb="10" eb="11">
      <t>ヤナギ</t>
    </rPh>
    <rPh sb="11" eb="12">
      <t>セ</t>
    </rPh>
    <rPh sb="12" eb="14">
      <t>ジュンカン</t>
    </rPh>
    <rPh sb="17" eb="18">
      <t>ヒダリ</t>
    </rPh>
    <rPh sb="18" eb="19">
      <t>マワ</t>
    </rPh>
    <rPh sb="26" eb="27">
      <t>ソウ</t>
    </rPh>
    <rPh sb="27" eb="28">
      <t>イ</t>
    </rPh>
    <rPh sb="28" eb="29">
      <t>グチ</t>
    </rPh>
    <rPh sb="30" eb="32">
      <t>ゲシャ</t>
    </rPh>
    <rPh sb="32" eb="34">
      <t>トホ</t>
    </rPh>
    <rPh sb="35" eb="36">
      <t>フン</t>
    </rPh>
    <phoneticPr fontId="2"/>
  </si>
  <si>
    <t>(福)栗の実福祉会</t>
    <rPh sb="1" eb="2">
      <t>フク</t>
    </rPh>
    <rPh sb="3" eb="4">
      <t>クリ</t>
    </rPh>
    <rPh sb="5" eb="6">
      <t>ミ</t>
    </rPh>
    <rPh sb="6" eb="9">
      <t>フクシカイ</t>
    </rPh>
    <phoneticPr fontId="2"/>
  </si>
  <si>
    <t>むさしの日高作業所</t>
    <rPh sb="4" eb="6">
      <t>ヒダカ</t>
    </rPh>
    <rPh sb="6" eb="9">
      <t>サギョウショ</t>
    </rPh>
    <phoneticPr fontId="2"/>
  </si>
  <si>
    <t>下大谷沢五反田12-1</t>
    <rPh sb="0" eb="1">
      <t>シタ</t>
    </rPh>
    <rPh sb="1" eb="3">
      <t>オオタニ</t>
    </rPh>
    <rPh sb="3" eb="4">
      <t>サワ</t>
    </rPh>
    <rPh sb="4" eb="7">
      <t>ゴタンダ</t>
    </rPh>
    <phoneticPr fontId="2"/>
  </si>
  <si>
    <t>西武新宿線狭山市駅から智光山公園行きバス「智光山公園」下車徒歩15分</t>
    <rPh sb="0" eb="2">
      <t>セイブ</t>
    </rPh>
    <rPh sb="2" eb="4">
      <t>シンジュク</t>
    </rPh>
    <rPh sb="4" eb="5">
      <t>セン</t>
    </rPh>
    <rPh sb="5" eb="8">
      <t>サヤマシ</t>
    </rPh>
    <rPh sb="8" eb="9">
      <t>エキ</t>
    </rPh>
    <rPh sb="11" eb="13">
      <t>トモミツ</t>
    </rPh>
    <rPh sb="13" eb="14">
      <t>ヤマ</t>
    </rPh>
    <rPh sb="14" eb="16">
      <t>コウエン</t>
    </rPh>
    <rPh sb="16" eb="17">
      <t>ユ</t>
    </rPh>
    <rPh sb="21" eb="23">
      <t>トモミツ</t>
    </rPh>
    <rPh sb="23" eb="24">
      <t>ザン</t>
    </rPh>
    <rPh sb="24" eb="26">
      <t>コウエン</t>
    </rPh>
    <rPh sb="27" eb="29">
      <t>ゲシャ</t>
    </rPh>
    <rPh sb="29" eb="31">
      <t>トホ</t>
    </rPh>
    <rPh sb="33" eb="34">
      <t>フン</t>
    </rPh>
    <phoneticPr fontId="2"/>
  </si>
  <si>
    <t>第３かわせみ・ふわふわ</t>
    <rPh sb="0" eb="1">
      <t>ダイ</t>
    </rPh>
    <phoneticPr fontId="2"/>
  </si>
  <si>
    <t>梅原48-6</t>
    <rPh sb="0" eb="2">
      <t>ウメハラ</t>
    </rPh>
    <phoneticPr fontId="2"/>
  </si>
  <si>
    <t>350-1246</t>
    <phoneticPr fontId="2"/>
  </si>
  <si>
    <t>042-985-7007</t>
    <phoneticPr fontId="2"/>
  </si>
  <si>
    <t>042-985-1020</t>
    <phoneticPr fontId="2"/>
  </si>
  <si>
    <t>高麗川駅から飯能行きバス「高麗支所」下車徒歩6分</t>
    <rPh sb="0" eb="3">
      <t>コマガワ</t>
    </rPh>
    <rPh sb="3" eb="4">
      <t>エキ</t>
    </rPh>
    <rPh sb="6" eb="8">
      <t>ハンノウ</t>
    </rPh>
    <rPh sb="8" eb="9">
      <t>イ</t>
    </rPh>
    <rPh sb="13" eb="15">
      <t>コマ</t>
    </rPh>
    <rPh sb="15" eb="17">
      <t>シショ</t>
    </rPh>
    <rPh sb="18" eb="20">
      <t>ゲシャ</t>
    </rPh>
    <rPh sb="20" eb="22">
      <t>トホ</t>
    </rPh>
    <rPh sb="23" eb="24">
      <t>フン</t>
    </rPh>
    <phoneticPr fontId="2"/>
  </si>
  <si>
    <t>○</t>
    <phoneticPr fontId="2"/>
  </si>
  <si>
    <t>（株）アライズ</t>
    <rPh sb="1" eb="2">
      <t>カブ</t>
    </rPh>
    <phoneticPr fontId="2"/>
  </si>
  <si>
    <t>オークタウン</t>
    <phoneticPr fontId="2"/>
  </si>
  <si>
    <t>川越市</t>
    <phoneticPr fontId="2"/>
  </si>
  <si>
    <t>350-0824</t>
    <phoneticPr fontId="2"/>
  </si>
  <si>
    <t>049-298-8496</t>
    <phoneticPr fontId="2"/>
  </si>
  <si>
    <t>049-298-8497</t>
  </si>
  <si>
    <t>○</t>
    <phoneticPr fontId="2"/>
  </si>
  <si>
    <t>ふくふく</t>
  </si>
  <si>
    <t>多機能型事業所わかくさ</t>
    <rPh sb="0" eb="4">
      <t>タキノウガタ</t>
    </rPh>
    <rPh sb="4" eb="7">
      <t>ジギョウショ</t>
    </rPh>
    <phoneticPr fontId="2"/>
  </si>
  <si>
    <t>岩槻区本町1-15-5</t>
    <rPh sb="0" eb="2">
      <t>イワツキ</t>
    </rPh>
    <rPh sb="2" eb="3">
      <t>ク</t>
    </rPh>
    <rPh sb="3" eb="5">
      <t>ホンチョウ</t>
    </rPh>
    <phoneticPr fontId="5"/>
  </si>
  <si>
    <t>048-884-8743</t>
  </si>
  <si>
    <t>048-798-4534</t>
    <phoneticPr fontId="2"/>
  </si>
  <si>
    <t>048-798-4562</t>
    <phoneticPr fontId="2"/>
  </si>
  <si>
    <t>東浦和駅から徒歩5分</t>
    <rPh sb="0" eb="3">
      <t>ヒガシウラワ</t>
    </rPh>
    <rPh sb="3" eb="4">
      <t>エキ</t>
    </rPh>
    <rPh sb="6" eb="8">
      <t>トホ</t>
    </rPh>
    <rPh sb="9" eb="10">
      <t>フン</t>
    </rPh>
    <phoneticPr fontId="2"/>
  </si>
  <si>
    <t>岩槻駅東口から徒歩8分</t>
    <rPh sb="0" eb="3">
      <t>イワツキエキ</t>
    </rPh>
    <rPh sb="3" eb="5">
      <t>ヒガシグチ</t>
    </rPh>
    <rPh sb="7" eb="9">
      <t>トホ</t>
    </rPh>
    <rPh sb="10" eb="11">
      <t>フン</t>
    </rPh>
    <phoneticPr fontId="2"/>
  </si>
  <si>
    <t>（株）介護サービスひまわり</t>
    <rPh sb="0" eb="3">
      <t>カブ</t>
    </rPh>
    <rPh sb="3" eb="5">
      <t>カイゴ</t>
    </rPh>
    <phoneticPr fontId="2"/>
  </si>
  <si>
    <t>岩槻区飯塚1198-2</t>
    <rPh sb="3" eb="5">
      <t>イイヅカ</t>
    </rPh>
    <phoneticPr fontId="2"/>
  </si>
  <si>
    <t>339-0031</t>
    <phoneticPr fontId="2"/>
  </si>
  <si>
    <t>岩槻駅東口から越谷行・水上公園行・荻島小前行バス「上飯塚」下車徒歩3分</t>
    <rPh sb="0" eb="2">
      <t>イワツキ</t>
    </rPh>
    <rPh sb="2" eb="3">
      <t>エキ</t>
    </rPh>
    <rPh sb="3" eb="5">
      <t>ヒガシグチ</t>
    </rPh>
    <rPh sb="7" eb="9">
      <t>コシガヤ</t>
    </rPh>
    <rPh sb="9" eb="10">
      <t>イキ</t>
    </rPh>
    <rPh sb="11" eb="13">
      <t>スイジョウ</t>
    </rPh>
    <rPh sb="13" eb="15">
      <t>コウエン</t>
    </rPh>
    <rPh sb="15" eb="16">
      <t>イキ</t>
    </rPh>
    <rPh sb="17" eb="19">
      <t>オギシマ</t>
    </rPh>
    <rPh sb="19" eb="20">
      <t>ショウ</t>
    </rPh>
    <rPh sb="20" eb="21">
      <t>マエ</t>
    </rPh>
    <rPh sb="21" eb="22">
      <t>イキ</t>
    </rPh>
    <rPh sb="25" eb="26">
      <t>ノリアゲ</t>
    </rPh>
    <rPh sb="26" eb="28">
      <t>イイヅカ</t>
    </rPh>
    <rPh sb="29" eb="31">
      <t>ゲシャ</t>
    </rPh>
    <rPh sb="31" eb="33">
      <t>トホ</t>
    </rPh>
    <rPh sb="34" eb="35">
      <t>プン</t>
    </rPh>
    <phoneticPr fontId="2"/>
  </si>
  <si>
    <t>○</t>
    <phoneticPr fontId="2"/>
  </si>
  <si>
    <t>(福)埼玉現成会</t>
    <rPh sb="3" eb="5">
      <t>サイタマ</t>
    </rPh>
    <rPh sb="5" eb="6">
      <t>ウツツ</t>
    </rPh>
    <rPh sb="6" eb="7">
      <t>シゲル</t>
    </rPh>
    <rPh sb="7" eb="8">
      <t>カイ</t>
    </rPh>
    <phoneticPr fontId="2"/>
  </si>
  <si>
    <t>太陽の丘</t>
    <rPh sb="0" eb="2">
      <t>タイヨウ</t>
    </rPh>
    <rPh sb="3" eb="4">
      <t>オカ</t>
    </rPh>
    <phoneticPr fontId="2"/>
  </si>
  <si>
    <t>川崎30-1</t>
    <rPh sb="0" eb="2">
      <t>カワサキ</t>
    </rPh>
    <phoneticPr fontId="2"/>
  </si>
  <si>
    <t>357-0011</t>
    <phoneticPr fontId="2"/>
  </si>
  <si>
    <t>042-975-1555</t>
    <phoneticPr fontId="2"/>
  </si>
  <si>
    <t>042-975-1566</t>
    <phoneticPr fontId="2"/>
  </si>
  <si>
    <t>東飯能駅から狭山市駅行バス「川崎」下車徒歩5分</t>
    <rPh sb="0" eb="1">
      <t>ヒガシ</t>
    </rPh>
    <rPh sb="1" eb="3">
      <t>ハンノウ</t>
    </rPh>
    <rPh sb="3" eb="4">
      <t>エキ</t>
    </rPh>
    <rPh sb="6" eb="9">
      <t>サヤマシ</t>
    </rPh>
    <rPh sb="9" eb="10">
      <t>エキ</t>
    </rPh>
    <rPh sb="10" eb="11">
      <t>イ</t>
    </rPh>
    <rPh sb="14" eb="16">
      <t>カワサキ</t>
    </rPh>
    <rPh sb="17" eb="19">
      <t>ゲシャ</t>
    </rPh>
    <rPh sb="19" eb="21">
      <t>トホ</t>
    </rPh>
    <rPh sb="22" eb="23">
      <t>フン</t>
    </rPh>
    <phoneticPr fontId="2"/>
  </si>
  <si>
    <t>ウェルビー（株）</t>
    <rPh sb="5" eb="8">
      <t>カブ</t>
    </rPh>
    <phoneticPr fontId="2"/>
  </si>
  <si>
    <t>ウェルビー西川口センター</t>
    <rPh sb="5" eb="8">
      <t>ニシカワグチ</t>
    </rPh>
    <phoneticPr fontId="2"/>
  </si>
  <si>
    <t>並木2-11-20フラワーメゾン安岡1階</t>
    <rPh sb="0" eb="2">
      <t>ナミキ</t>
    </rPh>
    <rPh sb="16" eb="18">
      <t>ヤスオカ</t>
    </rPh>
    <rPh sb="19" eb="20">
      <t>カイ</t>
    </rPh>
    <phoneticPr fontId="2"/>
  </si>
  <si>
    <t>332-0034</t>
    <phoneticPr fontId="2"/>
  </si>
  <si>
    <t>048-240-6363</t>
    <phoneticPr fontId="2"/>
  </si>
  <si>
    <t>048-240-6364</t>
    <phoneticPr fontId="2"/>
  </si>
  <si>
    <t>○</t>
    <phoneticPr fontId="2"/>
  </si>
  <si>
    <t>京浜東北線西川口駅東口徒歩6分</t>
    <rPh sb="0" eb="2">
      <t>ケイヒン</t>
    </rPh>
    <rPh sb="2" eb="4">
      <t>トウホク</t>
    </rPh>
    <rPh sb="4" eb="5">
      <t>セン</t>
    </rPh>
    <rPh sb="5" eb="8">
      <t>ニシカワグチ</t>
    </rPh>
    <rPh sb="8" eb="9">
      <t>エキ</t>
    </rPh>
    <rPh sb="9" eb="11">
      <t>ヒガシグチ</t>
    </rPh>
    <rPh sb="11" eb="13">
      <t>トホ</t>
    </rPh>
    <rPh sb="14" eb="15">
      <t>フン</t>
    </rPh>
    <phoneticPr fontId="2"/>
  </si>
  <si>
    <t>(福)友遊会</t>
    <rPh sb="1" eb="2">
      <t>フク</t>
    </rPh>
    <rPh sb="3" eb="4">
      <t>ユウ</t>
    </rPh>
    <rPh sb="4" eb="5">
      <t>ユウ</t>
    </rPh>
    <rPh sb="5" eb="6">
      <t>カイ</t>
    </rPh>
    <phoneticPr fontId="2"/>
  </si>
  <si>
    <t>かわぐち就労支援事業所　詩然Ⅱ</t>
    <rPh sb="4" eb="6">
      <t>シュウロウ</t>
    </rPh>
    <rPh sb="6" eb="8">
      <t>シエン</t>
    </rPh>
    <rPh sb="8" eb="11">
      <t>ジギョウショ</t>
    </rPh>
    <rPh sb="12" eb="13">
      <t>シ</t>
    </rPh>
    <rPh sb="13" eb="14">
      <t>ゼン</t>
    </rPh>
    <phoneticPr fontId="2"/>
  </si>
  <si>
    <t>芝3-22-13</t>
    <rPh sb="0" eb="1">
      <t>シバ</t>
    </rPh>
    <phoneticPr fontId="2"/>
  </si>
  <si>
    <t>333-0866</t>
    <phoneticPr fontId="2"/>
  </si>
  <si>
    <t>048-483-4733</t>
    <phoneticPr fontId="2"/>
  </si>
  <si>
    <t>048-483-4766</t>
    <phoneticPr fontId="2"/>
  </si>
  <si>
    <t>京浜東北線蕨駅東口から上根橋循環バス「消防本部入口」下車徒歩1分</t>
    <rPh sb="0" eb="2">
      <t>ケイヒン</t>
    </rPh>
    <rPh sb="2" eb="4">
      <t>トウホク</t>
    </rPh>
    <rPh sb="4" eb="5">
      <t>セン</t>
    </rPh>
    <rPh sb="5" eb="6">
      <t>ワラビ</t>
    </rPh>
    <rPh sb="6" eb="7">
      <t>エキ</t>
    </rPh>
    <rPh sb="7" eb="9">
      <t>ヒガシグチ</t>
    </rPh>
    <rPh sb="11" eb="12">
      <t>カミ</t>
    </rPh>
    <rPh sb="12" eb="14">
      <t>ネバシ</t>
    </rPh>
    <rPh sb="14" eb="16">
      <t>ジュンカン</t>
    </rPh>
    <rPh sb="19" eb="21">
      <t>ショウボウ</t>
    </rPh>
    <rPh sb="21" eb="23">
      <t>ホンブ</t>
    </rPh>
    <rPh sb="23" eb="24">
      <t>イ</t>
    </rPh>
    <rPh sb="24" eb="25">
      <t>グチ</t>
    </rPh>
    <rPh sb="26" eb="28">
      <t>ゲシャ</t>
    </rPh>
    <rPh sb="28" eb="30">
      <t>トホ</t>
    </rPh>
    <rPh sb="31" eb="32">
      <t>フン</t>
    </rPh>
    <phoneticPr fontId="2"/>
  </si>
  <si>
    <t>(特非)小鹿の夢</t>
    <rPh sb="1" eb="2">
      <t>トク</t>
    </rPh>
    <rPh sb="2" eb="3">
      <t>ヒ</t>
    </rPh>
    <rPh sb="4" eb="6">
      <t>コジカ</t>
    </rPh>
    <rPh sb="7" eb="8">
      <t>ユメ</t>
    </rPh>
    <phoneticPr fontId="2"/>
  </si>
  <si>
    <t>アンゴラ王国</t>
    <rPh sb="4" eb="6">
      <t>オウコク</t>
    </rPh>
    <phoneticPr fontId="2"/>
  </si>
  <si>
    <t>河原沢767</t>
    <rPh sb="0" eb="2">
      <t>カワラ</t>
    </rPh>
    <rPh sb="2" eb="3">
      <t>サワ</t>
    </rPh>
    <phoneticPr fontId="2"/>
  </si>
  <si>
    <t>368-0113</t>
    <phoneticPr fontId="2"/>
  </si>
  <si>
    <t>050-7566-0481</t>
    <phoneticPr fontId="2"/>
  </si>
  <si>
    <t>○</t>
    <phoneticPr fontId="2"/>
  </si>
  <si>
    <t>秩父鉄道秩父本線三峰口駅から車20分</t>
    <rPh sb="0" eb="2">
      <t>チチブ</t>
    </rPh>
    <rPh sb="2" eb="4">
      <t>テツドウ</t>
    </rPh>
    <rPh sb="4" eb="6">
      <t>チチブ</t>
    </rPh>
    <rPh sb="6" eb="8">
      <t>ホンセン</t>
    </rPh>
    <rPh sb="8" eb="11">
      <t>ミツミネグチ</t>
    </rPh>
    <rPh sb="11" eb="12">
      <t>エキ</t>
    </rPh>
    <rPh sb="14" eb="15">
      <t>クルマ</t>
    </rPh>
    <rPh sb="17" eb="18">
      <t>フン</t>
    </rPh>
    <phoneticPr fontId="2"/>
  </si>
  <si>
    <t>○</t>
    <phoneticPr fontId="2"/>
  </si>
  <si>
    <t>西武新宿線航空公園駅から並木通り団地行・エステシティ所沢行バス「秩父学園入口」下車徒歩2分</t>
    <rPh sb="0" eb="5">
      <t>セイブシンジュクセン</t>
    </rPh>
    <rPh sb="26" eb="28">
      <t>トコロザワ</t>
    </rPh>
    <rPh sb="28" eb="29">
      <t>イ</t>
    </rPh>
    <rPh sb="32" eb="34">
      <t>チチブ</t>
    </rPh>
    <rPh sb="34" eb="36">
      <t>ガクエン</t>
    </rPh>
    <rPh sb="36" eb="37">
      <t>イ</t>
    </rPh>
    <rPh sb="37" eb="38">
      <t>グチ</t>
    </rPh>
    <phoneticPr fontId="2"/>
  </si>
  <si>
    <t>若松町839-19</t>
    <rPh sb="0" eb="3">
      <t>ワカマツチョウ</t>
    </rPh>
    <phoneticPr fontId="2"/>
  </si>
  <si>
    <t>049-295-2036</t>
    <phoneticPr fontId="2"/>
  </si>
  <si>
    <t>川角449-1</t>
    <rPh sb="0" eb="2">
      <t>カワカド</t>
    </rPh>
    <phoneticPr fontId="2"/>
  </si>
  <si>
    <t>350-0436</t>
    <phoneticPr fontId="2"/>
  </si>
  <si>
    <t>善ヶ島3310-1</t>
    <rPh sb="0" eb="1">
      <t>ゼン</t>
    </rPh>
    <rPh sb="2" eb="3">
      <t>シマ</t>
    </rPh>
    <phoneticPr fontId="2"/>
  </si>
  <si>
    <t>熊谷駅から妻沼行バス終点「妻沼」下車徒歩15分</t>
    <rPh sb="0" eb="2">
      <t>クマガヤ</t>
    </rPh>
    <rPh sb="2" eb="3">
      <t>エキ</t>
    </rPh>
    <rPh sb="5" eb="7">
      <t>メヌマ</t>
    </rPh>
    <rPh sb="7" eb="8">
      <t>イ</t>
    </rPh>
    <rPh sb="10" eb="12">
      <t>シュウテン</t>
    </rPh>
    <rPh sb="13" eb="15">
      <t>メヌマ</t>
    </rPh>
    <rPh sb="16" eb="18">
      <t>ゲシャ</t>
    </rPh>
    <rPh sb="18" eb="20">
      <t>トホ</t>
    </rPh>
    <rPh sb="22" eb="23">
      <t>プン</t>
    </rPh>
    <phoneticPr fontId="2"/>
  </si>
  <si>
    <t>ゆたか</t>
    <phoneticPr fontId="2"/>
  </si>
  <si>
    <t>344-0053</t>
    <phoneticPr fontId="2"/>
  </si>
  <si>
    <t>048-884-9083</t>
    <phoneticPr fontId="2"/>
  </si>
  <si>
    <t>048-884-9084</t>
    <phoneticPr fontId="2"/>
  </si>
  <si>
    <t>359-0023</t>
    <phoneticPr fontId="2"/>
  </si>
  <si>
    <t>(株)チャレジョブ</t>
    <rPh sb="1" eb="2">
      <t>カブ</t>
    </rPh>
    <phoneticPr fontId="2"/>
  </si>
  <si>
    <t>チャレジョブセンター</t>
    <phoneticPr fontId="2"/>
  </si>
  <si>
    <t>若宮1-2-16伸光ビル2階</t>
    <rPh sb="0" eb="2">
      <t>ワカミヤ</t>
    </rPh>
    <rPh sb="8" eb="9">
      <t>シン</t>
    </rPh>
    <rPh sb="9" eb="10">
      <t>ヒカリ</t>
    </rPh>
    <rPh sb="13" eb="14">
      <t>カイ</t>
    </rPh>
    <phoneticPr fontId="2"/>
  </si>
  <si>
    <t>363-0022</t>
    <phoneticPr fontId="2"/>
  </si>
  <si>
    <t>048-789-5300</t>
    <phoneticPr fontId="2"/>
  </si>
  <si>
    <t>048-789-5301</t>
    <phoneticPr fontId="2"/>
  </si>
  <si>
    <t>○</t>
    <phoneticPr fontId="2"/>
  </si>
  <si>
    <t>高崎線桶川駅から徒歩2分</t>
    <rPh sb="0" eb="2">
      <t>タカサキ</t>
    </rPh>
    <rPh sb="2" eb="3">
      <t>セン</t>
    </rPh>
    <rPh sb="3" eb="5">
      <t>オケガワ</t>
    </rPh>
    <rPh sb="5" eb="6">
      <t>エキ</t>
    </rPh>
    <rPh sb="8" eb="10">
      <t>トホ</t>
    </rPh>
    <rPh sb="11" eb="12">
      <t>フン</t>
    </rPh>
    <phoneticPr fontId="2"/>
  </si>
  <si>
    <t>上崎2701-1</t>
    <rPh sb="0" eb="1">
      <t>ウエ</t>
    </rPh>
    <rPh sb="1" eb="2">
      <t>サキ</t>
    </rPh>
    <phoneticPr fontId="2"/>
  </si>
  <si>
    <t>東武伊勢崎線加須駅から車15分</t>
    <rPh sb="0" eb="2">
      <t>トウブ</t>
    </rPh>
    <rPh sb="2" eb="5">
      <t>イセサキ</t>
    </rPh>
    <rPh sb="5" eb="6">
      <t>セン</t>
    </rPh>
    <rPh sb="6" eb="8">
      <t>カゾ</t>
    </rPh>
    <rPh sb="8" eb="9">
      <t>エキ</t>
    </rPh>
    <rPh sb="11" eb="12">
      <t>クルマ</t>
    </rPh>
    <rPh sb="14" eb="15">
      <t>フン</t>
    </rPh>
    <phoneticPr fontId="2"/>
  </si>
  <si>
    <t>350-1115</t>
    <phoneticPr fontId="13"/>
  </si>
  <si>
    <t>049-265-8501</t>
    <phoneticPr fontId="2"/>
  </si>
  <si>
    <t>049-265-8504</t>
    <phoneticPr fontId="2"/>
  </si>
  <si>
    <t>○</t>
    <phoneticPr fontId="13"/>
  </si>
  <si>
    <t>○</t>
    <phoneticPr fontId="2"/>
  </si>
  <si>
    <t>ＪＲ川越駅から徒歩10分</t>
    <rPh sb="2" eb="4">
      <t>カワゴエ</t>
    </rPh>
    <rPh sb="4" eb="5">
      <t>エキ</t>
    </rPh>
    <rPh sb="7" eb="9">
      <t>トホ</t>
    </rPh>
    <rPh sb="11" eb="12">
      <t>プン</t>
    </rPh>
    <phoneticPr fontId="2"/>
  </si>
  <si>
    <t>INSPIRE（株）</t>
    <rPh sb="7" eb="10">
      <t>カブ</t>
    </rPh>
    <phoneticPr fontId="2"/>
  </si>
  <si>
    <t>ウェルビー大宮センター</t>
    <rPh sb="5" eb="7">
      <t>オオミヤ</t>
    </rPh>
    <phoneticPr fontId="2"/>
  </si>
  <si>
    <t>330-0846</t>
    <phoneticPr fontId="2"/>
  </si>
  <si>
    <t>048-640-5010</t>
    <phoneticPr fontId="2"/>
  </si>
  <si>
    <t>048-640-5011</t>
    <phoneticPr fontId="2"/>
  </si>
  <si>
    <t>大宮駅東口から徒歩7分</t>
    <rPh sb="0" eb="2">
      <t>オオミヤ</t>
    </rPh>
    <rPh sb="2" eb="3">
      <t>エキ</t>
    </rPh>
    <rPh sb="3" eb="5">
      <t>ヒガシグチ</t>
    </rPh>
    <rPh sb="7" eb="9">
      <t>トホ</t>
    </rPh>
    <rPh sb="10" eb="11">
      <t>フン</t>
    </rPh>
    <phoneticPr fontId="2"/>
  </si>
  <si>
    <t>指定障害福祉サービス事業所かがやき</t>
    <rPh sb="0" eb="2">
      <t>シテイ</t>
    </rPh>
    <rPh sb="2" eb="4">
      <t>ショウガイ</t>
    </rPh>
    <rPh sb="4" eb="6">
      <t>フクシ</t>
    </rPh>
    <rPh sb="10" eb="13">
      <t>ジギョウショ</t>
    </rPh>
    <phoneticPr fontId="2"/>
  </si>
  <si>
    <t>(福)藤の実会</t>
    <rPh sb="1" eb="2">
      <t>フク</t>
    </rPh>
    <rPh sb="3" eb="4">
      <t>フジ</t>
    </rPh>
    <rPh sb="5" eb="6">
      <t>ミ</t>
    </rPh>
    <rPh sb="6" eb="7">
      <t>カイ</t>
    </rPh>
    <phoneticPr fontId="2"/>
  </si>
  <si>
    <t>北原町935-1</t>
    <phoneticPr fontId="2"/>
  </si>
  <si>
    <t>04-2941-4105</t>
    <phoneticPr fontId="2"/>
  </si>
  <si>
    <t>04-2935-3555</t>
    <phoneticPr fontId="2"/>
  </si>
  <si>
    <t>西武新宿線航空公園駅からエステシティー所沢行西武バス「若松町」下車徒歩1分</t>
    <phoneticPr fontId="2"/>
  </si>
  <si>
    <t>就労継続支援Ｂ型事業所スキップ</t>
    <rPh sb="0" eb="2">
      <t>シュウロウ</t>
    </rPh>
    <rPh sb="2" eb="4">
      <t>ケイゾク</t>
    </rPh>
    <rPh sb="4" eb="6">
      <t>シエン</t>
    </rPh>
    <rPh sb="7" eb="8">
      <t>ガタ</t>
    </rPh>
    <rPh sb="8" eb="11">
      <t>ジギョウショ</t>
    </rPh>
    <phoneticPr fontId="2"/>
  </si>
  <si>
    <t>西武新宿線航空公園駅西口下車徒歩3分</t>
    <rPh sb="0" eb="2">
      <t>セイブ</t>
    </rPh>
    <rPh sb="2" eb="4">
      <t>シンジュク</t>
    </rPh>
    <rPh sb="4" eb="5">
      <t>セン</t>
    </rPh>
    <rPh sb="5" eb="7">
      <t>コウクウ</t>
    </rPh>
    <rPh sb="7" eb="9">
      <t>コウエン</t>
    </rPh>
    <rPh sb="9" eb="10">
      <t>エキ</t>
    </rPh>
    <rPh sb="10" eb="12">
      <t>ニシグチ</t>
    </rPh>
    <rPh sb="12" eb="14">
      <t>ゲシャ</t>
    </rPh>
    <rPh sb="14" eb="16">
      <t>トホ</t>
    </rPh>
    <rPh sb="17" eb="18">
      <t>フン</t>
    </rPh>
    <phoneticPr fontId="2"/>
  </si>
  <si>
    <t>04-2922-3439</t>
    <phoneticPr fontId="2"/>
  </si>
  <si>
    <t>あいあい滝ノ入作業所</t>
    <rPh sb="4" eb="5">
      <t>タキ</t>
    </rPh>
    <rPh sb="6" eb="7">
      <t>イ</t>
    </rPh>
    <rPh sb="7" eb="10">
      <t>サギョウショ</t>
    </rPh>
    <phoneticPr fontId="2"/>
  </si>
  <si>
    <t>滝ノ入159</t>
    <rPh sb="0" eb="1">
      <t>タキ</t>
    </rPh>
    <rPh sb="2" eb="3">
      <t>イ</t>
    </rPh>
    <phoneticPr fontId="2"/>
  </si>
  <si>
    <t>350-0456</t>
    <phoneticPr fontId="2"/>
  </si>
  <si>
    <t>049-295-1256</t>
    <phoneticPr fontId="2"/>
  </si>
  <si>
    <t>八高線毛呂駅下車徒歩13分</t>
    <phoneticPr fontId="2"/>
  </si>
  <si>
    <t>就労継続支援事業所にこにこハウス</t>
    <rPh sb="0" eb="2">
      <t>シュウロウ</t>
    </rPh>
    <rPh sb="2" eb="4">
      <t>ケイゾク</t>
    </rPh>
    <rPh sb="4" eb="6">
      <t>シエン</t>
    </rPh>
    <rPh sb="6" eb="9">
      <t>ジギョウショ</t>
    </rPh>
    <phoneticPr fontId="2"/>
  </si>
  <si>
    <t>稲荷町14-10</t>
    <phoneticPr fontId="2"/>
  </si>
  <si>
    <t>042-978-9222</t>
    <phoneticPr fontId="2"/>
  </si>
  <si>
    <t>○</t>
    <phoneticPr fontId="2"/>
  </si>
  <si>
    <t>357-0037</t>
    <phoneticPr fontId="2"/>
  </si>
  <si>
    <t>(特非)インターメディカル</t>
    <rPh sb="1" eb="2">
      <t>トク</t>
    </rPh>
    <rPh sb="2" eb="3">
      <t>ヒ</t>
    </rPh>
    <phoneticPr fontId="2"/>
  </si>
  <si>
    <t>西武池袋線飯能駅下車徒歩7分</t>
    <phoneticPr fontId="2"/>
  </si>
  <si>
    <t>本田3126</t>
    <rPh sb="0" eb="2">
      <t>ホンダ</t>
    </rPh>
    <phoneticPr fontId="2"/>
  </si>
  <si>
    <t>0493-34-4377</t>
    <phoneticPr fontId="2"/>
  </si>
  <si>
    <t>大字戸崎384-1</t>
    <rPh sb="0" eb="2">
      <t>オオアザ</t>
    </rPh>
    <rPh sb="2" eb="4">
      <t>トサキ</t>
    </rPh>
    <phoneticPr fontId="2"/>
  </si>
  <si>
    <t>高崎線宮原駅西口下車花の丘行バス「花の丘」下車徒歩6分</t>
    <rPh sb="0" eb="2">
      <t>タカサキ</t>
    </rPh>
    <rPh sb="2" eb="3">
      <t>セン</t>
    </rPh>
    <rPh sb="3" eb="5">
      <t>ミヤハラ</t>
    </rPh>
    <rPh sb="5" eb="6">
      <t>エキ</t>
    </rPh>
    <rPh sb="6" eb="8">
      <t>ニシグチ</t>
    </rPh>
    <rPh sb="8" eb="10">
      <t>ゲシャ</t>
    </rPh>
    <rPh sb="10" eb="11">
      <t>ハナ</t>
    </rPh>
    <rPh sb="12" eb="13">
      <t>オカ</t>
    </rPh>
    <rPh sb="13" eb="14">
      <t>ユ</t>
    </rPh>
    <rPh sb="17" eb="18">
      <t>ハナ</t>
    </rPh>
    <rPh sb="19" eb="20">
      <t>オカ</t>
    </rPh>
    <rPh sb="21" eb="23">
      <t>ゲシャ</t>
    </rPh>
    <rPh sb="23" eb="25">
      <t>トホ</t>
    </rPh>
    <rPh sb="26" eb="27">
      <t>フン</t>
    </rPh>
    <phoneticPr fontId="2"/>
  </si>
  <si>
    <t>(株)綜合キャリアトラスト</t>
    <rPh sb="1" eb="2">
      <t>カブ</t>
    </rPh>
    <rPh sb="3" eb="5">
      <t>ソウゴウ</t>
    </rPh>
    <phoneticPr fontId="2"/>
  </si>
  <si>
    <t>ＳＡＫＵＲＡわらびセンター</t>
    <phoneticPr fontId="2"/>
  </si>
  <si>
    <t>芝新町4-6 YS TOWER 6階</t>
    <rPh sb="0" eb="1">
      <t>シバ</t>
    </rPh>
    <rPh sb="1" eb="3">
      <t>シンマチ</t>
    </rPh>
    <rPh sb="17" eb="18">
      <t>カイ</t>
    </rPh>
    <phoneticPr fontId="2"/>
  </si>
  <si>
    <t>333-0851</t>
    <phoneticPr fontId="2"/>
  </si>
  <si>
    <t>048-260-3921</t>
    <phoneticPr fontId="2"/>
  </si>
  <si>
    <t>048-260-3922</t>
    <phoneticPr fontId="2"/>
  </si>
  <si>
    <t>○</t>
    <phoneticPr fontId="2"/>
  </si>
  <si>
    <t>京浜東北線蕨駅東口徒歩4分</t>
    <rPh sb="0" eb="2">
      <t>ケイヒン</t>
    </rPh>
    <rPh sb="2" eb="4">
      <t>トウホク</t>
    </rPh>
    <rPh sb="4" eb="5">
      <t>セン</t>
    </rPh>
    <rPh sb="5" eb="6">
      <t>ワラビ</t>
    </rPh>
    <rPh sb="6" eb="7">
      <t>エキ</t>
    </rPh>
    <rPh sb="7" eb="9">
      <t>ヒガシグチ</t>
    </rPh>
    <rPh sb="9" eb="11">
      <t>トホ</t>
    </rPh>
    <rPh sb="12" eb="13">
      <t>フン</t>
    </rPh>
    <phoneticPr fontId="2"/>
  </si>
  <si>
    <t>○</t>
    <phoneticPr fontId="2"/>
  </si>
  <si>
    <t>(福)ひふみ会</t>
    <rPh sb="1" eb="2">
      <t>フク</t>
    </rPh>
    <rPh sb="6" eb="7">
      <t>カイ</t>
    </rPh>
    <phoneticPr fontId="2"/>
  </si>
  <si>
    <t>光福</t>
    <rPh sb="0" eb="1">
      <t>コウ</t>
    </rPh>
    <rPh sb="1" eb="2">
      <t>フク</t>
    </rPh>
    <phoneticPr fontId="2"/>
  </si>
  <si>
    <t>西新井宿885-1</t>
    <phoneticPr fontId="2"/>
  </si>
  <si>
    <t>333-0833</t>
    <phoneticPr fontId="2"/>
  </si>
  <si>
    <t>048-229-1623</t>
    <phoneticPr fontId="2"/>
  </si>
  <si>
    <t>048-229-1602</t>
    <phoneticPr fontId="2"/>
  </si>
  <si>
    <t>埼玉高速鉄道新井宿駅徒歩7分</t>
    <rPh sb="0" eb="2">
      <t>サイタマ</t>
    </rPh>
    <rPh sb="2" eb="4">
      <t>コウソク</t>
    </rPh>
    <rPh sb="4" eb="6">
      <t>テツドウ</t>
    </rPh>
    <rPh sb="6" eb="9">
      <t>アライジュク</t>
    </rPh>
    <rPh sb="9" eb="10">
      <t>エキ</t>
    </rPh>
    <rPh sb="10" eb="12">
      <t>トホ</t>
    </rPh>
    <rPh sb="13" eb="14">
      <t>フン</t>
    </rPh>
    <phoneticPr fontId="2"/>
  </si>
  <si>
    <t>(特非)藤の森福祉会</t>
    <rPh sb="1" eb="2">
      <t>トク</t>
    </rPh>
    <rPh sb="2" eb="3">
      <t>ヒ</t>
    </rPh>
    <rPh sb="4" eb="5">
      <t>フジ</t>
    </rPh>
    <rPh sb="6" eb="7">
      <t>モリ</t>
    </rPh>
    <rPh sb="7" eb="10">
      <t>フクシカイ</t>
    </rPh>
    <phoneticPr fontId="2"/>
  </si>
  <si>
    <t>ふぉるて</t>
    <phoneticPr fontId="2"/>
  </si>
  <si>
    <t>八木崎町1-5</t>
    <rPh sb="0" eb="2">
      <t>ヤギ</t>
    </rPh>
    <rPh sb="2" eb="3">
      <t>ザキ</t>
    </rPh>
    <rPh sb="3" eb="4">
      <t>チョウ</t>
    </rPh>
    <phoneticPr fontId="2"/>
  </si>
  <si>
    <t>344-0055</t>
    <phoneticPr fontId="2"/>
  </si>
  <si>
    <t>048-884-9543</t>
    <phoneticPr fontId="2"/>
  </si>
  <si>
    <t>○</t>
    <phoneticPr fontId="2"/>
  </si>
  <si>
    <t>東武野田線八木崎駅下車徒歩5分</t>
    <rPh sb="0" eb="2">
      <t>トウブ</t>
    </rPh>
    <rPh sb="2" eb="4">
      <t>ノダ</t>
    </rPh>
    <rPh sb="4" eb="5">
      <t>セン</t>
    </rPh>
    <rPh sb="5" eb="6">
      <t>ヤ</t>
    </rPh>
    <rPh sb="6" eb="8">
      <t>キザキ</t>
    </rPh>
    <rPh sb="8" eb="9">
      <t>エキ</t>
    </rPh>
    <rPh sb="9" eb="11">
      <t>ゲシャ</t>
    </rPh>
    <rPh sb="11" eb="13">
      <t>トホ</t>
    </rPh>
    <rPh sb="14" eb="15">
      <t>フン</t>
    </rPh>
    <phoneticPr fontId="2"/>
  </si>
  <si>
    <t>江面字小谷1250-1</t>
    <rPh sb="0" eb="1">
      <t>エ</t>
    </rPh>
    <rPh sb="1" eb="2">
      <t>メン</t>
    </rPh>
    <rPh sb="2" eb="3">
      <t>アザ</t>
    </rPh>
    <rPh sb="3" eb="5">
      <t>コタニ</t>
    </rPh>
    <phoneticPr fontId="2"/>
  </si>
  <si>
    <t>宇都宮線久喜駅西口菖蒲工業団地管理センター行「管理センター」下車徒歩7分</t>
    <rPh sb="0" eb="3">
      <t>ウツノミヤ</t>
    </rPh>
    <rPh sb="3" eb="4">
      <t>セン</t>
    </rPh>
    <rPh sb="4" eb="6">
      <t>クキ</t>
    </rPh>
    <rPh sb="6" eb="7">
      <t>エキ</t>
    </rPh>
    <rPh sb="7" eb="9">
      <t>ニシグチ</t>
    </rPh>
    <rPh sb="9" eb="11">
      <t>ショウブ</t>
    </rPh>
    <rPh sb="11" eb="13">
      <t>コウギョウ</t>
    </rPh>
    <rPh sb="13" eb="15">
      <t>ダンチ</t>
    </rPh>
    <rPh sb="15" eb="17">
      <t>カンリ</t>
    </rPh>
    <rPh sb="21" eb="22">
      <t>ユ</t>
    </rPh>
    <rPh sb="23" eb="25">
      <t>カンリ</t>
    </rPh>
    <rPh sb="30" eb="32">
      <t>ゲシャ</t>
    </rPh>
    <rPh sb="32" eb="34">
      <t>トホ</t>
    </rPh>
    <rPh sb="35" eb="36">
      <t>フン</t>
    </rPh>
    <phoneticPr fontId="2"/>
  </si>
  <si>
    <t>(特非)あどぼ</t>
    <rPh sb="1" eb="2">
      <t>トク</t>
    </rPh>
    <rPh sb="2" eb="3">
      <t>ヒ</t>
    </rPh>
    <phoneticPr fontId="2"/>
  </si>
  <si>
    <t>らいふれっさ</t>
    <phoneticPr fontId="2"/>
  </si>
  <si>
    <t>久喜市</t>
    <phoneticPr fontId="2"/>
  </si>
  <si>
    <t>太田袋字本村471-1</t>
    <phoneticPr fontId="2"/>
  </si>
  <si>
    <t>346-0023</t>
    <phoneticPr fontId="2"/>
  </si>
  <si>
    <t>340-0816</t>
    <phoneticPr fontId="2"/>
  </si>
  <si>
    <t>(福)光陽会</t>
    <rPh sb="1" eb="2">
      <t>フク</t>
    </rPh>
    <rPh sb="3" eb="5">
      <t>ミツヒロ</t>
    </rPh>
    <rPh sb="5" eb="6">
      <t>カイ</t>
    </rPh>
    <phoneticPr fontId="2"/>
  </si>
  <si>
    <t>青柳太陽の家</t>
    <rPh sb="0" eb="2">
      <t>アオヤギ</t>
    </rPh>
    <rPh sb="2" eb="4">
      <t>タイヨウ</t>
    </rPh>
    <rPh sb="5" eb="6">
      <t>イエ</t>
    </rPh>
    <phoneticPr fontId="2"/>
  </si>
  <si>
    <t>青柳4-19-12</t>
    <rPh sb="0" eb="2">
      <t>アオヤギ</t>
    </rPh>
    <phoneticPr fontId="2"/>
  </si>
  <si>
    <t>340-0002</t>
    <phoneticPr fontId="2"/>
  </si>
  <si>
    <t>048-935-7420</t>
    <phoneticPr fontId="2"/>
  </si>
  <si>
    <t>048-935-7429</t>
    <phoneticPr fontId="2"/>
  </si>
  <si>
    <t>東武伊勢崎線新田駅柿木公民館行バス「青上橋」下車徒歩5分</t>
    <rPh sb="0" eb="2">
      <t>トウブ</t>
    </rPh>
    <rPh sb="2" eb="5">
      <t>イセサキ</t>
    </rPh>
    <rPh sb="5" eb="6">
      <t>セン</t>
    </rPh>
    <rPh sb="6" eb="8">
      <t>ニッタ</t>
    </rPh>
    <rPh sb="8" eb="9">
      <t>エキ</t>
    </rPh>
    <rPh sb="9" eb="11">
      <t>カキノキ</t>
    </rPh>
    <rPh sb="11" eb="14">
      <t>コウミンカン</t>
    </rPh>
    <rPh sb="14" eb="15">
      <t>ユ</t>
    </rPh>
    <rPh sb="18" eb="19">
      <t>アオ</t>
    </rPh>
    <rPh sb="19" eb="20">
      <t>ア</t>
    </rPh>
    <rPh sb="20" eb="21">
      <t>バシ</t>
    </rPh>
    <rPh sb="22" eb="24">
      <t>ゲシャ</t>
    </rPh>
    <rPh sb="24" eb="26">
      <t>トホ</t>
    </rPh>
    <rPh sb="27" eb="28">
      <t>フン</t>
    </rPh>
    <phoneticPr fontId="2"/>
  </si>
  <si>
    <t>(福)戸田市社会福祉事業団</t>
    <rPh sb="1" eb="2">
      <t>フク</t>
    </rPh>
    <rPh sb="3" eb="6">
      <t>トダシ</t>
    </rPh>
    <rPh sb="6" eb="8">
      <t>シャカイ</t>
    </rPh>
    <rPh sb="8" eb="10">
      <t>フクシ</t>
    </rPh>
    <rPh sb="10" eb="13">
      <t>ジギョウダン</t>
    </rPh>
    <phoneticPr fontId="2"/>
  </si>
  <si>
    <t>にじの杜</t>
    <rPh sb="3" eb="4">
      <t>モリ</t>
    </rPh>
    <phoneticPr fontId="2"/>
  </si>
  <si>
    <t>大字上戸田5-7</t>
    <rPh sb="0" eb="2">
      <t>オオアザ</t>
    </rPh>
    <rPh sb="2" eb="5">
      <t>カミトダ</t>
    </rPh>
    <phoneticPr fontId="2"/>
  </si>
  <si>
    <t>埼京線戸田駅下車徒歩10分</t>
    <rPh sb="0" eb="2">
      <t>サイキョウ</t>
    </rPh>
    <rPh sb="2" eb="3">
      <t>セン</t>
    </rPh>
    <rPh sb="3" eb="5">
      <t>トダ</t>
    </rPh>
    <rPh sb="5" eb="6">
      <t>エキ</t>
    </rPh>
    <rPh sb="6" eb="8">
      <t>ゲシャ</t>
    </rPh>
    <rPh sb="8" eb="10">
      <t>トホ</t>
    </rPh>
    <rPh sb="12" eb="13">
      <t>フン</t>
    </rPh>
    <phoneticPr fontId="2"/>
  </si>
  <si>
    <t>(福)幸生会</t>
    <rPh sb="1" eb="2">
      <t>フク</t>
    </rPh>
    <rPh sb="3" eb="4">
      <t>コウ</t>
    </rPh>
    <rPh sb="4" eb="5">
      <t>セイ</t>
    </rPh>
    <rPh sb="5" eb="6">
      <t>カイ</t>
    </rPh>
    <phoneticPr fontId="2"/>
  </si>
  <si>
    <t>大字上川俣1436-1</t>
    <rPh sb="0" eb="2">
      <t>オオアザ</t>
    </rPh>
    <rPh sb="2" eb="5">
      <t>カミカワマタ</t>
    </rPh>
    <phoneticPr fontId="2"/>
  </si>
  <si>
    <t>東武伊勢崎線羽生駅よりタクシー20分</t>
    <rPh sb="0" eb="2">
      <t>トウブ</t>
    </rPh>
    <rPh sb="2" eb="5">
      <t>イセサキ</t>
    </rPh>
    <rPh sb="5" eb="6">
      <t>セン</t>
    </rPh>
    <rPh sb="6" eb="8">
      <t>ハニュウ</t>
    </rPh>
    <rPh sb="8" eb="9">
      <t>エキ</t>
    </rPh>
    <rPh sb="17" eb="18">
      <t>フン</t>
    </rPh>
    <phoneticPr fontId="2"/>
  </si>
  <si>
    <t>長瀞町・(福)清心会</t>
    <rPh sb="0" eb="3">
      <t>ナガトロマチ</t>
    </rPh>
    <rPh sb="5" eb="6">
      <t>フク</t>
    </rPh>
    <rPh sb="7" eb="8">
      <t>セイ</t>
    </rPh>
    <rPh sb="8" eb="10">
      <t>シンカイ</t>
    </rPh>
    <phoneticPr fontId="2"/>
  </si>
  <si>
    <t>長瀞町高齢者障がい者いきいきセンター</t>
    <rPh sb="0" eb="3">
      <t>ナガトロマチ</t>
    </rPh>
    <rPh sb="3" eb="6">
      <t>コウレイシャ</t>
    </rPh>
    <rPh sb="6" eb="7">
      <t>ショウ</t>
    </rPh>
    <rPh sb="9" eb="10">
      <t>モノ</t>
    </rPh>
    <phoneticPr fontId="2"/>
  </si>
  <si>
    <t>秩父郡長瀞町</t>
    <rPh sb="0" eb="3">
      <t>チチブグン</t>
    </rPh>
    <rPh sb="3" eb="6">
      <t>ナガトロマチ</t>
    </rPh>
    <phoneticPr fontId="2"/>
  </si>
  <si>
    <t>大字長瀞59</t>
    <rPh sb="0" eb="2">
      <t>オオアザ</t>
    </rPh>
    <rPh sb="2" eb="4">
      <t>ナガトロ</t>
    </rPh>
    <phoneticPr fontId="2"/>
  </si>
  <si>
    <t>369-1305</t>
    <phoneticPr fontId="2"/>
  </si>
  <si>
    <t>0494-69-2880</t>
    <phoneticPr fontId="2"/>
  </si>
  <si>
    <t>0494-66-2328</t>
    <phoneticPr fontId="2"/>
  </si>
  <si>
    <t>秩父鉄道長瀞駅徒歩9分</t>
    <rPh sb="0" eb="2">
      <t>チチブ</t>
    </rPh>
    <rPh sb="2" eb="4">
      <t>テツドウ</t>
    </rPh>
    <rPh sb="4" eb="6">
      <t>ナガトロ</t>
    </rPh>
    <rPh sb="6" eb="7">
      <t>エキ</t>
    </rPh>
    <rPh sb="7" eb="9">
      <t>トホ</t>
    </rPh>
    <rPh sb="10" eb="11">
      <t>フン</t>
    </rPh>
    <phoneticPr fontId="2"/>
  </si>
  <si>
    <t>048-884-9543</t>
    <phoneticPr fontId="2"/>
  </si>
  <si>
    <t>大宮区堀の内町1-37-103</t>
    <rPh sb="0" eb="3">
      <t>オオミヤク</t>
    </rPh>
    <rPh sb="3" eb="4">
      <t>ホリ</t>
    </rPh>
    <rPh sb="5" eb="7">
      <t>ウチチョウ</t>
    </rPh>
    <phoneticPr fontId="2"/>
  </si>
  <si>
    <t>大宮駅から国際興業バス「堀の内」下車</t>
    <rPh sb="0" eb="2">
      <t>オオミヤ</t>
    </rPh>
    <rPh sb="2" eb="3">
      <t>エキ</t>
    </rPh>
    <rPh sb="5" eb="7">
      <t>コクサイ</t>
    </rPh>
    <rPh sb="7" eb="9">
      <t>コウギョウ</t>
    </rPh>
    <rPh sb="12" eb="13">
      <t>ホリ</t>
    </rPh>
    <rPh sb="14" eb="15">
      <t>ウチ</t>
    </rPh>
    <rPh sb="16" eb="18">
      <t>ゲシャ</t>
    </rPh>
    <phoneticPr fontId="3"/>
  </si>
  <si>
    <t>障害福祉サービス事業所　ウェントス指扇</t>
    <rPh sb="0" eb="2">
      <t>ショウガイ</t>
    </rPh>
    <rPh sb="2" eb="4">
      <t>フクシ</t>
    </rPh>
    <rPh sb="8" eb="10">
      <t>ジギョウ</t>
    </rPh>
    <rPh sb="10" eb="11">
      <t>ショ</t>
    </rPh>
    <rPh sb="17" eb="19">
      <t>サシオウギ</t>
    </rPh>
    <phoneticPr fontId="5"/>
  </si>
  <si>
    <t>デイセンターアトム</t>
  </si>
  <si>
    <t>みどり園</t>
    <rPh sb="3" eb="4">
      <t>エン</t>
    </rPh>
    <phoneticPr fontId="5"/>
  </si>
  <si>
    <t>048-621-3277</t>
  </si>
  <si>
    <t>048-623-2727</t>
  </si>
  <si>
    <t>048-811-2525</t>
  </si>
  <si>
    <t>048-883-3456</t>
  </si>
  <si>
    <t>048-884-9772</t>
  </si>
  <si>
    <t>048-884-9773</t>
  </si>
  <si>
    <t>048-711-6217</t>
  </si>
  <si>
    <t>048-711-6218</t>
  </si>
  <si>
    <t>048-626-1909</t>
  </si>
  <si>
    <t>048-626-1920</t>
  </si>
  <si>
    <t>○</t>
    <phoneticPr fontId="2"/>
  </si>
  <si>
    <t>南区大字太田窪字前3505-8</t>
    <phoneticPr fontId="2"/>
  </si>
  <si>
    <t>336-0015</t>
    <phoneticPr fontId="2"/>
  </si>
  <si>
    <t>(特非)ひかり福祉会</t>
    <rPh sb="7" eb="9">
      <t>フクシ</t>
    </rPh>
    <rPh sb="9" eb="10">
      <t>カイ</t>
    </rPh>
    <phoneticPr fontId="5"/>
  </si>
  <si>
    <t>（福）さくら草</t>
    <rPh sb="1" eb="2">
      <t>フク</t>
    </rPh>
    <rPh sb="6" eb="7">
      <t>ソウ</t>
    </rPh>
    <phoneticPr fontId="5"/>
  </si>
  <si>
    <t>（福）フルホープ</t>
    <rPh sb="1" eb="2">
      <t>フク</t>
    </rPh>
    <phoneticPr fontId="5"/>
  </si>
  <si>
    <t>048-769-6835</t>
    <phoneticPr fontId="2"/>
  </si>
  <si>
    <t>幸房1433</t>
    <rPh sb="0" eb="1">
      <t>シアワ</t>
    </rPh>
    <rPh sb="1" eb="2">
      <t>フサ</t>
    </rPh>
    <phoneticPr fontId="2"/>
  </si>
  <si>
    <t>八潮市・（福）八潮市社会福祉協議会</t>
    <rPh sb="0" eb="3">
      <t>ヤシオシ</t>
    </rPh>
    <rPh sb="5" eb="6">
      <t>フク</t>
    </rPh>
    <rPh sb="7" eb="10">
      <t>ヤシオシ</t>
    </rPh>
    <rPh sb="10" eb="12">
      <t>シャカイ</t>
    </rPh>
    <rPh sb="12" eb="14">
      <t>フクシ</t>
    </rPh>
    <rPh sb="14" eb="17">
      <t>キョウギカイ</t>
    </rPh>
    <phoneticPr fontId="2"/>
  </si>
  <si>
    <t>八潮市障がい者福祉施設やまびこ</t>
    <rPh sb="0" eb="3">
      <t>ヤシオシ</t>
    </rPh>
    <rPh sb="3" eb="4">
      <t>ショウ</t>
    </rPh>
    <rPh sb="6" eb="7">
      <t>シャ</t>
    </rPh>
    <rPh sb="7" eb="9">
      <t>フクシ</t>
    </rPh>
    <rPh sb="9" eb="11">
      <t>シセツ</t>
    </rPh>
    <phoneticPr fontId="2"/>
  </si>
  <si>
    <t>川口市生活介護夢工房</t>
    <rPh sb="0" eb="3">
      <t>カワグチシ</t>
    </rPh>
    <rPh sb="3" eb="5">
      <t>セイカツ</t>
    </rPh>
    <rPh sb="5" eb="7">
      <t>カイゴ</t>
    </rPh>
    <rPh sb="7" eb="8">
      <t>ユメ</t>
    </rPh>
    <rPh sb="8" eb="10">
      <t>コウボウ</t>
    </rPh>
    <phoneticPr fontId="2"/>
  </si>
  <si>
    <t>西青木1-5-1</t>
    <rPh sb="0" eb="3">
      <t>ニシアオキ</t>
    </rPh>
    <phoneticPr fontId="2"/>
  </si>
  <si>
    <t>048-446-7915</t>
    <phoneticPr fontId="2"/>
  </si>
  <si>
    <t>048-446-7929</t>
    <phoneticPr fontId="2"/>
  </si>
  <si>
    <t>多機能型事業所ラボリ</t>
    <rPh sb="0" eb="3">
      <t>タキノウ</t>
    </rPh>
    <rPh sb="3" eb="4">
      <t>ガタ</t>
    </rPh>
    <rPh sb="4" eb="7">
      <t>ジギョウショ</t>
    </rPh>
    <phoneticPr fontId="2"/>
  </si>
  <si>
    <t>薬師町27-9</t>
    <rPh sb="0" eb="2">
      <t>ヤクシ</t>
    </rPh>
    <rPh sb="2" eb="3">
      <t>マチ</t>
    </rPh>
    <phoneticPr fontId="2"/>
  </si>
  <si>
    <t>350-0229</t>
    <phoneticPr fontId="2"/>
  </si>
  <si>
    <t>049-227-3114</t>
    <phoneticPr fontId="2"/>
  </si>
  <si>
    <t>○</t>
    <phoneticPr fontId="2"/>
  </si>
  <si>
    <t>東武東上線北坂戸駅から徒歩8分</t>
    <rPh sb="0" eb="2">
      <t>トウブ</t>
    </rPh>
    <rPh sb="2" eb="4">
      <t>トウジョウ</t>
    </rPh>
    <rPh sb="4" eb="5">
      <t>セン</t>
    </rPh>
    <rPh sb="5" eb="8">
      <t>キタサカド</t>
    </rPh>
    <rPh sb="8" eb="9">
      <t>エキ</t>
    </rPh>
    <rPh sb="11" eb="13">
      <t>トホ</t>
    </rPh>
    <rPh sb="14" eb="15">
      <t>フン</t>
    </rPh>
    <phoneticPr fontId="2"/>
  </si>
  <si>
    <t>049-227-3115</t>
    <phoneticPr fontId="2"/>
  </si>
  <si>
    <t>あかりワークス国納</t>
    <rPh sb="7" eb="8">
      <t>クニ</t>
    </rPh>
    <rPh sb="8" eb="9">
      <t>オサ</t>
    </rPh>
    <phoneticPr fontId="2"/>
  </si>
  <si>
    <t>あかりワークス姫宮</t>
    <rPh sb="7" eb="9">
      <t>ヒメミヤ</t>
    </rPh>
    <phoneticPr fontId="2"/>
  </si>
  <si>
    <t>国納816-1</t>
    <rPh sb="0" eb="1">
      <t>クニ</t>
    </rPh>
    <rPh sb="1" eb="2">
      <t>オサ</t>
    </rPh>
    <phoneticPr fontId="2"/>
  </si>
  <si>
    <t>第２おごせ福祉作業所</t>
    <rPh sb="0" eb="1">
      <t>ダイ</t>
    </rPh>
    <rPh sb="5" eb="10">
      <t>フクシサギョウショ</t>
    </rPh>
    <phoneticPr fontId="2"/>
  </si>
  <si>
    <t>如意740-1</t>
    <rPh sb="0" eb="2">
      <t>ニョイ</t>
    </rPh>
    <phoneticPr fontId="2"/>
  </si>
  <si>
    <t>049-227-3241</t>
    <phoneticPr fontId="2"/>
  </si>
  <si>
    <t>久喜駅徒歩20分</t>
    <rPh sb="0" eb="2">
      <t>クキ</t>
    </rPh>
    <rPh sb="2" eb="3">
      <t>エキ</t>
    </rPh>
    <rPh sb="3" eb="5">
      <t>トホ</t>
    </rPh>
    <rPh sb="7" eb="8">
      <t>フン</t>
    </rPh>
    <phoneticPr fontId="2"/>
  </si>
  <si>
    <t>(福)かえで</t>
    <phoneticPr fontId="2"/>
  </si>
  <si>
    <t>049-227-3240</t>
    <phoneticPr fontId="2"/>
  </si>
  <si>
    <t>桜区西堀8-9-18</t>
    <rPh sb="0" eb="2">
      <t>サクラク</t>
    </rPh>
    <rPh sb="2" eb="4">
      <t>ニシボリ</t>
    </rPh>
    <phoneticPr fontId="2"/>
  </si>
  <si>
    <t>緑区三室1431</t>
    <phoneticPr fontId="2"/>
  </si>
  <si>
    <t>埼玉県障がい者共同作業所</t>
    <rPh sb="3" eb="4">
      <t>ショウ</t>
    </rPh>
    <rPh sb="6" eb="7">
      <t>モノ</t>
    </rPh>
    <rPh sb="7" eb="9">
      <t>キョウドウ</t>
    </rPh>
    <phoneticPr fontId="2"/>
  </si>
  <si>
    <t>うお座</t>
    <rPh sb="2" eb="3">
      <t>ザ</t>
    </rPh>
    <phoneticPr fontId="2"/>
  </si>
  <si>
    <t>360-0203</t>
    <phoneticPr fontId="2"/>
  </si>
  <si>
    <t>048-589-2727</t>
    <phoneticPr fontId="2"/>
  </si>
  <si>
    <t>上新田256</t>
    <rPh sb="0" eb="1">
      <t>ウエ</t>
    </rPh>
    <rPh sb="1" eb="3">
      <t>シンデン</t>
    </rPh>
    <phoneticPr fontId="2"/>
  </si>
  <si>
    <t>049-227-3148</t>
    <phoneticPr fontId="2"/>
  </si>
  <si>
    <t>（特非）ポコ・ア・ポコ</t>
    <rPh sb="1" eb="2">
      <t>トク</t>
    </rPh>
    <rPh sb="2" eb="3">
      <t>ヒ</t>
    </rPh>
    <phoneticPr fontId="2"/>
  </si>
  <si>
    <t>アッコルト</t>
    <phoneticPr fontId="2"/>
  </si>
  <si>
    <t>藤波2-223</t>
    <rPh sb="0" eb="2">
      <t>フジナミ</t>
    </rPh>
    <phoneticPr fontId="2"/>
  </si>
  <si>
    <t>362-0061</t>
    <phoneticPr fontId="2"/>
  </si>
  <si>
    <t>048-786-5111</t>
    <phoneticPr fontId="2"/>
  </si>
  <si>
    <t>高崎線桶川駅から車5分</t>
    <rPh sb="0" eb="3">
      <t>タカサキセン</t>
    </rPh>
    <rPh sb="3" eb="6">
      <t>オケガワエキ</t>
    </rPh>
    <rPh sb="8" eb="9">
      <t>クルマ</t>
    </rPh>
    <rPh sb="10" eb="11">
      <t>フン</t>
    </rPh>
    <phoneticPr fontId="2"/>
  </si>
  <si>
    <t>048-947-5528</t>
    <phoneticPr fontId="2"/>
  </si>
  <si>
    <t>048-945-7511</t>
    <phoneticPr fontId="2"/>
  </si>
  <si>
    <t>ウェルビー草加駅前センター</t>
    <rPh sb="5" eb="7">
      <t>ソウカ</t>
    </rPh>
    <rPh sb="7" eb="9">
      <t>エキマエ</t>
    </rPh>
    <phoneticPr fontId="2"/>
  </si>
  <si>
    <t>340-0034</t>
    <phoneticPr fontId="2"/>
  </si>
  <si>
    <t>048-929-7575</t>
    <phoneticPr fontId="2"/>
  </si>
  <si>
    <t>048-929-7576</t>
    <phoneticPr fontId="2"/>
  </si>
  <si>
    <t>東武スカイツリーライン草加駅西口徒歩3分</t>
    <rPh sb="0" eb="2">
      <t>トウブ</t>
    </rPh>
    <rPh sb="11" eb="14">
      <t>ソウカエキ</t>
    </rPh>
    <rPh sb="14" eb="16">
      <t>ニシグチ</t>
    </rPh>
    <rPh sb="16" eb="18">
      <t>トホ</t>
    </rPh>
    <rPh sb="19" eb="20">
      <t>フン</t>
    </rPh>
    <phoneticPr fontId="2"/>
  </si>
  <si>
    <t>かもめ</t>
    <phoneticPr fontId="2"/>
  </si>
  <si>
    <t>0495-77-4833</t>
    <phoneticPr fontId="2"/>
  </si>
  <si>
    <t>(特非)みやはら福祉会</t>
    <rPh sb="8" eb="11">
      <t>フクシカイ</t>
    </rPh>
    <phoneticPr fontId="2"/>
  </si>
  <si>
    <t>大空</t>
    <rPh sb="0" eb="2">
      <t>オオゾラ</t>
    </rPh>
    <phoneticPr fontId="5"/>
  </si>
  <si>
    <t>(特非)みやはら福祉会</t>
    <rPh sb="1" eb="2">
      <t>トク</t>
    </rPh>
    <rPh sb="2" eb="3">
      <t>ヒ</t>
    </rPh>
    <rPh sb="8" eb="10">
      <t>フクシ</t>
    </rPh>
    <rPh sb="10" eb="11">
      <t>カイ</t>
    </rPh>
    <phoneticPr fontId="5"/>
  </si>
  <si>
    <t>日進駅から徒歩10分</t>
    <rPh sb="0" eb="2">
      <t>ニッシン</t>
    </rPh>
    <rPh sb="2" eb="3">
      <t>エキ</t>
    </rPh>
    <phoneticPr fontId="2"/>
  </si>
  <si>
    <t>宮原駅西口から徒歩5分</t>
    <rPh sb="0" eb="2">
      <t>ミヤハラ</t>
    </rPh>
    <rPh sb="1" eb="2">
      <t>タカミヤ</t>
    </rPh>
    <rPh sb="2" eb="3">
      <t>エキ</t>
    </rPh>
    <rPh sb="3" eb="5">
      <t>ニシグチ</t>
    </rPh>
    <rPh sb="7" eb="9">
      <t>トホ</t>
    </rPh>
    <rPh sb="10" eb="11">
      <t>ブン</t>
    </rPh>
    <phoneticPr fontId="2"/>
  </si>
  <si>
    <t>早稲田1-17-13</t>
    <rPh sb="0" eb="3">
      <t>ワセダ</t>
    </rPh>
    <phoneticPr fontId="2"/>
  </si>
  <si>
    <t>048-874-1750</t>
    <phoneticPr fontId="2"/>
  </si>
  <si>
    <t>グローイングサポート</t>
    <phoneticPr fontId="2"/>
  </si>
  <si>
    <t>行田9-5 平塚ビル1F北側</t>
    <rPh sb="0" eb="2">
      <t>ギョウダ</t>
    </rPh>
    <rPh sb="6" eb="8">
      <t>ヒラツカ</t>
    </rPh>
    <rPh sb="12" eb="14">
      <t>キタガワ</t>
    </rPh>
    <phoneticPr fontId="2"/>
  </si>
  <si>
    <t>361-0073</t>
    <phoneticPr fontId="2"/>
  </si>
  <si>
    <t>048-501-8756</t>
    <phoneticPr fontId="2"/>
  </si>
  <si>
    <t>048-501-7623</t>
    <phoneticPr fontId="2"/>
  </si>
  <si>
    <t>秩父鉄道行田市駅下車徒歩14分</t>
    <rPh sb="0" eb="2">
      <t>チチブ</t>
    </rPh>
    <rPh sb="2" eb="4">
      <t>テツドウ</t>
    </rPh>
    <rPh sb="4" eb="8">
      <t>ギョウダシエキ</t>
    </rPh>
    <rPh sb="8" eb="10">
      <t>ゲシャ</t>
    </rPh>
    <rPh sb="10" eb="12">
      <t>トホ</t>
    </rPh>
    <rPh sb="14" eb="15">
      <t>プン</t>
    </rPh>
    <phoneticPr fontId="2"/>
  </si>
  <si>
    <t>(株)サンライト</t>
    <rPh sb="1" eb="2">
      <t>カブ</t>
    </rPh>
    <phoneticPr fontId="2"/>
  </si>
  <si>
    <t>クローバー</t>
    <phoneticPr fontId="2"/>
  </si>
  <si>
    <t>川越市</t>
    <phoneticPr fontId="2"/>
  </si>
  <si>
    <t>南台3-1-2-201</t>
    <rPh sb="0" eb="1">
      <t>ミナミ</t>
    </rPh>
    <rPh sb="1" eb="2">
      <t>ダイ</t>
    </rPh>
    <phoneticPr fontId="2"/>
  </si>
  <si>
    <t>350-1165</t>
    <phoneticPr fontId="2"/>
  </si>
  <si>
    <t>049-293-2492</t>
    <phoneticPr fontId="2"/>
  </si>
  <si>
    <t>○</t>
    <phoneticPr fontId="2"/>
  </si>
  <si>
    <t>南大塚駅徒歩５分</t>
    <rPh sb="0" eb="3">
      <t>ミナミオオツカ</t>
    </rPh>
    <rPh sb="3" eb="4">
      <t>エキ</t>
    </rPh>
    <rPh sb="4" eb="6">
      <t>トホ</t>
    </rPh>
    <rPh sb="7" eb="8">
      <t>フン</t>
    </rPh>
    <phoneticPr fontId="2"/>
  </si>
  <si>
    <t>(株)LITALICO</t>
    <rPh sb="1" eb="2">
      <t>カブ</t>
    </rPh>
    <phoneticPr fontId="2"/>
  </si>
  <si>
    <t>048-783-4483</t>
    <phoneticPr fontId="2"/>
  </si>
  <si>
    <t>048-782-4177</t>
    <phoneticPr fontId="2"/>
  </si>
  <si>
    <t>れんでれ</t>
    <phoneticPr fontId="2"/>
  </si>
  <si>
    <t>菅谷125-1</t>
    <rPh sb="0" eb="2">
      <t>スガヤ</t>
    </rPh>
    <phoneticPr fontId="2"/>
  </si>
  <si>
    <t>355-0221</t>
    <phoneticPr fontId="2"/>
  </si>
  <si>
    <t>0493-81-7761</t>
    <phoneticPr fontId="2"/>
  </si>
  <si>
    <t>0493-81-7762</t>
    <phoneticPr fontId="2"/>
  </si>
  <si>
    <t>東部東上線武蔵嵐山駅から徒歩2分</t>
    <rPh sb="0" eb="2">
      <t>トウブ</t>
    </rPh>
    <rPh sb="2" eb="4">
      <t>トウジョウ</t>
    </rPh>
    <rPh sb="4" eb="5">
      <t>セン</t>
    </rPh>
    <rPh sb="5" eb="7">
      <t>ムサシ</t>
    </rPh>
    <rPh sb="7" eb="9">
      <t>ランザン</t>
    </rPh>
    <rPh sb="9" eb="10">
      <t>エキ</t>
    </rPh>
    <rPh sb="12" eb="14">
      <t>トホ</t>
    </rPh>
    <rPh sb="15" eb="16">
      <t>フン</t>
    </rPh>
    <phoneticPr fontId="2"/>
  </si>
  <si>
    <t>（福）めだかの学校</t>
    <rPh sb="1" eb="2">
      <t>フク</t>
    </rPh>
    <rPh sb="7" eb="9">
      <t>ガッコウ</t>
    </rPh>
    <phoneticPr fontId="2"/>
  </si>
  <si>
    <t>めだかの学校</t>
    <rPh sb="4" eb="6">
      <t>ガッコウ</t>
    </rPh>
    <phoneticPr fontId="2"/>
  </si>
  <si>
    <t>金崎526-1</t>
    <rPh sb="0" eb="2">
      <t>カナザキ</t>
    </rPh>
    <phoneticPr fontId="2"/>
  </si>
  <si>
    <t>344-0117</t>
    <phoneticPr fontId="2"/>
  </si>
  <si>
    <t>048-718-0003</t>
    <phoneticPr fontId="2"/>
  </si>
  <si>
    <t>○</t>
    <phoneticPr fontId="2"/>
  </si>
  <si>
    <t>東武野田線南桜井駅下車徒歩25分</t>
    <rPh sb="0" eb="2">
      <t>トウブ</t>
    </rPh>
    <rPh sb="2" eb="5">
      <t>ノダセン</t>
    </rPh>
    <rPh sb="5" eb="6">
      <t>ミナミ</t>
    </rPh>
    <rPh sb="6" eb="9">
      <t>サクライエキ</t>
    </rPh>
    <rPh sb="9" eb="11">
      <t>ゲシャ</t>
    </rPh>
    <rPh sb="11" eb="13">
      <t>トホ</t>
    </rPh>
    <rPh sb="15" eb="16">
      <t>フン</t>
    </rPh>
    <phoneticPr fontId="2"/>
  </si>
  <si>
    <t>(株)千手</t>
    <rPh sb="1" eb="2">
      <t>カブ</t>
    </rPh>
    <rPh sb="3" eb="5">
      <t>センジュ</t>
    </rPh>
    <phoneticPr fontId="2"/>
  </si>
  <si>
    <t>アルト</t>
    <phoneticPr fontId="2"/>
  </si>
  <si>
    <t>中根1-2 中根柴川ビル2F</t>
    <rPh sb="0" eb="2">
      <t>ナカネ</t>
    </rPh>
    <rPh sb="6" eb="8">
      <t>ナカネ</t>
    </rPh>
    <rPh sb="8" eb="10">
      <t>シバカワ</t>
    </rPh>
    <phoneticPr fontId="2"/>
  </si>
  <si>
    <t>340-0015</t>
    <phoneticPr fontId="2"/>
  </si>
  <si>
    <t>048-959-9365</t>
    <phoneticPr fontId="2"/>
  </si>
  <si>
    <t>048-959-9367</t>
    <phoneticPr fontId="2"/>
  </si>
  <si>
    <t>東武鉄道東武スカイツリーライン松原団地駅下車西口から徒歩8分</t>
    <rPh sb="0" eb="2">
      <t>トウブ</t>
    </rPh>
    <rPh sb="2" eb="4">
      <t>テツドウ</t>
    </rPh>
    <rPh sb="4" eb="6">
      <t>トウブ</t>
    </rPh>
    <rPh sb="15" eb="20">
      <t>マツバラダンチエキ</t>
    </rPh>
    <rPh sb="20" eb="22">
      <t>ゲシャ</t>
    </rPh>
    <rPh sb="22" eb="24">
      <t>ニシグチ</t>
    </rPh>
    <rPh sb="26" eb="28">
      <t>トホ</t>
    </rPh>
    <rPh sb="29" eb="30">
      <t>フン</t>
    </rPh>
    <phoneticPr fontId="2"/>
  </si>
  <si>
    <t>ウォームサポートシオン</t>
    <phoneticPr fontId="2"/>
  </si>
  <si>
    <t>350-1155</t>
    <phoneticPr fontId="14"/>
  </si>
  <si>
    <t>○</t>
    <phoneticPr fontId="14"/>
  </si>
  <si>
    <t>(株)サンベース</t>
    <rPh sb="1" eb="2">
      <t>カブ</t>
    </rPh>
    <phoneticPr fontId="2"/>
  </si>
  <si>
    <t>(株)日本クリード</t>
    <rPh sb="1" eb="2">
      <t>カブ</t>
    </rPh>
    <rPh sb="3" eb="5">
      <t>ニホン</t>
    </rPh>
    <phoneticPr fontId="2"/>
  </si>
  <si>
    <t>(同)ラボリ</t>
    <rPh sb="1" eb="2">
      <t>オナ</t>
    </rPh>
    <phoneticPr fontId="2"/>
  </si>
  <si>
    <t>(株)生きいき</t>
    <rPh sb="1" eb="2">
      <t>カブ</t>
    </rPh>
    <rPh sb="3" eb="4">
      <t>イ</t>
    </rPh>
    <phoneticPr fontId="5"/>
  </si>
  <si>
    <t>(一社)弥栄会</t>
    <rPh sb="1" eb="2">
      <t>イチ</t>
    </rPh>
    <rPh sb="2" eb="3">
      <t>シャ</t>
    </rPh>
    <rPh sb="4" eb="6">
      <t>ヤサカ</t>
    </rPh>
    <rPh sb="6" eb="7">
      <t>カイ</t>
    </rPh>
    <phoneticPr fontId="2"/>
  </si>
  <si>
    <t>(一社)ウォームサポートシオン</t>
    <rPh sb="1" eb="2">
      <t>イチ</t>
    </rPh>
    <rPh sb="2" eb="3">
      <t>シャ</t>
    </rPh>
    <phoneticPr fontId="2"/>
  </si>
  <si>
    <t>大字下赤坂683-3</t>
    <rPh sb="0" eb="2">
      <t>オオアザ</t>
    </rPh>
    <rPh sb="2" eb="3">
      <t>シモ</t>
    </rPh>
    <rPh sb="3" eb="5">
      <t>アカサカ</t>
    </rPh>
    <phoneticPr fontId="2"/>
  </si>
  <si>
    <t>瑠璃の家</t>
    <rPh sb="0" eb="2">
      <t>ルリ</t>
    </rPh>
    <rPh sb="3" eb="4">
      <t>イエ</t>
    </rPh>
    <phoneticPr fontId="2"/>
  </si>
  <si>
    <t>048-875-5706</t>
    <phoneticPr fontId="2"/>
  </si>
  <si>
    <t>048-793-6918</t>
    <phoneticPr fontId="2"/>
  </si>
  <si>
    <t>(特非)青い空</t>
    <rPh sb="1" eb="2">
      <t>トク</t>
    </rPh>
    <rPh sb="2" eb="3">
      <t>ヒ</t>
    </rPh>
    <rPh sb="4" eb="5">
      <t>アオ</t>
    </rPh>
    <rPh sb="6" eb="7">
      <t>ソラ</t>
    </rPh>
    <phoneticPr fontId="2"/>
  </si>
  <si>
    <t>緑区東浦和7-24-1</t>
    <phoneticPr fontId="2"/>
  </si>
  <si>
    <t>336-0926</t>
    <phoneticPr fontId="2"/>
  </si>
  <si>
    <t>○</t>
    <phoneticPr fontId="2"/>
  </si>
  <si>
    <t>東浦和駅から徒歩10分</t>
    <rPh sb="0" eb="3">
      <t>ヒガシウラワ</t>
    </rPh>
    <rPh sb="3" eb="4">
      <t>エキ</t>
    </rPh>
    <rPh sb="6" eb="8">
      <t>トホ</t>
    </rPh>
    <rPh sb="10" eb="11">
      <t>フン</t>
    </rPh>
    <phoneticPr fontId="2"/>
  </si>
  <si>
    <t>草加市障害者ケアホームひまわりの郷</t>
    <phoneticPr fontId="2"/>
  </si>
  <si>
    <t>草加市</t>
    <phoneticPr fontId="2"/>
  </si>
  <si>
    <t>048-932-7161</t>
    <phoneticPr fontId="2"/>
  </si>
  <si>
    <t>048-932-7163</t>
    <phoneticPr fontId="2"/>
  </si>
  <si>
    <t>ショートステイ・あすく</t>
    <phoneticPr fontId="2"/>
  </si>
  <si>
    <t>比企郡嵐山町</t>
    <phoneticPr fontId="2"/>
  </si>
  <si>
    <t>0493-22-5499</t>
    <phoneticPr fontId="2"/>
  </si>
  <si>
    <t>(福)一粒</t>
    <rPh sb="0" eb="3">
      <t>フク</t>
    </rPh>
    <rPh sb="3" eb="5">
      <t>ヒトツブ</t>
    </rPh>
    <phoneticPr fontId="2"/>
  </si>
  <si>
    <t>草加市・(福)草加市社会福祉事業団</t>
    <rPh sb="5" eb="6">
      <t>フク</t>
    </rPh>
    <phoneticPr fontId="2"/>
  </si>
  <si>
    <t>西川口5-11-5</t>
    <phoneticPr fontId="2"/>
  </si>
  <si>
    <t>048-253-1551</t>
    <phoneticPr fontId="2"/>
  </si>
  <si>
    <t>048-240-1376</t>
    <phoneticPr fontId="2"/>
  </si>
  <si>
    <t>ショートステイ・すばる</t>
    <phoneticPr fontId="2"/>
  </si>
  <si>
    <t>0493-23-4215</t>
    <phoneticPr fontId="2"/>
  </si>
  <si>
    <t>(福)秩父市社会福祉事業団</t>
    <phoneticPr fontId="2"/>
  </si>
  <si>
    <t>秩父市特別養護老人ホーム偕楽苑</t>
    <phoneticPr fontId="2"/>
  </si>
  <si>
    <t>蒔田1977</t>
    <phoneticPr fontId="2"/>
  </si>
  <si>
    <t>0494-23-2313</t>
    <phoneticPr fontId="2"/>
  </si>
  <si>
    <t>0494-21-4011</t>
    <phoneticPr fontId="2"/>
  </si>
  <si>
    <t>ケアホームひとつぶ</t>
    <phoneticPr fontId="2"/>
  </si>
  <si>
    <t>鴻巣市</t>
    <phoneticPr fontId="2"/>
  </si>
  <si>
    <t>鎌塚40-1</t>
    <phoneticPr fontId="2"/>
  </si>
  <si>
    <t>048-547-2064</t>
    <phoneticPr fontId="2"/>
  </si>
  <si>
    <t>048-547-3055</t>
    <phoneticPr fontId="2"/>
  </si>
  <si>
    <t>柿木町1104</t>
    <phoneticPr fontId="2"/>
  </si>
  <si>
    <t>(福)昴</t>
    <phoneticPr fontId="2"/>
  </si>
  <si>
    <t>大字平沢249-2</t>
    <phoneticPr fontId="2"/>
  </si>
  <si>
    <t>(株)くみちゃんち</t>
    <rPh sb="1" eb="2">
      <t>カブ</t>
    </rPh>
    <phoneticPr fontId="2"/>
  </si>
  <si>
    <t>くみちゃんハウス</t>
    <phoneticPr fontId="2"/>
  </si>
  <si>
    <t>芦苅場685-1</t>
    <rPh sb="0" eb="3">
      <t>アシカリバ</t>
    </rPh>
    <phoneticPr fontId="2"/>
  </si>
  <si>
    <t>042-983-4888</t>
    <phoneticPr fontId="2"/>
  </si>
  <si>
    <t>042-978-5541</t>
    <phoneticPr fontId="2"/>
  </si>
  <si>
    <t>殿山町6-26</t>
    <phoneticPr fontId="2"/>
  </si>
  <si>
    <t>○
児</t>
    <rPh sb="2" eb="3">
      <t>ジ</t>
    </rPh>
    <phoneticPr fontId="2"/>
  </si>
  <si>
    <t>東武伊勢崎線新越谷駅より草加東高校行バス「草加東高校停留所」下車徒歩3分　※共同生活援助との併設</t>
    <rPh sb="0" eb="2">
      <t>トウブ</t>
    </rPh>
    <rPh sb="2" eb="5">
      <t>イセサキ</t>
    </rPh>
    <rPh sb="5" eb="6">
      <t>セン</t>
    </rPh>
    <rPh sb="6" eb="7">
      <t>シン</t>
    </rPh>
    <rPh sb="7" eb="9">
      <t>コシガヤ</t>
    </rPh>
    <rPh sb="9" eb="10">
      <t>エキ</t>
    </rPh>
    <rPh sb="12" eb="14">
      <t>ソウカ</t>
    </rPh>
    <rPh sb="14" eb="15">
      <t>ヒガシ</t>
    </rPh>
    <rPh sb="15" eb="17">
      <t>コウコウ</t>
    </rPh>
    <rPh sb="17" eb="18">
      <t>ユ</t>
    </rPh>
    <rPh sb="21" eb="23">
      <t>ソウカ</t>
    </rPh>
    <rPh sb="23" eb="24">
      <t>ヒガシ</t>
    </rPh>
    <rPh sb="24" eb="26">
      <t>コウコウ</t>
    </rPh>
    <rPh sb="26" eb="29">
      <t>テイリュウジョ</t>
    </rPh>
    <rPh sb="30" eb="32">
      <t>ゲシャ</t>
    </rPh>
    <rPh sb="32" eb="34">
      <t>トホ</t>
    </rPh>
    <rPh sb="35" eb="36">
      <t>フン</t>
    </rPh>
    <rPh sb="46" eb="48">
      <t>ヘイセツ</t>
    </rPh>
    <phoneticPr fontId="2"/>
  </si>
  <si>
    <t>東武東上線武蔵嵐山駅西口徒歩10分
※共同生活援助との併設</t>
    <rPh sb="0" eb="2">
      <t>トウブ</t>
    </rPh>
    <rPh sb="27" eb="29">
      <t>ヘイセツ</t>
    </rPh>
    <phoneticPr fontId="2"/>
  </si>
  <si>
    <t>JR高崎線吹上駅北口下車徒歩15分
※共同生活援助の空床利用</t>
    <rPh sb="2" eb="5">
      <t>タカサキセン</t>
    </rPh>
    <rPh sb="5" eb="8">
      <t>フキアゲエキ</t>
    </rPh>
    <rPh sb="8" eb="10">
      <t>キタグチ</t>
    </rPh>
    <rPh sb="10" eb="12">
      <t>ゲシャ</t>
    </rPh>
    <rPh sb="12" eb="14">
      <t>トホ</t>
    </rPh>
    <rPh sb="16" eb="17">
      <t>フン</t>
    </rPh>
    <rPh sb="19" eb="21">
      <t>キョウドウ</t>
    </rPh>
    <rPh sb="21" eb="23">
      <t>セイカツ</t>
    </rPh>
    <rPh sb="23" eb="25">
      <t>エンジョ</t>
    </rPh>
    <rPh sb="26" eb="27">
      <t>クウ</t>
    </rPh>
    <rPh sb="27" eb="28">
      <t>ショウ</t>
    </rPh>
    <rPh sb="28" eb="30">
      <t>リヨウ</t>
    </rPh>
    <phoneticPr fontId="2"/>
  </si>
  <si>
    <t>東武東上線鶴ヶ島駅から川鶴団地行バス終点下車徒歩10分</t>
    <rPh sb="0" eb="2">
      <t>トウブ</t>
    </rPh>
    <rPh sb="2" eb="4">
      <t>トウジョウ</t>
    </rPh>
    <rPh sb="4" eb="5">
      <t>セン</t>
    </rPh>
    <rPh sb="5" eb="8">
      <t>ツルガシマ</t>
    </rPh>
    <rPh sb="8" eb="9">
      <t>エキ</t>
    </rPh>
    <rPh sb="11" eb="13">
      <t>カワツル</t>
    </rPh>
    <rPh sb="13" eb="15">
      <t>ダンチ</t>
    </rPh>
    <rPh sb="15" eb="16">
      <t>イ</t>
    </rPh>
    <rPh sb="18" eb="20">
      <t>シュウテン</t>
    </rPh>
    <rPh sb="20" eb="22">
      <t>ゲシャ</t>
    </rPh>
    <rPh sb="22" eb="24">
      <t>トホ</t>
    </rPh>
    <rPh sb="26" eb="27">
      <t>フン</t>
    </rPh>
    <phoneticPr fontId="2"/>
  </si>
  <si>
    <t>川越駅から新所沢駅行バス「東洋インキ」下車徒歩5分</t>
    <rPh sb="0" eb="2">
      <t>カワゴエ</t>
    </rPh>
    <rPh sb="2" eb="3">
      <t>エキ</t>
    </rPh>
    <rPh sb="5" eb="8">
      <t>シントコロザワ</t>
    </rPh>
    <rPh sb="8" eb="9">
      <t>エキ</t>
    </rPh>
    <rPh sb="9" eb="10">
      <t>イ</t>
    </rPh>
    <rPh sb="13" eb="15">
      <t>トウヨウ</t>
    </rPh>
    <rPh sb="19" eb="21">
      <t>ゲシャ</t>
    </rPh>
    <rPh sb="21" eb="23">
      <t>トホ</t>
    </rPh>
    <rPh sb="24" eb="25">
      <t>フン</t>
    </rPh>
    <phoneticPr fontId="2"/>
  </si>
  <si>
    <t>川越駅西口から西武バス「中台」下車徒歩10分</t>
    <rPh sb="0" eb="2">
      <t>カワゴエ</t>
    </rPh>
    <rPh sb="2" eb="3">
      <t>エキ</t>
    </rPh>
    <rPh sb="3" eb="5">
      <t>ニシグチ</t>
    </rPh>
    <rPh sb="7" eb="9">
      <t>セイブ</t>
    </rPh>
    <rPh sb="12" eb="14">
      <t>ナカダイ</t>
    </rPh>
    <rPh sb="15" eb="17">
      <t>ゲシャ</t>
    </rPh>
    <rPh sb="17" eb="19">
      <t>トホ</t>
    </rPh>
    <rPh sb="21" eb="22">
      <t>プン</t>
    </rPh>
    <phoneticPr fontId="2"/>
  </si>
  <si>
    <t>川越線南古谷駅下車徒歩25分</t>
    <rPh sb="0" eb="2">
      <t>カワゴエ</t>
    </rPh>
    <rPh sb="2" eb="3">
      <t>セン</t>
    </rPh>
    <rPh sb="3" eb="6">
      <t>ミナミフルヤ</t>
    </rPh>
    <rPh sb="6" eb="7">
      <t>エキ</t>
    </rPh>
    <rPh sb="7" eb="9">
      <t>ゲシャ</t>
    </rPh>
    <rPh sb="9" eb="11">
      <t>トホ</t>
    </rPh>
    <rPh sb="13" eb="14">
      <t>フン</t>
    </rPh>
    <phoneticPr fontId="2"/>
  </si>
  <si>
    <t>空床 他</t>
    <rPh sb="0" eb="1">
      <t>クウ</t>
    </rPh>
    <rPh sb="1" eb="2">
      <t>ユカ</t>
    </rPh>
    <phoneticPr fontId="2"/>
  </si>
  <si>
    <t>(福)埼玉医大福祉会</t>
    <rPh sb="1" eb="2">
      <t>フク</t>
    </rPh>
    <rPh sb="3" eb="5">
      <t>サイタマ</t>
    </rPh>
    <rPh sb="5" eb="7">
      <t>イダイ</t>
    </rPh>
    <rPh sb="7" eb="9">
      <t>フクシ</t>
    </rPh>
    <rPh sb="9" eb="10">
      <t>カイ</t>
    </rPh>
    <phoneticPr fontId="2"/>
  </si>
  <si>
    <t>カルガモの家</t>
    <rPh sb="5" eb="6">
      <t>イエ</t>
    </rPh>
    <phoneticPr fontId="2"/>
  </si>
  <si>
    <t>048-873-5715</t>
  </si>
  <si>
    <t>048-874-1750</t>
  </si>
  <si>
    <t>久美学園</t>
  </si>
  <si>
    <t>短期入所さんご２号館</t>
  </si>
  <si>
    <t>のぞみホーム</t>
  </si>
  <si>
    <t>ショートステイたんぽぽ</t>
  </si>
  <si>
    <t>プリムローズ</t>
  </si>
  <si>
    <t>三つ星</t>
  </si>
  <si>
    <t>介護老人保健施設　春陽苑</t>
  </si>
  <si>
    <t>医療型短期入所　葵の園・大宮</t>
  </si>
  <si>
    <t>048-865-4140</t>
  </si>
  <si>
    <t>048-872-7665</t>
  </si>
  <si>
    <t>080-55127560</t>
  </si>
  <si>
    <t>048-788-7868</t>
  </si>
  <si>
    <t>048-625-5011</t>
  </si>
  <si>
    <t>048-729-6311</t>
  </si>
  <si>
    <t>048-729-6312</t>
  </si>
  <si>
    <t>048-620-5566</t>
  </si>
  <si>
    <t>048-625-5588</t>
  </si>
  <si>
    <t>048-621-1155</t>
  </si>
  <si>
    <t>048-621-1188</t>
  </si>
  <si>
    <t>緑区三室1431</t>
    <phoneticPr fontId="2"/>
  </si>
  <si>
    <t>南区辻4-17-2</t>
    <phoneticPr fontId="2"/>
  </si>
  <si>
    <t>見沼区南中野462-4</t>
    <phoneticPr fontId="2"/>
  </si>
  <si>
    <t>西区塚本町3-139-2</t>
    <phoneticPr fontId="2"/>
  </si>
  <si>
    <t>見沼区東大宮4-53-19</t>
    <phoneticPr fontId="2"/>
  </si>
  <si>
    <t>西区飯田新田91-1</t>
    <phoneticPr fontId="2"/>
  </si>
  <si>
    <t>西区清河寺685-1</t>
    <phoneticPr fontId="2"/>
  </si>
  <si>
    <t>336-0911</t>
    <phoneticPr fontId="2"/>
  </si>
  <si>
    <t>336-0026</t>
    <phoneticPr fontId="2"/>
  </si>
  <si>
    <t>337-0042</t>
    <phoneticPr fontId="2"/>
  </si>
  <si>
    <t>337-0026</t>
    <phoneticPr fontId="2"/>
  </si>
  <si>
    <t>331-0060</t>
    <phoneticPr fontId="2"/>
  </si>
  <si>
    <t>337-0051</t>
    <phoneticPr fontId="2"/>
  </si>
  <si>
    <t>331-0068</t>
    <phoneticPr fontId="2"/>
  </si>
  <si>
    <t>331-0048</t>
    <phoneticPr fontId="2"/>
  </si>
  <si>
    <t>鴨田1930-1</t>
    <rPh sb="0" eb="2">
      <t>カモダ</t>
    </rPh>
    <phoneticPr fontId="2"/>
  </si>
  <si>
    <t>350-0844</t>
    <phoneticPr fontId="2"/>
  </si>
  <si>
    <t>049-229-5811</t>
    <phoneticPr fontId="2"/>
  </si>
  <si>
    <t>049-229-5812</t>
    <phoneticPr fontId="2"/>
  </si>
  <si>
    <t>(福)久美愛園</t>
    <rPh sb="1" eb="2">
      <t>フク</t>
    </rPh>
    <phoneticPr fontId="2"/>
  </si>
  <si>
    <t>(福)鴻沼福祉会</t>
    <phoneticPr fontId="2"/>
  </si>
  <si>
    <t>(福)埼玉福祉事業協会</t>
    <phoneticPr fontId="2"/>
  </si>
  <si>
    <t>(福)希求会</t>
    <phoneticPr fontId="2"/>
  </si>
  <si>
    <t>(福)むつみ会</t>
    <phoneticPr fontId="2"/>
  </si>
  <si>
    <t>(特非)ともに生きる会</t>
    <rPh sb="1" eb="2">
      <t>トク</t>
    </rPh>
    <rPh sb="2" eb="3">
      <t>ヒ</t>
    </rPh>
    <phoneticPr fontId="2"/>
  </si>
  <si>
    <t>(株)たんぽぽ</t>
    <phoneticPr fontId="2"/>
  </si>
  <si>
    <t>知</t>
    <rPh sb="0" eb="1">
      <t>シ</t>
    </rPh>
    <phoneticPr fontId="2"/>
  </si>
  <si>
    <t>大宮駅西口から所沢駅東口行バス「飯田新田」下車徒歩15分</t>
    <rPh sb="0" eb="2">
      <t>オオミヤ</t>
    </rPh>
    <rPh sb="2" eb="3">
      <t>エキ</t>
    </rPh>
    <rPh sb="3" eb="5">
      <t>ニシグチ</t>
    </rPh>
    <rPh sb="7" eb="9">
      <t>トコロザワ</t>
    </rPh>
    <rPh sb="9" eb="10">
      <t>エキ</t>
    </rPh>
    <rPh sb="10" eb="12">
      <t>ヒガシグチ</t>
    </rPh>
    <rPh sb="12" eb="13">
      <t>イ</t>
    </rPh>
    <rPh sb="16" eb="18">
      <t>イイダ</t>
    </rPh>
    <rPh sb="18" eb="20">
      <t>シンデン</t>
    </rPh>
    <rPh sb="21" eb="23">
      <t>ゲシャ</t>
    </rPh>
    <rPh sb="23" eb="25">
      <t>トホ</t>
    </rPh>
    <rPh sb="27" eb="28">
      <t>フン</t>
    </rPh>
    <phoneticPr fontId="2"/>
  </si>
  <si>
    <t>宇都宮線蓮田駅東口から東埼玉病院行バス「新井団地」下車徒歩3分</t>
    <rPh sb="0" eb="3">
      <t>ウツノミヤ</t>
    </rPh>
    <rPh sb="3" eb="4">
      <t>セン</t>
    </rPh>
    <rPh sb="4" eb="6">
      <t>ハスダ</t>
    </rPh>
    <rPh sb="6" eb="7">
      <t>エキ</t>
    </rPh>
    <rPh sb="7" eb="9">
      <t>ヒガシグチ</t>
    </rPh>
    <rPh sb="11" eb="12">
      <t>ヒガシ</t>
    </rPh>
    <rPh sb="12" eb="14">
      <t>サイタマ</t>
    </rPh>
    <rPh sb="14" eb="16">
      <t>ビョウイン</t>
    </rPh>
    <rPh sb="16" eb="17">
      <t>イ</t>
    </rPh>
    <rPh sb="20" eb="22">
      <t>アライ</t>
    </rPh>
    <rPh sb="22" eb="24">
      <t>ダンチ</t>
    </rPh>
    <rPh sb="25" eb="27">
      <t>ゲシャ</t>
    </rPh>
    <rPh sb="27" eb="29">
      <t>トホ</t>
    </rPh>
    <rPh sb="30" eb="31">
      <t>フン</t>
    </rPh>
    <phoneticPr fontId="2"/>
  </si>
  <si>
    <t>高崎線神保原駅下車タクシー5分</t>
    <rPh sb="0" eb="2">
      <t>タカサキ</t>
    </rPh>
    <rPh sb="2" eb="3">
      <t>セン</t>
    </rPh>
    <rPh sb="3" eb="6">
      <t>ジンボハラ</t>
    </rPh>
    <rPh sb="6" eb="7">
      <t>エキ</t>
    </rPh>
    <rPh sb="7" eb="9">
      <t>ゲシャ</t>
    </rPh>
    <rPh sb="14" eb="15">
      <t>フン</t>
    </rPh>
    <phoneticPr fontId="2"/>
  </si>
  <si>
    <t>八高線松久駅下車タクシー8分</t>
    <rPh sb="0" eb="2">
      <t>ハチコウ</t>
    </rPh>
    <rPh sb="2" eb="3">
      <t>セン</t>
    </rPh>
    <rPh sb="3" eb="5">
      <t>マツヒサ</t>
    </rPh>
    <rPh sb="5" eb="6">
      <t>エキ</t>
    </rPh>
    <rPh sb="6" eb="8">
      <t>ゲシャ</t>
    </rPh>
    <rPh sb="13" eb="14">
      <t>フン</t>
    </rPh>
    <phoneticPr fontId="2"/>
  </si>
  <si>
    <t>東武伊勢崎線羽生駅下車タクシー10分　※短期入所（定員分け：者3・児2）</t>
    <rPh sb="0" eb="2">
      <t>トウブ</t>
    </rPh>
    <rPh sb="2" eb="5">
      <t>イセサキ</t>
    </rPh>
    <rPh sb="5" eb="6">
      <t>セン</t>
    </rPh>
    <rPh sb="6" eb="8">
      <t>ハニュウ</t>
    </rPh>
    <rPh sb="8" eb="9">
      <t>エキ</t>
    </rPh>
    <rPh sb="9" eb="11">
      <t>ゲシャ</t>
    </rPh>
    <rPh sb="17" eb="18">
      <t>プン</t>
    </rPh>
    <rPh sb="20" eb="22">
      <t>タンキ</t>
    </rPh>
    <rPh sb="22" eb="24">
      <t>ニュウショ</t>
    </rPh>
    <rPh sb="30" eb="31">
      <t>シャ</t>
    </rPh>
    <rPh sb="33" eb="34">
      <t>ジ</t>
    </rPh>
    <phoneticPr fontId="2"/>
  </si>
  <si>
    <t>東武東上線武蔵嵐山駅下車タクシー7分</t>
    <rPh sb="0" eb="2">
      <t>トウブ</t>
    </rPh>
    <rPh sb="2" eb="4">
      <t>トウジョウ</t>
    </rPh>
    <rPh sb="4" eb="5">
      <t>セン</t>
    </rPh>
    <rPh sb="5" eb="7">
      <t>ムサシ</t>
    </rPh>
    <rPh sb="7" eb="9">
      <t>ランザン</t>
    </rPh>
    <rPh sb="9" eb="10">
      <t>エキ</t>
    </rPh>
    <rPh sb="10" eb="12">
      <t>ゲシャ</t>
    </rPh>
    <rPh sb="17" eb="18">
      <t>フン</t>
    </rPh>
    <phoneticPr fontId="2"/>
  </si>
  <si>
    <t>西武池袋線入間市駅下車徒歩15分</t>
    <rPh sb="0" eb="2">
      <t>セイブ</t>
    </rPh>
    <rPh sb="2" eb="4">
      <t>イケブクロ</t>
    </rPh>
    <rPh sb="4" eb="5">
      <t>セン</t>
    </rPh>
    <rPh sb="5" eb="8">
      <t>イルマシ</t>
    </rPh>
    <rPh sb="8" eb="9">
      <t>エキ</t>
    </rPh>
    <rPh sb="9" eb="11">
      <t>ゲシャ</t>
    </rPh>
    <rPh sb="11" eb="13">
      <t>トホ</t>
    </rPh>
    <rPh sb="15" eb="16">
      <t>フン</t>
    </rPh>
    <phoneticPr fontId="2"/>
  </si>
  <si>
    <t>東武東上線鶴瀬駅から循環バス（ライフバス）「高橋不動産」下車徒歩25分</t>
    <rPh sb="0" eb="2">
      <t>トウブ</t>
    </rPh>
    <rPh sb="2" eb="4">
      <t>トウジョウ</t>
    </rPh>
    <rPh sb="4" eb="5">
      <t>セン</t>
    </rPh>
    <rPh sb="5" eb="7">
      <t>ツルセ</t>
    </rPh>
    <rPh sb="7" eb="8">
      <t>エキ</t>
    </rPh>
    <rPh sb="10" eb="12">
      <t>ジュンカン</t>
    </rPh>
    <rPh sb="22" eb="24">
      <t>タカハシ</t>
    </rPh>
    <rPh sb="24" eb="27">
      <t>フドウサン</t>
    </rPh>
    <rPh sb="28" eb="30">
      <t>ゲシャ</t>
    </rPh>
    <rPh sb="30" eb="32">
      <t>トホ</t>
    </rPh>
    <rPh sb="34" eb="35">
      <t>フン</t>
    </rPh>
    <phoneticPr fontId="2"/>
  </si>
  <si>
    <t>東武東上線朝霞駅下車徒歩15分</t>
    <rPh sb="0" eb="2">
      <t>トウブ</t>
    </rPh>
    <rPh sb="2" eb="4">
      <t>トウジョウ</t>
    </rPh>
    <rPh sb="4" eb="5">
      <t>セン</t>
    </rPh>
    <rPh sb="5" eb="7">
      <t>アサカ</t>
    </rPh>
    <rPh sb="7" eb="8">
      <t>エキ</t>
    </rPh>
    <rPh sb="8" eb="10">
      <t>ゲシャ</t>
    </rPh>
    <rPh sb="10" eb="12">
      <t>トホ</t>
    </rPh>
    <rPh sb="14" eb="15">
      <t>プン</t>
    </rPh>
    <phoneticPr fontId="2"/>
  </si>
  <si>
    <t>高崎線上尾駅東口からがんセンター行又は東大宮行東武バス「下平塚」下車徒歩3分</t>
    <rPh sb="0" eb="2">
      <t>タカサキ</t>
    </rPh>
    <rPh sb="2" eb="3">
      <t>セン</t>
    </rPh>
    <rPh sb="23" eb="25">
      <t>トウブ</t>
    </rPh>
    <phoneticPr fontId="2"/>
  </si>
  <si>
    <t>久喜駅西口から菖蒲仲橋行バス「高木病院」下車徒歩10分</t>
    <rPh sb="0" eb="2">
      <t>クキ</t>
    </rPh>
    <rPh sb="2" eb="3">
      <t>エキ</t>
    </rPh>
    <rPh sb="3" eb="5">
      <t>ニシグチ</t>
    </rPh>
    <rPh sb="7" eb="9">
      <t>ショウブ</t>
    </rPh>
    <rPh sb="9" eb="10">
      <t>ナカ</t>
    </rPh>
    <rPh sb="10" eb="11">
      <t>バシ</t>
    </rPh>
    <rPh sb="11" eb="12">
      <t>ギョウ</t>
    </rPh>
    <rPh sb="15" eb="17">
      <t>コウボク</t>
    </rPh>
    <rPh sb="17" eb="19">
      <t>ビョウイン</t>
    </rPh>
    <rPh sb="20" eb="22">
      <t>ゲシャ</t>
    </rPh>
    <rPh sb="22" eb="24">
      <t>トホ</t>
    </rPh>
    <rPh sb="26" eb="27">
      <t>プン</t>
    </rPh>
    <phoneticPr fontId="2"/>
  </si>
  <si>
    <t>宇都宮線白岡駅下車徒歩20分</t>
    <rPh sb="0" eb="3">
      <t>ウツノミヤ</t>
    </rPh>
    <rPh sb="3" eb="4">
      <t>セン</t>
    </rPh>
    <rPh sb="4" eb="6">
      <t>シラオカ</t>
    </rPh>
    <rPh sb="6" eb="7">
      <t>エキ</t>
    </rPh>
    <rPh sb="7" eb="9">
      <t>ゲシャ</t>
    </rPh>
    <rPh sb="9" eb="11">
      <t>トホ</t>
    </rPh>
    <rPh sb="13" eb="14">
      <t>プン</t>
    </rPh>
    <phoneticPr fontId="2"/>
  </si>
  <si>
    <t>○</t>
    <phoneticPr fontId="2"/>
  </si>
  <si>
    <t>(医)東光会戸田中央総合病院</t>
    <rPh sb="1" eb="2">
      <t>イ</t>
    </rPh>
    <rPh sb="3" eb="4">
      <t>ヒガシ</t>
    </rPh>
    <rPh sb="4" eb="5">
      <t>ヒカリ</t>
    </rPh>
    <rPh sb="5" eb="6">
      <t>カイ</t>
    </rPh>
    <rPh sb="6" eb="8">
      <t>トダ</t>
    </rPh>
    <rPh sb="8" eb="10">
      <t>チュウオウ</t>
    </rPh>
    <rPh sb="10" eb="12">
      <t>ソウゴウ</t>
    </rPh>
    <rPh sb="12" eb="14">
      <t>ビョウイン</t>
    </rPh>
    <phoneticPr fontId="2"/>
  </si>
  <si>
    <t>医療法人社団東光会戸田中央総合病院</t>
    <rPh sb="0" eb="2">
      <t>イリョウ</t>
    </rPh>
    <rPh sb="2" eb="4">
      <t>ホウジン</t>
    </rPh>
    <rPh sb="4" eb="6">
      <t>シャダン</t>
    </rPh>
    <rPh sb="6" eb="7">
      <t>ヒガシ</t>
    </rPh>
    <rPh sb="7" eb="8">
      <t>ヒカリ</t>
    </rPh>
    <rPh sb="8" eb="9">
      <t>カイ</t>
    </rPh>
    <rPh sb="9" eb="11">
      <t>トダ</t>
    </rPh>
    <rPh sb="11" eb="13">
      <t>チュウオウ</t>
    </rPh>
    <rPh sb="13" eb="15">
      <t>ソウゴウ</t>
    </rPh>
    <rPh sb="15" eb="17">
      <t>ビョウイン</t>
    </rPh>
    <phoneticPr fontId="2"/>
  </si>
  <si>
    <t>本町1-19-3</t>
    <phoneticPr fontId="2"/>
  </si>
  <si>
    <t>335-0023</t>
    <phoneticPr fontId="2"/>
  </si>
  <si>
    <t>048-442-1111</t>
    <phoneticPr fontId="2"/>
  </si>
  <si>
    <t>048-443-0104</t>
    <phoneticPr fontId="2"/>
  </si>
  <si>
    <t>宇都宮線白岡駅下車タクシー14分</t>
    <rPh sb="0" eb="3">
      <t>ウツノミヤ</t>
    </rPh>
    <rPh sb="3" eb="4">
      <t>セン</t>
    </rPh>
    <rPh sb="4" eb="6">
      <t>シラオカ</t>
    </rPh>
    <rPh sb="6" eb="7">
      <t>エキ</t>
    </rPh>
    <rPh sb="7" eb="9">
      <t>ゲシャ</t>
    </rPh>
    <rPh sb="15" eb="16">
      <t>フン</t>
    </rPh>
    <phoneticPr fontId="2"/>
  </si>
  <si>
    <t>京浜東北線北浦和駅東口から市立病院行バス「教育センター前」下車徒歩3分　※障害児入所施設との併設</t>
    <rPh sb="37" eb="40">
      <t>ショウガイジ</t>
    </rPh>
    <rPh sb="40" eb="42">
      <t>ニュウショ</t>
    </rPh>
    <rPh sb="42" eb="44">
      <t>シセツ</t>
    </rPh>
    <rPh sb="46" eb="48">
      <t>ヘイセツ</t>
    </rPh>
    <phoneticPr fontId="2"/>
  </si>
  <si>
    <t>武蔵浦和駅から徒歩１５分
※共同生活援助との併設</t>
    <rPh sb="0" eb="4">
      <t>ムサシウラワ</t>
    </rPh>
    <rPh sb="4" eb="5">
      <t>エキ</t>
    </rPh>
    <rPh sb="7" eb="9">
      <t>トホ</t>
    </rPh>
    <rPh sb="11" eb="12">
      <t>フン</t>
    </rPh>
    <phoneticPr fontId="2"/>
  </si>
  <si>
    <t>大宮駅東口から「浦和美園駅」行又は「大谷県営住宅」行バス「南中野」下車徒歩3分　※共同生活援助との併設</t>
    <rPh sb="0" eb="3">
      <t>オオミヤエキ</t>
    </rPh>
    <rPh sb="3" eb="5">
      <t>ヒガシグチ</t>
    </rPh>
    <rPh sb="8" eb="12">
      <t>ウラワミソノ</t>
    </rPh>
    <rPh sb="12" eb="13">
      <t>エキ</t>
    </rPh>
    <rPh sb="14" eb="15">
      <t>イキ</t>
    </rPh>
    <rPh sb="15" eb="16">
      <t>マタ</t>
    </rPh>
    <rPh sb="18" eb="20">
      <t>オオヤ</t>
    </rPh>
    <rPh sb="20" eb="22">
      <t>ケンエイ</t>
    </rPh>
    <rPh sb="22" eb="24">
      <t>ジュウタク</t>
    </rPh>
    <rPh sb="25" eb="26">
      <t>イキ</t>
    </rPh>
    <rPh sb="29" eb="30">
      <t>ミナミ</t>
    </rPh>
    <rPh sb="30" eb="32">
      <t>ナカノ</t>
    </rPh>
    <rPh sb="33" eb="35">
      <t>ゲシャ</t>
    </rPh>
    <rPh sb="35" eb="37">
      <t>トホ</t>
    </rPh>
    <rPh sb="38" eb="39">
      <t>プン</t>
    </rPh>
    <phoneticPr fontId="2"/>
  </si>
  <si>
    <t>東大宮駅より徒歩１０分
※共同生活援助との併設</t>
    <rPh sb="0" eb="4">
      <t>ヒガシオオミヤエキ</t>
    </rPh>
    <rPh sb="6" eb="8">
      <t>トホ</t>
    </rPh>
    <rPh sb="10" eb="11">
      <t>プン</t>
    </rPh>
    <phoneticPr fontId="2"/>
  </si>
  <si>
    <t>○</t>
    <phoneticPr fontId="2"/>
  </si>
  <si>
    <t>さんご</t>
    <phoneticPr fontId="3"/>
  </si>
  <si>
    <t>浦和区高砂2-14-17浦和マルゼンビル3F</t>
    <phoneticPr fontId="2"/>
  </si>
  <si>
    <t>○</t>
    <phoneticPr fontId="2"/>
  </si>
  <si>
    <t>浦和駅から徒歩5分</t>
    <phoneticPr fontId="2"/>
  </si>
  <si>
    <t>アイ・トライ(同)</t>
    <rPh sb="7" eb="8">
      <t>オナ</t>
    </rPh>
    <phoneticPr fontId="2"/>
  </si>
  <si>
    <t>330-0063</t>
    <phoneticPr fontId="2"/>
  </si>
  <si>
    <t>和光市</t>
    <rPh sb="0" eb="3">
      <t>ワコウシ</t>
    </rPh>
    <phoneticPr fontId="2"/>
  </si>
  <si>
    <t>(福)皆成会</t>
    <rPh sb="0" eb="3">
      <t>フク</t>
    </rPh>
    <rPh sb="3" eb="4">
      <t>カイ</t>
    </rPh>
    <rPh sb="4" eb="5">
      <t>セイ</t>
    </rPh>
    <rPh sb="5" eb="6">
      <t>カイ</t>
    </rPh>
    <phoneticPr fontId="2"/>
  </si>
  <si>
    <t>三ヶ島ホーム</t>
    <rPh sb="0" eb="1">
      <t>ミ</t>
    </rPh>
    <rPh sb="2" eb="3">
      <t>ジマ</t>
    </rPh>
    <phoneticPr fontId="2"/>
  </si>
  <si>
    <t>三ヶ島1-795-1</t>
    <rPh sb="0" eb="1">
      <t>ミ</t>
    </rPh>
    <rPh sb="2" eb="3">
      <t>ジマ</t>
    </rPh>
    <phoneticPr fontId="2"/>
  </si>
  <si>
    <t>04-2922-8141</t>
    <phoneticPr fontId="2"/>
  </si>
  <si>
    <t>西武池袋線小手指駅南口から早稲田大学・宮寺西・金子駅入口行き「大日堂」下車徒歩2分　※共同生活援助との併設</t>
    <rPh sb="0" eb="5">
      <t>セイブイケブクロセン</t>
    </rPh>
    <rPh sb="5" eb="9">
      <t>コテサシエキ</t>
    </rPh>
    <rPh sb="9" eb="11">
      <t>ミナミグチ</t>
    </rPh>
    <rPh sb="13" eb="16">
      <t>ワセダ</t>
    </rPh>
    <rPh sb="16" eb="18">
      <t>ダイガク</t>
    </rPh>
    <rPh sb="19" eb="21">
      <t>ミヤデラ</t>
    </rPh>
    <rPh sb="21" eb="22">
      <t>ニシ</t>
    </rPh>
    <rPh sb="23" eb="25">
      <t>カネコ</t>
    </rPh>
    <rPh sb="25" eb="26">
      <t>エキ</t>
    </rPh>
    <rPh sb="26" eb="27">
      <t>イ</t>
    </rPh>
    <rPh sb="27" eb="28">
      <t>クチ</t>
    </rPh>
    <rPh sb="28" eb="29">
      <t>ユ</t>
    </rPh>
    <rPh sb="31" eb="32">
      <t>オオ</t>
    </rPh>
    <rPh sb="32" eb="33">
      <t>ニチ</t>
    </rPh>
    <rPh sb="33" eb="34">
      <t>ドウ</t>
    </rPh>
    <rPh sb="35" eb="37">
      <t>ゲシャ</t>
    </rPh>
    <rPh sb="37" eb="39">
      <t>トホ</t>
    </rPh>
    <rPh sb="40" eb="41">
      <t>フン</t>
    </rPh>
    <phoneticPr fontId="2"/>
  </si>
  <si>
    <t>松葉町12-3
ｱｰｶﾞｽﾋﾙｽﾞ58　2F</t>
    <rPh sb="0" eb="2">
      <t>マツバ</t>
    </rPh>
    <rPh sb="2" eb="3">
      <t>マチ</t>
    </rPh>
    <phoneticPr fontId="2"/>
  </si>
  <si>
    <t>359-0044</t>
    <phoneticPr fontId="2"/>
  </si>
  <si>
    <t>04-2968-9705</t>
    <phoneticPr fontId="2"/>
  </si>
  <si>
    <t>04-2968-9755</t>
    <phoneticPr fontId="2"/>
  </si>
  <si>
    <t>西武新宿線新所沢駅から徒歩3分</t>
    <rPh sb="0" eb="5">
      <t>セイブシンジュクセン</t>
    </rPh>
    <rPh sb="5" eb="6">
      <t>シン</t>
    </rPh>
    <rPh sb="6" eb="8">
      <t>トコロザワ</t>
    </rPh>
    <rPh sb="8" eb="9">
      <t>エキ</t>
    </rPh>
    <rPh sb="11" eb="13">
      <t>トホ</t>
    </rPh>
    <rPh sb="14" eb="15">
      <t>フン</t>
    </rPh>
    <phoneticPr fontId="2"/>
  </si>
  <si>
    <t>H26,10.1</t>
    <phoneticPr fontId="2"/>
  </si>
  <si>
    <t>春里どんぐりの家</t>
    <rPh sb="0" eb="1">
      <t>ハル</t>
    </rPh>
    <rPh sb="1" eb="2">
      <t>サト</t>
    </rPh>
    <rPh sb="7" eb="8">
      <t>イエ</t>
    </rPh>
    <phoneticPr fontId="2"/>
  </si>
  <si>
    <t>(福)埼玉聴覚障害者福祉会</t>
    <rPh sb="1" eb="2">
      <t>フク</t>
    </rPh>
    <rPh sb="3" eb="5">
      <t>サイタマ</t>
    </rPh>
    <rPh sb="5" eb="7">
      <t>チョウカク</t>
    </rPh>
    <rPh sb="7" eb="10">
      <t>ショウガイシャ</t>
    </rPh>
    <rPh sb="10" eb="12">
      <t>フクシ</t>
    </rPh>
    <rPh sb="12" eb="13">
      <t>カイ</t>
    </rPh>
    <phoneticPr fontId="2"/>
  </si>
  <si>
    <t>見沼区大字小深作186-2</t>
    <phoneticPr fontId="2"/>
  </si>
  <si>
    <t>337-0005</t>
    <phoneticPr fontId="2"/>
  </si>
  <si>
    <t>048-682-2146</t>
    <phoneticPr fontId="2"/>
  </si>
  <si>
    <t>○</t>
    <phoneticPr fontId="2"/>
  </si>
  <si>
    <t>七里駅から徒歩7分</t>
    <rPh sb="0" eb="2">
      <t>ナナサト</t>
    </rPh>
    <rPh sb="2" eb="3">
      <t>エキ</t>
    </rPh>
    <rPh sb="5" eb="7">
      <t>トホ</t>
    </rPh>
    <rPh sb="8" eb="9">
      <t>フン</t>
    </rPh>
    <phoneticPr fontId="2"/>
  </si>
  <si>
    <t>(同)スマイルリンク</t>
    <rPh sb="1" eb="2">
      <t>ドウ</t>
    </rPh>
    <phoneticPr fontId="2"/>
  </si>
  <si>
    <t>高崎線北本駅から徒歩2分</t>
    <rPh sb="0" eb="2">
      <t>タカサキ</t>
    </rPh>
    <rPh sb="2" eb="3">
      <t>セン</t>
    </rPh>
    <rPh sb="3" eb="5">
      <t>キタモト</t>
    </rPh>
    <rPh sb="5" eb="6">
      <t>エキ</t>
    </rPh>
    <rPh sb="8" eb="10">
      <t>トホ</t>
    </rPh>
    <rPh sb="11" eb="12">
      <t>フン</t>
    </rPh>
    <phoneticPr fontId="2"/>
  </si>
  <si>
    <t>寺尾1476-1</t>
    <rPh sb="0" eb="2">
      <t>テラオ</t>
    </rPh>
    <phoneticPr fontId="2"/>
  </si>
  <si>
    <t>傍楽舎</t>
    <rPh sb="0" eb="1">
      <t>ソバ</t>
    </rPh>
    <rPh sb="1" eb="2">
      <t>タノ</t>
    </rPh>
    <rPh sb="2" eb="3">
      <t>シャ</t>
    </rPh>
    <phoneticPr fontId="2"/>
  </si>
  <si>
    <t>353-0004</t>
    <phoneticPr fontId="2"/>
  </si>
  <si>
    <t>東武東上線志木駅下車徒歩3分</t>
    <rPh sb="0" eb="5">
      <t>トウブトウジョウセン</t>
    </rPh>
    <rPh sb="5" eb="8">
      <t>シキエキ</t>
    </rPh>
    <rPh sb="8" eb="10">
      <t>ゲシャ</t>
    </rPh>
    <rPh sb="10" eb="12">
      <t>トホ</t>
    </rPh>
    <rPh sb="13" eb="14">
      <t>フン</t>
    </rPh>
    <phoneticPr fontId="2"/>
  </si>
  <si>
    <t>就労継続支援事業所　虹</t>
    <rPh sb="0" eb="2">
      <t>シュウロウ</t>
    </rPh>
    <rPh sb="2" eb="4">
      <t>ケイゾク</t>
    </rPh>
    <rPh sb="4" eb="6">
      <t>シエン</t>
    </rPh>
    <rPh sb="6" eb="9">
      <t>ジギョウショ</t>
    </rPh>
    <rPh sb="10" eb="11">
      <t>ニジ</t>
    </rPh>
    <phoneticPr fontId="2"/>
  </si>
  <si>
    <t>中山535-1</t>
    <rPh sb="0" eb="2">
      <t>ナカヤマ</t>
    </rPh>
    <phoneticPr fontId="2"/>
  </si>
  <si>
    <t>042-978-5091</t>
    <phoneticPr fontId="2"/>
  </si>
  <si>
    <t>西武秩父線飯能駅北口下車徒歩20分</t>
    <rPh sb="0" eb="2">
      <t>セイブ</t>
    </rPh>
    <rPh sb="2" eb="4">
      <t>チチブ</t>
    </rPh>
    <rPh sb="4" eb="5">
      <t>セン</t>
    </rPh>
    <rPh sb="5" eb="7">
      <t>ハンノウ</t>
    </rPh>
    <rPh sb="7" eb="8">
      <t>エキ</t>
    </rPh>
    <rPh sb="8" eb="10">
      <t>キタグチ</t>
    </rPh>
    <rPh sb="10" eb="12">
      <t>ゲシャ</t>
    </rPh>
    <rPh sb="12" eb="14">
      <t>トホ</t>
    </rPh>
    <rPh sb="16" eb="17">
      <t>フン</t>
    </rPh>
    <phoneticPr fontId="2"/>
  </si>
  <si>
    <t>ライトハウス</t>
    <phoneticPr fontId="2"/>
  </si>
  <si>
    <t>(特非)児玉郡市障がい者就労支援センター</t>
    <rPh sb="4" eb="7">
      <t>コダマグン</t>
    </rPh>
    <rPh sb="7" eb="8">
      <t>シ</t>
    </rPh>
    <rPh sb="8" eb="9">
      <t>ショウ</t>
    </rPh>
    <rPh sb="11" eb="12">
      <t>シャ</t>
    </rPh>
    <rPh sb="12" eb="14">
      <t>シュウロウ</t>
    </rPh>
    <rPh sb="14" eb="16">
      <t>シエン</t>
    </rPh>
    <phoneticPr fontId="2"/>
  </si>
  <si>
    <t>陽</t>
    <rPh sb="0" eb="1">
      <t>ヨウ</t>
    </rPh>
    <phoneticPr fontId="2"/>
  </si>
  <si>
    <t>西富田447-2</t>
    <rPh sb="0" eb="1">
      <t>ニシ</t>
    </rPh>
    <rPh sb="1" eb="3">
      <t>トミタ</t>
    </rPh>
    <phoneticPr fontId="2"/>
  </si>
  <si>
    <t>高崎線本庄駅から神泉農協行きバス「西富田」下車徒歩1分</t>
    <rPh sb="0" eb="3">
      <t>タカサキセン</t>
    </rPh>
    <rPh sb="3" eb="6">
      <t>ホンジョウエキ</t>
    </rPh>
    <rPh sb="8" eb="10">
      <t>カミイズミ</t>
    </rPh>
    <rPh sb="10" eb="12">
      <t>ノウキョウ</t>
    </rPh>
    <rPh sb="12" eb="13">
      <t>イ</t>
    </rPh>
    <rPh sb="17" eb="18">
      <t>ニシ</t>
    </rPh>
    <rPh sb="18" eb="20">
      <t>トミタ</t>
    </rPh>
    <rPh sb="21" eb="23">
      <t>ゲシャ</t>
    </rPh>
    <rPh sb="23" eb="25">
      <t>トホ</t>
    </rPh>
    <rPh sb="26" eb="27">
      <t>フン</t>
    </rPh>
    <phoneticPr fontId="2"/>
  </si>
  <si>
    <t>笹山586-8</t>
    <rPh sb="0" eb="2">
      <t>ササヤマ</t>
    </rPh>
    <phoneticPr fontId="2"/>
  </si>
  <si>
    <t>スリーハート</t>
    <phoneticPr fontId="2"/>
  </si>
  <si>
    <t>350-0838</t>
    <phoneticPr fontId="2"/>
  </si>
  <si>
    <t>049-223-5525</t>
    <phoneticPr fontId="2"/>
  </si>
  <si>
    <t>川越駅から徒歩44分
※共同生活援助との併設</t>
    <rPh sb="0" eb="2">
      <t>カワゴエ</t>
    </rPh>
    <rPh sb="2" eb="3">
      <t>エキ</t>
    </rPh>
    <rPh sb="5" eb="7">
      <t>トホ</t>
    </rPh>
    <rPh sb="9" eb="10">
      <t>プン</t>
    </rPh>
    <phoneticPr fontId="2"/>
  </si>
  <si>
    <t>(特非)みのり共生会</t>
    <rPh sb="7" eb="9">
      <t>キョウセイ</t>
    </rPh>
    <rPh sb="9" eb="10">
      <t>カイ</t>
    </rPh>
    <phoneticPr fontId="2"/>
  </si>
  <si>
    <t>宮元町49-20</t>
    <rPh sb="0" eb="1">
      <t>ミヤ</t>
    </rPh>
    <rPh sb="1" eb="2">
      <t>モト</t>
    </rPh>
    <rPh sb="2" eb="3">
      <t>マチ</t>
    </rPh>
    <phoneticPr fontId="2"/>
  </si>
  <si>
    <t>就労移行支援事業所ライトハウス</t>
    <rPh sb="0" eb="2">
      <t>シュウロウ</t>
    </rPh>
    <rPh sb="2" eb="4">
      <t>イコウ</t>
    </rPh>
    <rPh sb="4" eb="6">
      <t>シエン</t>
    </rPh>
    <rPh sb="6" eb="8">
      <t>ジギョウ</t>
    </rPh>
    <rPh sb="8" eb="9">
      <t>ショ</t>
    </rPh>
    <phoneticPr fontId="2"/>
  </si>
  <si>
    <t>うらら</t>
    <phoneticPr fontId="2"/>
  </si>
  <si>
    <t>大宮区吉敷町1-89-6階</t>
    <rPh sb="12" eb="13">
      <t>カイ</t>
    </rPh>
    <phoneticPr fontId="2"/>
  </si>
  <si>
    <t>北区宮原町2-88-1　第3島栄ビル2階</t>
    <phoneticPr fontId="2"/>
  </si>
  <si>
    <t>048-788-1490</t>
    <phoneticPr fontId="2"/>
  </si>
  <si>
    <t>048-788-1491</t>
    <phoneticPr fontId="2"/>
  </si>
  <si>
    <t>048-788-1939</t>
    <phoneticPr fontId="2"/>
  </si>
  <si>
    <t>048-788-1940</t>
    <phoneticPr fontId="2"/>
  </si>
  <si>
    <t>330-0843</t>
    <phoneticPr fontId="2"/>
  </si>
  <si>
    <t>331-0812</t>
    <phoneticPr fontId="2"/>
  </si>
  <si>
    <t>○</t>
    <phoneticPr fontId="2"/>
  </si>
  <si>
    <t>大宮駅東口から徒歩10分</t>
    <phoneticPr fontId="2"/>
  </si>
  <si>
    <t>ニューシャトル東宮原駅から徒歩3分</t>
    <phoneticPr fontId="2"/>
  </si>
  <si>
    <t>(同)ソレイユ</t>
    <phoneticPr fontId="2"/>
  </si>
  <si>
    <t>（同）プラネット</t>
    <rPh sb="1" eb="2">
      <t>ドウ</t>
    </rPh>
    <phoneticPr fontId="2"/>
  </si>
  <si>
    <t>北越谷4-3-12 ブリリアン・レジデンス201</t>
    <rPh sb="0" eb="3">
      <t>キタコシガヤ</t>
    </rPh>
    <phoneticPr fontId="2"/>
  </si>
  <si>
    <t>343-0026</t>
    <phoneticPr fontId="2"/>
  </si>
  <si>
    <t>048-971-6932</t>
    <phoneticPr fontId="2"/>
  </si>
  <si>
    <t>048-971-7936</t>
    <phoneticPr fontId="2"/>
  </si>
  <si>
    <t>○</t>
    <phoneticPr fontId="2"/>
  </si>
  <si>
    <t>東武伊勢崎線北越谷駅下車徒歩3分</t>
    <rPh sb="0" eb="2">
      <t>トウブ</t>
    </rPh>
    <rPh sb="2" eb="5">
      <t>イセザキ</t>
    </rPh>
    <rPh sb="5" eb="6">
      <t>セン</t>
    </rPh>
    <rPh sb="6" eb="9">
      <t>キタコシガヤ</t>
    </rPh>
    <rPh sb="9" eb="10">
      <t>エキ</t>
    </rPh>
    <rPh sb="10" eb="12">
      <t>ゲシャ</t>
    </rPh>
    <rPh sb="12" eb="14">
      <t>トホ</t>
    </rPh>
    <rPh sb="15" eb="16">
      <t>フン</t>
    </rPh>
    <phoneticPr fontId="2"/>
  </si>
  <si>
    <t>てんとうむし北本</t>
    <rPh sb="6" eb="8">
      <t>キタモト</t>
    </rPh>
    <phoneticPr fontId="2"/>
  </si>
  <si>
    <t>北本1-71TKビル2F</t>
    <phoneticPr fontId="2"/>
  </si>
  <si>
    <t>364-0006</t>
    <phoneticPr fontId="2"/>
  </si>
  <si>
    <t>048-507-6571</t>
    <phoneticPr fontId="2"/>
  </si>
  <si>
    <t>048-507-9829</t>
    <phoneticPr fontId="2"/>
  </si>
  <si>
    <t>○</t>
    <phoneticPr fontId="2"/>
  </si>
  <si>
    <t>久喜けいわ</t>
    <phoneticPr fontId="2"/>
  </si>
  <si>
    <t>六万部1435</t>
    <phoneticPr fontId="2"/>
  </si>
  <si>
    <t>0480-22-8788</t>
    <phoneticPr fontId="2"/>
  </si>
  <si>
    <t>0480-21-6604</t>
    <phoneticPr fontId="2"/>
  </si>
  <si>
    <t>(特非)上福岡障害者支援センター２１</t>
    <rPh sb="4" eb="7">
      <t>カミフクオカ</t>
    </rPh>
    <rPh sb="7" eb="10">
      <t>ショウガイシャ</t>
    </rPh>
    <rPh sb="10" eb="12">
      <t>シエン</t>
    </rPh>
    <phoneticPr fontId="2"/>
  </si>
  <si>
    <t>協働舎レタス</t>
    <rPh sb="0" eb="2">
      <t>キョウドウ</t>
    </rPh>
    <rPh sb="2" eb="3">
      <t>シャ</t>
    </rPh>
    <phoneticPr fontId="2"/>
  </si>
  <si>
    <t>上福岡4-6-11ｲｼﾃﾞﾝﾋﾞﾙ1階</t>
    <rPh sb="0" eb="1">
      <t>ウエ</t>
    </rPh>
    <rPh sb="1" eb="3">
      <t>フクオカ</t>
    </rPh>
    <rPh sb="18" eb="19">
      <t>カイ</t>
    </rPh>
    <phoneticPr fontId="2"/>
  </si>
  <si>
    <t>東武東上線上福岡駅から徒歩10分</t>
    <rPh sb="11" eb="13">
      <t>トホ</t>
    </rPh>
    <rPh sb="15" eb="16">
      <t>フン</t>
    </rPh>
    <phoneticPr fontId="2"/>
  </si>
  <si>
    <t>H25.5.1</t>
    <phoneticPr fontId="2"/>
  </si>
  <si>
    <t>脚折1-1-1</t>
    <rPh sb="0" eb="2">
      <t>スネオリ</t>
    </rPh>
    <phoneticPr fontId="2"/>
  </si>
  <si>
    <t>熊谷駅下車徒歩１分</t>
    <rPh sb="0" eb="2">
      <t>クマガヤ</t>
    </rPh>
    <rPh sb="2" eb="3">
      <t>エキ</t>
    </rPh>
    <rPh sb="3" eb="5">
      <t>ゲシャ</t>
    </rPh>
    <rPh sb="5" eb="7">
      <t>トホ</t>
    </rPh>
    <rPh sb="8" eb="9">
      <t>フン</t>
    </rPh>
    <phoneticPr fontId="2"/>
  </si>
  <si>
    <t>きずな工房</t>
    <rPh sb="3" eb="5">
      <t>コウボウ</t>
    </rPh>
    <phoneticPr fontId="5"/>
  </si>
  <si>
    <t>048-788-2533</t>
  </si>
  <si>
    <t>048-788-2532</t>
  </si>
  <si>
    <t>障害福祉サービスセンターほほ笑み</t>
    <rPh sb="0" eb="2">
      <t>ショウガイ</t>
    </rPh>
    <rPh sb="2" eb="4">
      <t>フクシ</t>
    </rPh>
    <rPh sb="14" eb="15">
      <t>エ</t>
    </rPh>
    <phoneticPr fontId="2"/>
  </si>
  <si>
    <t>西野4-4</t>
    <rPh sb="0" eb="1">
      <t>ニシ</t>
    </rPh>
    <rPh sb="1" eb="2">
      <t>ノ</t>
    </rPh>
    <phoneticPr fontId="2"/>
  </si>
  <si>
    <t>○</t>
    <phoneticPr fontId="2"/>
  </si>
  <si>
    <t>熊谷駅から太田駅・西小泉駅・妻沼・妻沼聖天前行バス「西野」下車すぐ</t>
    <rPh sb="0" eb="2">
      <t>クマガヤ</t>
    </rPh>
    <rPh sb="2" eb="3">
      <t>エキ</t>
    </rPh>
    <rPh sb="5" eb="7">
      <t>オオタ</t>
    </rPh>
    <rPh sb="7" eb="8">
      <t>エキ</t>
    </rPh>
    <rPh sb="9" eb="10">
      <t>ニシ</t>
    </rPh>
    <rPh sb="10" eb="12">
      <t>コイズミ</t>
    </rPh>
    <rPh sb="12" eb="13">
      <t>エキ</t>
    </rPh>
    <rPh sb="14" eb="16">
      <t>メヌマ</t>
    </rPh>
    <rPh sb="17" eb="19">
      <t>メヌマ</t>
    </rPh>
    <rPh sb="19" eb="20">
      <t>セイ</t>
    </rPh>
    <rPh sb="20" eb="21">
      <t>テン</t>
    </rPh>
    <rPh sb="21" eb="22">
      <t>マエ</t>
    </rPh>
    <rPh sb="22" eb="23">
      <t>イキ</t>
    </rPh>
    <rPh sb="26" eb="27">
      <t>ニシ</t>
    </rPh>
    <rPh sb="27" eb="28">
      <t>ノ</t>
    </rPh>
    <rPh sb="29" eb="31">
      <t>ゲシャ</t>
    </rPh>
    <phoneticPr fontId="2"/>
  </si>
  <si>
    <t>(特非)リスイッチ</t>
    <phoneticPr fontId="2"/>
  </si>
  <si>
    <t>リライト</t>
    <phoneticPr fontId="2"/>
  </si>
  <si>
    <t>仲町1-1-30サンロード朝霞３F</t>
    <rPh sb="0" eb="2">
      <t>ナカチョウ</t>
    </rPh>
    <rPh sb="13" eb="15">
      <t>アサカ</t>
    </rPh>
    <phoneticPr fontId="2"/>
  </si>
  <si>
    <t>351-0006</t>
    <phoneticPr fontId="2"/>
  </si>
  <si>
    <t>048-468-5322</t>
    <phoneticPr fontId="2"/>
  </si>
  <si>
    <t>東武東上線朝霞駅下車徒歩2分</t>
    <rPh sb="0" eb="5">
      <t>トウブトウジョウセン</t>
    </rPh>
    <rPh sb="5" eb="7">
      <t>アサカ</t>
    </rPh>
    <rPh sb="7" eb="8">
      <t>エキ</t>
    </rPh>
    <rPh sb="8" eb="10">
      <t>ゲシャ</t>
    </rPh>
    <rPh sb="10" eb="12">
      <t>トホ</t>
    </rPh>
    <rPh sb="13" eb="14">
      <t>フン</t>
    </rPh>
    <phoneticPr fontId="2"/>
  </si>
  <si>
    <t>(特非)はーとふるさぽーと</t>
    <rPh sb="1" eb="2">
      <t>トク</t>
    </rPh>
    <rPh sb="2" eb="3">
      <t>ヒ</t>
    </rPh>
    <phoneticPr fontId="2"/>
  </si>
  <si>
    <t>ワーカーズ</t>
    <phoneticPr fontId="2"/>
  </si>
  <si>
    <t>原郷946-7</t>
    <rPh sb="0" eb="1">
      <t>ハラ</t>
    </rPh>
    <rPh sb="1" eb="2">
      <t>ゴウ</t>
    </rPh>
    <phoneticPr fontId="2"/>
  </si>
  <si>
    <t>366-0035</t>
    <phoneticPr fontId="2"/>
  </si>
  <si>
    <t>048-501-2242</t>
    <phoneticPr fontId="2"/>
  </si>
  <si>
    <t>048-501-2129</t>
    <phoneticPr fontId="2"/>
  </si>
  <si>
    <t>高崎線深谷駅から市巡回バス北コース東循環左回り「幡羅町」下車徒歩2分</t>
    <rPh sb="0" eb="3">
      <t>タカサキセン</t>
    </rPh>
    <rPh sb="3" eb="5">
      <t>フカヤ</t>
    </rPh>
    <rPh sb="5" eb="6">
      <t>エキ</t>
    </rPh>
    <rPh sb="8" eb="9">
      <t>シ</t>
    </rPh>
    <rPh sb="9" eb="11">
      <t>ジュンカイ</t>
    </rPh>
    <rPh sb="13" eb="14">
      <t>キタ</t>
    </rPh>
    <rPh sb="17" eb="18">
      <t>ヒガシ</t>
    </rPh>
    <rPh sb="18" eb="20">
      <t>ジュンカン</t>
    </rPh>
    <rPh sb="20" eb="22">
      <t>ヒダリマワ</t>
    </rPh>
    <rPh sb="24" eb="25">
      <t>ハタ</t>
    </rPh>
    <rPh sb="28" eb="30">
      <t>ゲシャ</t>
    </rPh>
    <rPh sb="30" eb="32">
      <t>トホ</t>
    </rPh>
    <rPh sb="33" eb="34">
      <t>フン</t>
    </rPh>
    <phoneticPr fontId="2"/>
  </si>
  <si>
    <t>(医)葵会</t>
    <phoneticPr fontId="2"/>
  </si>
  <si>
    <t>048-851-3900</t>
  </si>
  <si>
    <t>048-851-3800</t>
  </si>
  <si>
    <t>南浦和駅東口より柳崎循環バス「円正寺」下車徒歩4分</t>
    <phoneticPr fontId="2"/>
  </si>
  <si>
    <t>大宮駅東口より浦和美園・浦和学院・浦和東高行きバス「山村」下車徒歩1分</t>
    <phoneticPr fontId="2"/>
  </si>
  <si>
    <t>中台南1-4-7</t>
    <rPh sb="0" eb="2">
      <t>ナカダイ</t>
    </rPh>
    <rPh sb="2" eb="3">
      <t>ミナミ</t>
    </rPh>
    <phoneticPr fontId="2"/>
  </si>
  <si>
    <t>350-1150</t>
    <phoneticPr fontId="2"/>
  </si>
  <si>
    <t>（医）満寿会</t>
    <rPh sb="1" eb="2">
      <t>イ</t>
    </rPh>
    <rPh sb="3" eb="4">
      <t>マン</t>
    </rPh>
    <rPh sb="4" eb="5">
      <t>コトブキ</t>
    </rPh>
    <rPh sb="5" eb="6">
      <t>カイ</t>
    </rPh>
    <phoneticPr fontId="2"/>
  </si>
  <si>
    <t>老人保健施設　鶴ヶ島ケアホーム</t>
    <rPh sb="0" eb="2">
      <t>ロウジン</t>
    </rPh>
    <rPh sb="2" eb="4">
      <t>ホケン</t>
    </rPh>
    <rPh sb="4" eb="6">
      <t>シセツ</t>
    </rPh>
    <rPh sb="7" eb="10">
      <t>ツルガシマ</t>
    </rPh>
    <phoneticPr fontId="2"/>
  </si>
  <si>
    <t>脚折1877</t>
    <rPh sb="0" eb="1">
      <t>アシ</t>
    </rPh>
    <rPh sb="1" eb="2">
      <t>オ</t>
    </rPh>
    <phoneticPr fontId="2"/>
  </si>
  <si>
    <t>350-2213</t>
    <phoneticPr fontId="2"/>
  </si>
  <si>
    <t>○</t>
    <phoneticPr fontId="2"/>
  </si>
  <si>
    <t>秩父鉄道秩父駅から車で15分
※特別養護老人ホームの空床利用</t>
    <rPh sb="9" eb="10">
      <t>クルマ</t>
    </rPh>
    <rPh sb="16" eb="18">
      <t>トクベツ</t>
    </rPh>
    <rPh sb="18" eb="20">
      <t>ヨウゴ</t>
    </rPh>
    <rPh sb="20" eb="22">
      <t>ロウジン</t>
    </rPh>
    <rPh sb="26" eb="27">
      <t>クウ</t>
    </rPh>
    <rPh sb="27" eb="28">
      <t>ユカ</t>
    </rPh>
    <rPh sb="28" eb="30">
      <t>リヨウ</t>
    </rPh>
    <phoneticPr fontId="2"/>
  </si>
  <si>
    <t>高崎線岡部駅から市内循環バス「南岡」下車徒歩6分</t>
    <rPh sb="0" eb="2">
      <t>タカサキ</t>
    </rPh>
    <rPh sb="2" eb="3">
      <t>セン</t>
    </rPh>
    <rPh sb="3" eb="5">
      <t>オカベ</t>
    </rPh>
    <rPh sb="5" eb="6">
      <t>エキ</t>
    </rPh>
    <rPh sb="8" eb="10">
      <t>シナイ</t>
    </rPh>
    <rPh sb="10" eb="12">
      <t>ジュンカン</t>
    </rPh>
    <rPh sb="15" eb="17">
      <t>ミナミオカ</t>
    </rPh>
    <rPh sb="18" eb="20">
      <t>ゲシャ</t>
    </rPh>
    <rPh sb="20" eb="22">
      <t>トホ</t>
    </rPh>
    <rPh sb="23" eb="24">
      <t>プン</t>
    </rPh>
    <phoneticPr fontId="2"/>
  </si>
  <si>
    <t>下青鳥391-1</t>
    <rPh sb="0" eb="1">
      <t>シタ</t>
    </rPh>
    <rPh sb="1" eb="2">
      <t>アオ</t>
    </rPh>
    <rPh sb="2" eb="3">
      <t>トリ</t>
    </rPh>
    <phoneticPr fontId="2"/>
  </si>
  <si>
    <t>東武東上線東松山駅から市内循環バス唐子コース「一本松」下車徒歩9分</t>
    <rPh sb="0" eb="5">
      <t>トウブトウジョウセン</t>
    </rPh>
    <rPh sb="5" eb="6">
      <t>ヒガシ</t>
    </rPh>
    <rPh sb="6" eb="8">
      <t>マツヤマ</t>
    </rPh>
    <rPh sb="8" eb="9">
      <t>エキ</t>
    </rPh>
    <rPh sb="11" eb="13">
      <t>シナイ</t>
    </rPh>
    <rPh sb="13" eb="15">
      <t>ジュンカン</t>
    </rPh>
    <rPh sb="17" eb="19">
      <t>カラコ</t>
    </rPh>
    <rPh sb="23" eb="26">
      <t>イッポンマツ</t>
    </rPh>
    <rPh sb="27" eb="29">
      <t>ゲシャ</t>
    </rPh>
    <rPh sb="29" eb="31">
      <t>トホ</t>
    </rPh>
    <rPh sb="32" eb="33">
      <t>フン</t>
    </rPh>
    <phoneticPr fontId="2"/>
  </si>
  <si>
    <t>デイケアセンターぬくもり</t>
    <phoneticPr fontId="2"/>
  </si>
  <si>
    <t>児玉郡神川町</t>
    <rPh sb="0" eb="3">
      <t>コダマグン</t>
    </rPh>
    <rPh sb="3" eb="5">
      <t>カミカワ</t>
    </rPh>
    <rPh sb="5" eb="6">
      <t>マチ</t>
    </rPh>
    <phoneticPr fontId="2"/>
  </si>
  <si>
    <t>(特非)つばさねっと</t>
    <rPh sb="1" eb="2">
      <t>トク</t>
    </rPh>
    <rPh sb="2" eb="3">
      <t>ヒ</t>
    </rPh>
    <phoneticPr fontId="2"/>
  </si>
  <si>
    <t>針ヶ谷2-6-7</t>
    <rPh sb="0" eb="3">
      <t>ハリガヤ</t>
    </rPh>
    <phoneticPr fontId="2"/>
  </si>
  <si>
    <t>(特非)たすけ愛すぎと</t>
    <rPh sb="7" eb="8">
      <t>アイ</t>
    </rPh>
    <phoneticPr fontId="2"/>
  </si>
  <si>
    <t>あい工房</t>
    <rPh sb="2" eb="4">
      <t>コウボウ</t>
    </rPh>
    <phoneticPr fontId="2"/>
  </si>
  <si>
    <t>杉戸3-3-5</t>
  </si>
  <si>
    <t>345-0036</t>
    <phoneticPr fontId="2"/>
  </si>
  <si>
    <t>0480-32-5540</t>
    <phoneticPr fontId="2"/>
  </si>
  <si>
    <t>○</t>
    <phoneticPr fontId="2"/>
  </si>
  <si>
    <t>東武動物公園駅下車徒歩１０分</t>
    <rPh sb="0" eb="2">
      <t>トウブ</t>
    </rPh>
    <rPh sb="2" eb="4">
      <t>ドウブツ</t>
    </rPh>
    <rPh sb="4" eb="6">
      <t>コウエン</t>
    </rPh>
    <rPh sb="6" eb="7">
      <t>エキ</t>
    </rPh>
    <rPh sb="7" eb="9">
      <t>ゲシャ</t>
    </rPh>
    <rPh sb="9" eb="11">
      <t>トホ</t>
    </rPh>
    <rPh sb="13" eb="14">
      <t>プン</t>
    </rPh>
    <phoneticPr fontId="2"/>
  </si>
  <si>
    <t>(医）土屋小児病院</t>
    <rPh sb="1" eb="2">
      <t>イ</t>
    </rPh>
    <rPh sb="3" eb="9">
      <t>ツチヤショウニビョウイン</t>
    </rPh>
    <phoneticPr fontId="2"/>
  </si>
  <si>
    <t>土屋小児病院</t>
    <rPh sb="0" eb="6">
      <t>ツチヤショウニビョウイン</t>
    </rPh>
    <phoneticPr fontId="2"/>
  </si>
  <si>
    <t>久喜中央3-1-10</t>
    <rPh sb="0" eb="2">
      <t>クキ</t>
    </rPh>
    <rPh sb="2" eb="4">
      <t>チュウオウ</t>
    </rPh>
    <phoneticPr fontId="2"/>
  </si>
  <si>
    <t>346-0003</t>
    <phoneticPr fontId="2"/>
  </si>
  <si>
    <t>0480-21-0766</t>
    <phoneticPr fontId="2"/>
  </si>
  <si>
    <t>0480-21-2230</t>
    <phoneticPr fontId="2"/>
  </si>
  <si>
    <t>○</t>
    <phoneticPr fontId="2"/>
  </si>
  <si>
    <t>（株）メーティス</t>
    <rPh sb="1" eb="2">
      <t>カブ</t>
    </rPh>
    <phoneticPr fontId="2"/>
  </si>
  <si>
    <t>ひだまり工房</t>
    <rPh sb="4" eb="6">
      <t>コウボウ</t>
    </rPh>
    <phoneticPr fontId="2"/>
  </si>
  <si>
    <t>大曽根531-4</t>
    <rPh sb="0" eb="3">
      <t>オオソネ</t>
    </rPh>
    <phoneticPr fontId="2"/>
  </si>
  <si>
    <t>つくばエクスプレス八潮駅から徒歩21分</t>
    <rPh sb="9" eb="11">
      <t>ヤシオ</t>
    </rPh>
    <rPh sb="11" eb="12">
      <t>エキ</t>
    </rPh>
    <rPh sb="14" eb="16">
      <t>トホ</t>
    </rPh>
    <rPh sb="18" eb="19">
      <t>フン</t>
    </rPh>
    <phoneticPr fontId="2"/>
  </si>
  <si>
    <t>芝新町15-9 アステール藤野101</t>
    <rPh sb="0" eb="1">
      <t>シバ</t>
    </rPh>
    <rPh sb="1" eb="3">
      <t>シンマチ</t>
    </rPh>
    <rPh sb="13" eb="15">
      <t>フジノ</t>
    </rPh>
    <phoneticPr fontId="2"/>
  </si>
  <si>
    <t>（福）彩明会</t>
    <rPh sb="1" eb="2">
      <t>フク</t>
    </rPh>
    <rPh sb="3" eb="4">
      <t>サイ</t>
    </rPh>
    <rPh sb="4" eb="5">
      <t>アキラ</t>
    </rPh>
    <rPh sb="5" eb="6">
      <t>カイ</t>
    </rPh>
    <phoneticPr fontId="2"/>
  </si>
  <si>
    <t>北足立郡伊奈町</t>
    <phoneticPr fontId="2"/>
  </si>
  <si>
    <t>西小針6-124</t>
    <rPh sb="0" eb="1">
      <t>ニシ</t>
    </rPh>
    <rPh sb="1" eb="3">
      <t>コバリ</t>
    </rPh>
    <phoneticPr fontId="2"/>
  </si>
  <si>
    <t>362-0811</t>
    <phoneticPr fontId="2"/>
  </si>
  <si>
    <t>048-788-2165</t>
    <phoneticPr fontId="2"/>
  </si>
  <si>
    <t>048-788-2175</t>
    <phoneticPr fontId="2"/>
  </si>
  <si>
    <t>埼玉新都市交通（ニューシャトル）内宿駅下車徒歩15分</t>
    <rPh sb="16" eb="17">
      <t>ナイ</t>
    </rPh>
    <rPh sb="17" eb="18">
      <t>ジュク</t>
    </rPh>
    <rPh sb="18" eb="19">
      <t>エキ</t>
    </rPh>
    <phoneticPr fontId="2"/>
  </si>
  <si>
    <t>共愛学園（成人部）</t>
    <phoneticPr fontId="2"/>
  </si>
  <si>
    <t>砂山210</t>
    <phoneticPr fontId="2"/>
  </si>
  <si>
    <t>048-561-2362</t>
    <phoneticPr fontId="2"/>
  </si>
  <si>
    <t>048-563-3072</t>
    <phoneticPr fontId="2"/>
  </si>
  <si>
    <t>第２ぷちとまと</t>
    <rPh sb="0" eb="1">
      <t>ダイ</t>
    </rPh>
    <phoneticPr fontId="2"/>
  </si>
  <si>
    <t>南字原山13-3</t>
    <rPh sb="0" eb="1">
      <t>ミナミ</t>
    </rPh>
    <rPh sb="1" eb="2">
      <t>ジ</t>
    </rPh>
    <rPh sb="2" eb="4">
      <t>ハラヤマ</t>
    </rPh>
    <phoneticPr fontId="2"/>
  </si>
  <si>
    <t>362-0002</t>
    <phoneticPr fontId="2"/>
  </si>
  <si>
    <t>048-788-2692</t>
    <phoneticPr fontId="2"/>
  </si>
  <si>
    <t>048-788-2691</t>
    <phoneticPr fontId="2"/>
  </si>
  <si>
    <t>高崎線北上尾駅下車徒歩20分</t>
    <rPh sb="0" eb="2">
      <t>タカサキ</t>
    </rPh>
    <rPh sb="2" eb="3">
      <t>セン</t>
    </rPh>
    <rPh sb="3" eb="6">
      <t>キタアゲオ</t>
    </rPh>
    <rPh sb="6" eb="7">
      <t>エキ</t>
    </rPh>
    <rPh sb="7" eb="9">
      <t>ゲシャ</t>
    </rPh>
    <rPh sb="9" eb="11">
      <t>トホ</t>
    </rPh>
    <rPh sb="13" eb="14">
      <t>フン</t>
    </rPh>
    <phoneticPr fontId="2"/>
  </si>
  <si>
    <t>（同）MIRAI</t>
    <rPh sb="1" eb="2">
      <t>ドウ</t>
    </rPh>
    <phoneticPr fontId="2"/>
  </si>
  <si>
    <t>344-0067</t>
    <phoneticPr fontId="2"/>
  </si>
  <si>
    <t>（株）真恵</t>
    <rPh sb="1" eb="2">
      <t>カブ</t>
    </rPh>
    <rPh sb="3" eb="4">
      <t>シン</t>
    </rPh>
    <rPh sb="4" eb="5">
      <t>メグ</t>
    </rPh>
    <phoneticPr fontId="2"/>
  </si>
  <si>
    <t>ひかり</t>
    <phoneticPr fontId="2"/>
  </si>
  <si>
    <t>弁天2-22-7</t>
    <rPh sb="0" eb="2">
      <t>ベンテン</t>
    </rPh>
    <phoneticPr fontId="2"/>
  </si>
  <si>
    <t>048-950-8896</t>
    <phoneticPr fontId="2"/>
  </si>
  <si>
    <t>048-950-8897</t>
    <phoneticPr fontId="2"/>
  </si>
  <si>
    <t>東武スカイツリーライン松原団地駅から東武バス「弁天町バス停」下車徒歩2分</t>
    <rPh sb="0" eb="2">
      <t>トウブ</t>
    </rPh>
    <rPh sb="11" eb="16">
      <t>マツバラダンチエキ</t>
    </rPh>
    <rPh sb="18" eb="20">
      <t>トウブ</t>
    </rPh>
    <rPh sb="23" eb="26">
      <t>ベンテンマチ</t>
    </rPh>
    <rPh sb="28" eb="29">
      <t>テイ</t>
    </rPh>
    <rPh sb="30" eb="32">
      <t>ゲシャ</t>
    </rPh>
    <rPh sb="32" eb="34">
      <t>トホ</t>
    </rPh>
    <rPh sb="35" eb="36">
      <t>フン</t>
    </rPh>
    <phoneticPr fontId="2"/>
  </si>
  <si>
    <t>（株）千手</t>
    <rPh sb="1" eb="2">
      <t>カブ</t>
    </rPh>
    <rPh sb="3" eb="5">
      <t>センジュ</t>
    </rPh>
    <phoneticPr fontId="2"/>
  </si>
  <si>
    <t>イリス</t>
    <phoneticPr fontId="2"/>
  </si>
  <si>
    <t>中央2-17-16 吉野コーポ1階</t>
    <rPh sb="0" eb="2">
      <t>チュウオウ</t>
    </rPh>
    <rPh sb="10" eb="12">
      <t>ヨシノ</t>
    </rPh>
    <rPh sb="16" eb="17">
      <t>カイ</t>
    </rPh>
    <phoneticPr fontId="2"/>
  </si>
  <si>
    <t>048-720-8460</t>
    <phoneticPr fontId="2"/>
  </si>
  <si>
    <t>048-720-8470</t>
    <phoneticPr fontId="2"/>
  </si>
  <si>
    <t>春日部駅西口から徒歩6分</t>
    <rPh sb="0" eb="3">
      <t>カスカベ</t>
    </rPh>
    <rPh sb="3" eb="4">
      <t>エキ</t>
    </rPh>
    <rPh sb="4" eb="6">
      <t>ニシグチ</t>
    </rPh>
    <rPh sb="8" eb="10">
      <t>トホ</t>
    </rPh>
    <rPh sb="11" eb="12">
      <t>フン</t>
    </rPh>
    <phoneticPr fontId="2"/>
  </si>
  <si>
    <t>049-271-5121</t>
    <phoneticPr fontId="2"/>
  </si>
  <si>
    <t>049-271-5124</t>
    <phoneticPr fontId="2"/>
  </si>
  <si>
    <t>367-0247</t>
    <phoneticPr fontId="2"/>
  </si>
  <si>
    <t>高崎線本庄駅から神泉総合支所行バス「元阿保」下車徒歩5分</t>
    <rPh sb="0" eb="3">
      <t>タカサキセン</t>
    </rPh>
    <rPh sb="3" eb="6">
      <t>ホンジョウエキ</t>
    </rPh>
    <rPh sb="8" eb="10">
      <t>カミイズミ</t>
    </rPh>
    <rPh sb="10" eb="12">
      <t>ソウゴウ</t>
    </rPh>
    <rPh sb="12" eb="14">
      <t>シショ</t>
    </rPh>
    <rPh sb="14" eb="15">
      <t>イキ</t>
    </rPh>
    <rPh sb="18" eb="19">
      <t>モト</t>
    </rPh>
    <rPh sb="19" eb="21">
      <t>アボ</t>
    </rPh>
    <rPh sb="22" eb="24">
      <t>ゲシャ</t>
    </rPh>
    <rPh sb="24" eb="26">
      <t>トホ</t>
    </rPh>
    <rPh sb="27" eb="28">
      <t>フン</t>
    </rPh>
    <phoneticPr fontId="2"/>
  </si>
  <si>
    <t>元阿保848-1</t>
    <phoneticPr fontId="2"/>
  </si>
  <si>
    <t>0495-74-1111</t>
    <phoneticPr fontId="2"/>
  </si>
  <si>
    <t>0495-74-1000</t>
    <phoneticPr fontId="2"/>
  </si>
  <si>
    <t>障害福祉サービス事業所　かなで</t>
    <rPh sb="0" eb="2">
      <t>ショウガイ</t>
    </rPh>
    <rPh sb="2" eb="4">
      <t>フクシ</t>
    </rPh>
    <rPh sb="8" eb="11">
      <t>ジギョウショ</t>
    </rPh>
    <phoneticPr fontId="2"/>
  </si>
  <si>
    <t>(福)あげお福祉会</t>
    <rPh sb="0" eb="3">
      <t>フク</t>
    </rPh>
    <rPh sb="6" eb="8">
      <t>フクシ</t>
    </rPh>
    <rPh sb="8" eb="9">
      <t>カイ</t>
    </rPh>
    <phoneticPr fontId="2"/>
  </si>
  <si>
    <t>柏の木</t>
    <rPh sb="0" eb="1">
      <t>カシワ</t>
    </rPh>
    <rPh sb="2" eb="3">
      <t>キ</t>
    </rPh>
    <phoneticPr fontId="2"/>
  </si>
  <si>
    <t>柏座1-3-9</t>
    <rPh sb="0" eb="2">
      <t>カシワザ</t>
    </rPh>
    <phoneticPr fontId="2"/>
  </si>
  <si>
    <t>362-0075</t>
    <phoneticPr fontId="2"/>
  </si>
  <si>
    <t>048-778-3531</t>
    <phoneticPr fontId="2"/>
  </si>
  <si>
    <t>048-778-3533</t>
    <phoneticPr fontId="2"/>
  </si>
  <si>
    <t>ねいる</t>
  </si>
  <si>
    <t>大泊根田168-1</t>
    <rPh sb="0" eb="1">
      <t>オオ</t>
    </rPh>
    <rPh sb="1" eb="2">
      <t>ハク</t>
    </rPh>
    <rPh sb="2" eb="3">
      <t>ネ</t>
    </rPh>
    <rPh sb="3" eb="4">
      <t>タ</t>
    </rPh>
    <phoneticPr fontId="2"/>
  </si>
  <si>
    <t>343-0044</t>
  </si>
  <si>
    <t>048-971-6893</t>
  </si>
  <si>
    <t>東武伊勢崎線せんげん台駅下車ミニバス桃の里前下車徒歩5分
※共同生活援助の空床利用</t>
    <rPh sb="10" eb="11">
      <t>ダイ</t>
    </rPh>
    <rPh sb="11" eb="12">
      <t>エキ</t>
    </rPh>
    <rPh sb="12" eb="14">
      <t>ゲシャ</t>
    </rPh>
    <rPh sb="18" eb="19">
      <t>モモ</t>
    </rPh>
    <rPh sb="20" eb="21">
      <t>サト</t>
    </rPh>
    <rPh sb="21" eb="22">
      <t>マエ</t>
    </rPh>
    <rPh sb="22" eb="24">
      <t>ゲシャ</t>
    </rPh>
    <rPh sb="24" eb="26">
      <t>トホ</t>
    </rPh>
    <rPh sb="27" eb="28">
      <t>フン</t>
    </rPh>
    <rPh sb="30" eb="32">
      <t>キョウドウ</t>
    </rPh>
    <rPh sb="32" eb="34">
      <t>セイカツ</t>
    </rPh>
    <rPh sb="34" eb="36">
      <t>エンジョ</t>
    </rPh>
    <rPh sb="37" eb="39">
      <t>クウショウ</t>
    </rPh>
    <rPh sb="39" eb="41">
      <t>リヨウ</t>
    </rPh>
    <phoneticPr fontId="2"/>
  </si>
  <si>
    <t>高崎線上尾駅から徒歩7分
※共同生活援助との併設</t>
    <rPh sb="0" eb="3">
      <t>タカサキセン</t>
    </rPh>
    <rPh sb="3" eb="6">
      <t>アゲオエキ</t>
    </rPh>
    <rPh sb="8" eb="10">
      <t>トホ</t>
    </rPh>
    <rPh sb="11" eb="12">
      <t>フン</t>
    </rPh>
    <rPh sb="14" eb="16">
      <t>キョウドウ</t>
    </rPh>
    <rPh sb="16" eb="18">
      <t>セイカツ</t>
    </rPh>
    <rPh sb="18" eb="20">
      <t>エンジョ</t>
    </rPh>
    <rPh sb="22" eb="24">
      <t>ヘイセツ</t>
    </rPh>
    <phoneticPr fontId="2"/>
  </si>
  <si>
    <t>(特非)自立支援ホームとことこの家</t>
    <rPh sb="0" eb="4">
      <t>トクヒ</t>
    </rPh>
    <rPh sb="4" eb="6">
      <t>ジリツ</t>
    </rPh>
    <rPh sb="6" eb="8">
      <t>シエン</t>
    </rPh>
    <rPh sb="16" eb="17">
      <t>イエ</t>
    </rPh>
    <phoneticPr fontId="2"/>
  </si>
  <si>
    <t>グループホーム新町の家</t>
    <rPh sb="7" eb="9">
      <t>シンマチ</t>
    </rPh>
    <rPh sb="10" eb="11">
      <t>イエ</t>
    </rPh>
    <phoneticPr fontId="2"/>
  </si>
  <si>
    <t>所沢新町504-17</t>
    <rPh sb="0" eb="2">
      <t>トコロザワ</t>
    </rPh>
    <rPh sb="2" eb="4">
      <t>シンマチ</t>
    </rPh>
    <phoneticPr fontId="2"/>
  </si>
  <si>
    <t>359-0006</t>
    <phoneticPr fontId="2"/>
  </si>
  <si>
    <t>04-2943-1035</t>
    <phoneticPr fontId="2"/>
  </si>
  <si>
    <t>西武新宿線新所沢駅から徒歩21分
※共同生活援助との併設</t>
    <rPh sb="0" eb="5">
      <t>セイブシンジュクセン</t>
    </rPh>
    <rPh sb="5" eb="6">
      <t>シン</t>
    </rPh>
    <rPh sb="6" eb="8">
      <t>トコロザワ</t>
    </rPh>
    <rPh sb="8" eb="9">
      <t>エキ</t>
    </rPh>
    <rPh sb="11" eb="13">
      <t>トホ</t>
    </rPh>
    <rPh sb="15" eb="16">
      <t>フン</t>
    </rPh>
    <rPh sb="18" eb="20">
      <t>キョウドウ</t>
    </rPh>
    <rPh sb="20" eb="22">
      <t>セイカツ</t>
    </rPh>
    <rPh sb="22" eb="24">
      <t>エンジョ</t>
    </rPh>
    <rPh sb="26" eb="28">
      <t>ヘイセツ</t>
    </rPh>
    <phoneticPr fontId="2"/>
  </si>
  <si>
    <t>紙ふうせん</t>
    <rPh sb="0" eb="1">
      <t>カミ</t>
    </rPh>
    <phoneticPr fontId="2"/>
  </si>
  <si>
    <t>錦町3-1-5</t>
    <rPh sb="0" eb="2">
      <t>ニシキチョウ</t>
    </rPh>
    <phoneticPr fontId="2"/>
  </si>
  <si>
    <t>335-0005</t>
    <phoneticPr fontId="2"/>
  </si>
  <si>
    <t>048-234-3465</t>
  </si>
  <si>
    <t>048-234-3465</t>
    <phoneticPr fontId="2"/>
  </si>
  <si>
    <t>京浜東北線蕨駅から徒歩20分
※共同生活援助との併設</t>
    <rPh sb="0" eb="2">
      <t>ケイヒン</t>
    </rPh>
    <rPh sb="2" eb="5">
      <t>トウホクセン</t>
    </rPh>
    <rPh sb="5" eb="7">
      <t>ワラビエキ</t>
    </rPh>
    <rPh sb="9" eb="11">
      <t>トホ</t>
    </rPh>
    <rPh sb="13" eb="14">
      <t>フン</t>
    </rPh>
    <rPh sb="16" eb="22">
      <t>キョウドウセイカツエンジョ</t>
    </rPh>
    <rPh sb="24" eb="26">
      <t>ヘイセツ</t>
    </rPh>
    <phoneticPr fontId="2"/>
  </si>
  <si>
    <t>南区辻1-30-15中村ビル２Ｆ</t>
    <rPh sb="0" eb="2">
      <t>ミナミク</t>
    </rPh>
    <rPh sb="2" eb="3">
      <t>ツジ</t>
    </rPh>
    <rPh sb="10" eb="12">
      <t>ナカムラ</t>
    </rPh>
    <phoneticPr fontId="2"/>
  </si>
  <si>
    <t>(福)もくせい福祉会</t>
    <rPh sb="0" eb="3">
      <t>フク</t>
    </rPh>
    <rPh sb="7" eb="9">
      <t>フクシ</t>
    </rPh>
    <rPh sb="9" eb="10">
      <t>カイ</t>
    </rPh>
    <phoneticPr fontId="2"/>
  </si>
  <si>
    <t>浦和区領家4-15-10</t>
    <rPh sb="0" eb="2">
      <t>ウラワ</t>
    </rPh>
    <rPh sb="2" eb="3">
      <t>ク</t>
    </rPh>
    <rPh sb="3" eb="5">
      <t>リョウケ</t>
    </rPh>
    <phoneticPr fontId="2"/>
  </si>
  <si>
    <t>北浦和駅から徒歩20分</t>
    <rPh sb="0" eb="1">
      <t>キタ</t>
    </rPh>
    <phoneticPr fontId="2"/>
  </si>
  <si>
    <t>てづくり厨ふぁくとりー</t>
    <rPh sb="4" eb="5">
      <t>クリヤ</t>
    </rPh>
    <phoneticPr fontId="3"/>
  </si>
  <si>
    <t>048-857-5388</t>
    <phoneticPr fontId="2"/>
  </si>
  <si>
    <t>(福)北友会</t>
    <rPh sb="0" eb="3">
      <t>フク</t>
    </rPh>
    <rPh sb="3" eb="4">
      <t>キタ</t>
    </rPh>
    <rPh sb="4" eb="5">
      <t>トモ</t>
    </rPh>
    <rPh sb="5" eb="6">
      <t>カイ</t>
    </rPh>
    <phoneticPr fontId="2"/>
  </si>
  <si>
    <t>岩槻区谷下１-1</t>
    <rPh sb="0" eb="2">
      <t>イワツキ</t>
    </rPh>
    <rPh sb="2" eb="3">
      <t>ク</t>
    </rPh>
    <rPh sb="3" eb="5">
      <t>タニシタ</t>
    </rPh>
    <phoneticPr fontId="2"/>
  </si>
  <si>
    <t>岩槻駅から徒歩25分</t>
    <rPh sb="0" eb="2">
      <t>イワツキ</t>
    </rPh>
    <phoneticPr fontId="2"/>
  </si>
  <si>
    <t>(福)ささの会</t>
    <rPh sb="0" eb="3">
      <t>フク</t>
    </rPh>
    <phoneticPr fontId="2"/>
  </si>
  <si>
    <t>岩槻区大字岩槻5259-6</t>
    <rPh sb="0" eb="2">
      <t>イワツキ</t>
    </rPh>
    <rPh sb="2" eb="3">
      <t>ク</t>
    </rPh>
    <rPh sb="3" eb="5">
      <t>オオアザ</t>
    </rPh>
    <rPh sb="5" eb="7">
      <t>イワツキ</t>
    </rPh>
    <phoneticPr fontId="2"/>
  </si>
  <si>
    <t>岩槻駅から国際興業バス小児医療センター行きバス「箕輪」下車徒歩3分</t>
    <rPh sb="0" eb="2">
      <t>イワツキ</t>
    </rPh>
    <rPh sb="5" eb="7">
      <t>コクサイ</t>
    </rPh>
    <rPh sb="7" eb="9">
      <t>コウギョウ</t>
    </rPh>
    <rPh sb="11" eb="13">
      <t>ショウニ</t>
    </rPh>
    <rPh sb="13" eb="15">
      <t>イリョウ</t>
    </rPh>
    <rPh sb="19" eb="20">
      <t>イキ</t>
    </rPh>
    <rPh sb="24" eb="26">
      <t>ミノワ</t>
    </rPh>
    <rPh sb="27" eb="29">
      <t>ゲシャ</t>
    </rPh>
    <rPh sb="29" eb="31">
      <t>トホ</t>
    </rPh>
    <rPh sb="32" eb="33">
      <t>フン</t>
    </rPh>
    <phoneticPr fontId="2"/>
  </si>
  <si>
    <t>川越市</t>
    <rPh sb="0" eb="3">
      <t>カワゴエシ</t>
    </rPh>
    <phoneticPr fontId="1"/>
  </si>
  <si>
    <t>ワークセンターせんば</t>
  </si>
  <si>
    <t>350-0034</t>
  </si>
  <si>
    <t>350-1151</t>
  </si>
  <si>
    <t>049-246-3347</t>
  </si>
  <si>
    <t>049-246-3375</t>
  </si>
  <si>
    <t>川越駅から徒歩７分</t>
    <rPh sb="0" eb="2">
      <t>カワゴエ</t>
    </rPh>
    <rPh sb="2" eb="3">
      <t>エキ</t>
    </rPh>
    <rPh sb="5" eb="7">
      <t>トホ</t>
    </rPh>
    <rPh sb="8" eb="9">
      <t>フン</t>
    </rPh>
    <phoneticPr fontId="1"/>
  </si>
  <si>
    <t>鶴ヶ島駅から徒歩１５分</t>
    <rPh sb="0" eb="3">
      <t>ツルガシマ</t>
    </rPh>
    <rPh sb="3" eb="4">
      <t>エキ</t>
    </rPh>
    <rPh sb="6" eb="8">
      <t>トホ</t>
    </rPh>
    <rPh sb="10" eb="11">
      <t>フン</t>
    </rPh>
    <phoneticPr fontId="1"/>
  </si>
  <si>
    <t>（福）皆の郷</t>
    <rPh sb="1" eb="2">
      <t>フク</t>
    </rPh>
    <rPh sb="3" eb="4">
      <t>ミナ</t>
    </rPh>
    <rPh sb="5" eb="6">
      <t>サト</t>
    </rPh>
    <phoneticPr fontId="1"/>
  </si>
  <si>
    <t>カフェ＆ベーカリーどんなときも</t>
  </si>
  <si>
    <t>新宿町１－１７－１７</t>
    <rPh sb="0" eb="2">
      <t>アラジュク</t>
    </rPh>
    <rPh sb="2" eb="3">
      <t>マチ</t>
    </rPh>
    <phoneticPr fontId="1"/>
  </si>
  <si>
    <t>350-1124</t>
  </si>
  <si>
    <t>049-248-1137</t>
  </si>
  <si>
    <t>049-248-1138</t>
  </si>
  <si>
    <t>（特非）むつみ会</t>
    <rPh sb="1" eb="2">
      <t>トク</t>
    </rPh>
    <rPh sb="2" eb="3">
      <t>ヒ</t>
    </rPh>
    <rPh sb="7" eb="8">
      <t>カイ</t>
    </rPh>
    <phoneticPr fontId="1"/>
  </si>
  <si>
    <t>オリオン</t>
  </si>
  <si>
    <t>350-0807</t>
  </si>
  <si>
    <t>049-233-6931</t>
  </si>
  <si>
    <t>仙波町2-16-31</t>
    <rPh sb="0" eb="2">
      <t>センバ</t>
    </rPh>
    <rPh sb="2" eb="3">
      <t>チョウ</t>
    </rPh>
    <phoneticPr fontId="2"/>
  </si>
  <si>
    <t>049-225-6360</t>
    <phoneticPr fontId="2"/>
  </si>
  <si>
    <t>(特非)志木市精神保健福祉をすすめる会</t>
    <rPh sb="4" eb="7">
      <t>シキシ</t>
    </rPh>
    <rPh sb="7" eb="9">
      <t>セイシン</t>
    </rPh>
    <rPh sb="9" eb="11">
      <t>ホケン</t>
    </rPh>
    <rPh sb="11" eb="13">
      <t>フクシ</t>
    </rPh>
    <rPh sb="18" eb="19">
      <t>カイ</t>
    </rPh>
    <phoneticPr fontId="2"/>
  </si>
  <si>
    <t>049-293-2493</t>
    <phoneticPr fontId="2"/>
  </si>
  <si>
    <t>048-611-8613</t>
    <phoneticPr fontId="2"/>
  </si>
  <si>
    <t>就労継続支援Ａ型事業所ラボリ</t>
    <rPh sb="0" eb="2">
      <t>シュウロウ</t>
    </rPh>
    <rPh sb="2" eb="4">
      <t>ケイゾク</t>
    </rPh>
    <rPh sb="4" eb="6">
      <t>シエン</t>
    </rPh>
    <rPh sb="7" eb="8">
      <t>ガタ</t>
    </rPh>
    <rPh sb="8" eb="11">
      <t>ジギョウショ</t>
    </rPh>
    <phoneticPr fontId="2"/>
  </si>
  <si>
    <t>350-0225</t>
    <phoneticPr fontId="2"/>
  </si>
  <si>
    <t>049-298-4381</t>
    <phoneticPr fontId="2"/>
  </si>
  <si>
    <t>049-298-4382</t>
    <phoneticPr fontId="2"/>
  </si>
  <si>
    <t>(福)ありす福祉会</t>
    <rPh sb="0" eb="3">
      <t>フク</t>
    </rPh>
    <rPh sb="6" eb="8">
      <t>フクシ</t>
    </rPh>
    <rPh sb="8" eb="9">
      <t>カイ</t>
    </rPh>
    <phoneticPr fontId="2"/>
  </si>
  <si>
    <t>あかねの郷</t>
    <rPh sb="4" eb="5">
      <t>サト</t>
    </rPh>
    <phoneticPr fontId="2"/>
  </si>
  <si>
    <t>塚越946-3</t>
    <rPh sb="0" eb="2">
      <t>ツカゴシ</t>
    </rPh>
    <phoneticPr fontId="2"/>
  </si>
  <si>
    <t>350-0209</t>
    <phoneticPr fontId="2"/>
  </si>
  <si>
    <t>049-282-8855</t>
    <phoneticPr fontId="2"/>
  </si>
  <si>
    <t>049-282-8856</t>
    <phoneticPr fontId="2"/>
  </si>
  <si>
    <t>東武東上線若葉駅から八幡団地行バス「住吉神社前」下車徒歩2分</t>
    <rPh sb="0" eb="5">
      <t>トウブトウジョウセン</t>
    </rPh>
    <rPh sb="5" eb="7">
      <t>ワカバ</t>
    </rPh>
    <rPh sb="7" eb="8">
      <t>エキ</t>
    </rPh>
    <rPh sb="10" eb="12">
      <t>ヤハタ</t>
    </rPh>
    <rPh sb="12" eb="14">
      <t>ダンチ</t>
    </rPh>
    <rPh sb="14" eb="15">
      <t>ユ</t>
    </rPh>
    <rPh sb="18" eb="20">
      <t>スミヨシ</t>
    </rPh>
    <rPh sb="20" eb="22">
      <t>ジンジャ</t>
    </rPh>
    <rPh sb="22" eb="23">
      <t>マエ</t>
    </rPh>
    <rPh sb="24" eb="26">
      <t>ゲシャ</t>
    </rPh>
    <rPh sb="26" eb="28">
      <t>トホ</t>
    </rPh>
    <rPh sb="29" eb="30">
      <t>フン</t>
    </rPh>
    <phoneticPr fontId="2"/>
  </si>
  <si>
    <t>(同)ラボリ</t>
    <phoneticPr fontId="2"/>
  </si>
  <si>
    <t>ぽてーれ</t>
    <phoneticPr fontId="2"/>
  </si>
  <si>
    <t>355-0077</t>
    <phoneticPr fontId="2"/>
  </si>
  <si>
    <t>0493-81-7179</t>
    <phoneticPr fontId="2"/>
  </si>
  <si>
    <t>東武東上線武蔵嵐山駅から徒歩8分</t>
    <rPh sb="0" eb="5">
      <t>トウブトウジョウセン</t>
    </rPh>
    <rPh sb="5" eb="7">
      <t>ムサシ</t>
    </rPh>
    <rPh sb="7" eb="9">
      <t>ランザン</t>
    </rPh>
    <rPh sb="9" eb="10">
      <t>エキ</t>
    </rPh>
    <rPh sb="12" eb="14">
      <t>トホ</t>
    </rPh>
    <rPh sb="15" eb="16">
      <t>フン</t>
    </rPh>
    <phoneticPr fontId="2"/>
  </si>
  <si>
    <t>349-1123</t>
    <phoneticPr fontId="2"/>
  </si>
  <si>
    <t>one da full Days</t>
    <phoneticPr fontId="2"/>
  </si>
  <si>
    <t>上青木6-37-5</t>
    <rPh sb="0" eb="3">
      <t>カミアオキ</t>
    </rPh>
    <phoneticPr fontId="2"/>
  </si>
  <si>
    <t>333-0844</t>
    <phoneticPr fontId="2"/>
  </si>
  <si>
    <t>048-262-7057</t>
    <phoneticPr fontId="2"/>
  </si>
  <si>
    <t>048-262-7058</t>
    <phoneticPr fontId="2"/>
  </si>
  <si>
    <t>京浜東北線川口駅から国際興業バス「上青木六丁目」下車徒歩5分</t>
    <rPh sb="17" eb="20">
      <t>カミアオキ</t>
    </rPh>
    <rPh sb="20" eb="23">
      <t>６チョウメ</t>
    </rPh>
    <phoneticPr fontId="2"/>
  </si>
  <si>
    <t>○</t>
    <phoneticPr fontId="2"/>
  </si>
  <si>
    <t>ロジエ</t>
    <phoneticPr fontId="2"/>
  </si>
  <si>
    <t>戸塚2-26-6 ﾍﾞﾙ･ﾏﾙｼｪ2F</t>
    <rPh sb="0" eb="2">
      <t>トツカ</t>
    </rPh>
    <phoneticPr fontId="2"/>
  </si>
  <si>
    <t>333-0811</t>
    <phoneticPr fontId="2"/>
  </si>
  <si>
    <t>048-299-8691</t>
    <phoneticPr fontId="2"/>
  </si>
  <si>
    <t>048-299-8969</t>
    <phoneticPr fontId="2"/>
  </si>
  <si>
    <t>武蔵野線東川口駅から徒歩6分</t>
    <rPh sb="0" eb="4">
      <t>ムサシノセン</t>
    </rPh>
    <rPh sb="4" eb="5">
      <t>ヒガシ</t>
    </rPh>
    <rPh sb="5" eb="8">
      <t>カワグチエキ</t>
    </rPh>
    <rPh sb="10" eb="12">
      <t>トホ</t>
    </rPh>
    <rPh sb="13" eb="14">
      <t>フン</t>
    </rPh>
    <phoneticPr fontId="2"/>
  </si>
  <si>
    <t>たいむ</t>
    <phoneticPr fontId="2"/>
  </si>
  <si>
    <t>柳崎5-12-25</t>
    <rPh sb="0" eb="2">
      <t>ヤナギサキ</t>
    </rPh>
    <phoneticPr fontId="2"/>
  </si>
  <si>
    <t>333-0861</t>
    <phoneticPr fontId="2"/>
  </si>
  <si>
    <t>048-487-9630</t>
    <phoneticPr fontId="2"/>
  </si>
  <si>
    <t>武蔵野線東浦和駅から徒歩10分</t>
    <rPh sb="0" eb="4">
      <t>ムサシノセン</t>
    </rPh>
    <rPh sb="4" eb="8">
      <t>ヒガシウラワエキ</t>
    </rPh>
    <rPh sb="10" eb="12">
      <t>トホ</t>
    </rPh>
    <rPh sb="14" eb="15">
      <t>フン</t>
    </rPh>
    <phoneticPr fontId="2"/>
  </si>
  <si>
    <t>366-0824</t>
    <phoneticPr fontId="2"/>
  </si>
  <si>
    <t>高崎線深谷駅から徒歩1分</t>
    <rPh sb="0" eb="3">
      <t>タカサキセン</t>
    </rPh>
    <rPh sb="3" eb="6">
      <t>フカヤエキ</t>
    </rPh>
    <rPh sb="8" eb="10">
      <t>トホ</t>
    </rPh>
    <rPh sb="11" eb="12">
      <t>フン</t>
    </rPh>
    <phoneticPr fontId="2"/>
  </si>
  <si>
    <t>就労支援施設ぶんぶん</t>
    <rPh sb="0" eb="2">
      <t>シュウロウ</t>
    </rPh>
    <rPh sb="2" eb="4">
      <t>シエン</t>
    </rPh>
    <rPh sb="4" eb="6">
      <t>シセツ</t>
    </rPh>
    <phoneticPr fontId="2"/>
  </si>
  <si>
    <t>秩父郡小鹿野町</t>
    <rPh sb="0" eb="7">
      <t>チチブグンオガノマチ</t>
    </rPh>
    <phoneticPr fontId="2"/>
  </si>
  <si>
    <t>下小鹿野2464-1</t>
    <rPh sb="0" eb="1">
      <t>シモ</t>
    </rPh>
    <rPh sb="1" eb="4">
      <t>オガノ</t>
    </rPh>
    <phoneticPr fontId="2"/>
  </si>
  <si>
    <t>368-0101</t>
    <phoneticPr fontId="2"/>
  </si>
  <si>
    <t>0494-26-6100</t>
    <phoneticPr fontId="2"/>
  </si>
  <si>
    <t>0494-75-4420</t>
    <phoneticPr fontId="2"/>
  </si>
  <si>
    <t>秩父鉄道秩父駅から西武バス「小鹿野町役場前」下車徒歩3分</t>
    <rPh sb="0" eb="2">
      <t>チチブ</t>
    </rPh>
    <rPh sb="2" eb="4">
      <t>テツドウ</t>
    </rPh>
    <rPh sb="4" eb="6">
      <t>チチブ</t>
    </rPh>
    <rPh sb="6" eb="7">
      <t>エキ</t>
    </rPh>
    <rPh sb="9" eb="11">
      <t>セイブ</t>
    </rPh>
    <rPh sb="14" eb="18">
      <t>オガノマチ</t>
    </rPh>
    <rPh sb="18" eb="20">
      <t>ヤクバ</t>
    </rPh>
    <rPh sb="20" eb="21">
      <t>マエ</t>
    </rPh>
    <rPh sb="22" eb="24">
      <t>ゲシャ</t>
    </rPh>
    <rPh sb="24" eb="26">
      <t>トホ</t>
    </rPh>
    <rPh sb="27" eb="28">
      <t>フン</t>
    </rPh>
    <phoneticPr fontId="2"/>
  </si>
  <si>
    <t>0493-53-7100</t>
    <phoneticPr fontId="2"/>
  </si>
  <si>
    <t>(福)埼玉のぞみの園</t>
    <phoneticPr fontId="2"/>
  </si>
  <si>
    <t>深谷たんぽぽ</t>
    <rPh sb="0" eb="2">
      <t>フカヤ</t>
    </rPh>
    <phoneticPr fontId="2"/>
  </si>
  <si>
    <t>○</t>
    <phoneticPr fontId="2"/>
  </si>
  <si>
    <t>越谷市</t>
    <rPh sb="0" eb="2">
      <t>コシガヤ</t>
    </rPh>
    <rPh sb="2" eb="3">
      <t>シ</t>
    </rPh>
    <phoneticPr fontId="2"/>
  </si>
  <si>
    <t>東武伊勢崎線北越谷駅下車徒歩9分</t>
    <rPh sb="6" eb="7">
      <t>キタ</t>
    </rPh>
    <phoneticPr fontId="2"/>
  </si>
  <si>
    <t>○</t>
    <phoneticPr fontId="2"/>
  </si>
  <si>
    <t>336-0026</t>
    <phoneticPr fontId="2"/>
  </si>
  <si>
    <t>048-866-3258</t>
    <phoneticPr fontId="2"/>
  </si>
  <si>
    <t>048-753-9171</t>
    <phoneticPr fontId="2"/>
  </si>
  <si>
    <t>ほっとラウンジ</t>
    <phoneticPr fontId="2"/>
  </si>
  <si>
    <t>330-0072</t>
    <phoneticPr fontId="2"/>
  </si>
  <si>
    <t>048-824-5848</t>
    <phoneticPr fontId="2"/>
  </si>
  <si>
    <t>○</t>
    <phoneticPr fontId="2"/>
  </si>
  <si>
    <t>障害福祉サービス事業所カーサ岩槻</t>
    <phoneticPr fontId="2"/>
  </si>
  <si>
    <t>339-0046</t>
    <phoneticPr fontId="2"/>
  </si>
  <si>
    <t>048-749-2777</t>
    <phoneticPr fontId="2"/>
  </si>
  <si>
    <t>048-758-3777</t>
    <phoneticPr fontId="2"/>
  </si>
  <si>
    <t>就労継続支援B型事業所　ゆたか</t>
    <rPh sb="0" eb="2">
      <t>シュウロウ</t>
    </rPh>
    <rPh sb="2" eb="4">
      <t>ケイゾク</t>
    </rPh>
    <rPh sb="4" eb="6">
      <t>シエン</t>
    </rPh>
    <rPh sb="7" eb="8">
      <t>ガタ</t>
    </rPh>
    <rPh sb="8" eb="10">
      <t>ジギョウ</t>
    </rPh>
    <rPh sb="10" eb="11">
      <t>ショ</t>
    </rPh>
    <phoneticPr fontId="2"/>
  </si>
  <si>
    <t>(一社)ゆたか</t>
    <rPh sb="1" eb="2">
      <t>イチ</t>
    </rPh>
    <rPh sb="2" eb="3">
      <t>シャ</t>
    </rPh>
    <phoneticPr fontId="2"/>
  </si>
  <si>
    <t>岩槻区慈恩寺618-3</t>
    <rPh sb="0" eb="2">
      <t>イワツキ</t>
    </rPh>
    <rPh sb="2" eb="3">
      <t>ク</t>
    </rPh>
    <rPh sb="3" eb="6">
      <t>ジオンジ</t>
    </rPh>
    <phoneticPr fontId="2"/>
  </si>
  <si>
    <t>339-0009</t>
    <phoneticPr fontId="2"/>
  </si>
  <si>
    <t>048-884-9407</t>
  </si>
  <si>
    <t>048-884-9408</t>
  </si>
  <si>
    <t>東武岩槻駅から「国立東埼玉病院」行バス「観音入口」下車徒歩５分</t>
    <rPh sb="0" eb="2">
      <t>トウブ</t>
    </rPh>
    <rPh sb="2" eb="5">
      <t>イワツキエキ</t>
    </rPh>
    <rPh sb="8" eb="10">
      <t>コクリツ</t>
    </rPh>
    <rPh sb="10" eb="11">
      <t>ヒガシ</t>
    </rPh>
    <rPh sb="11" eb="13">
      <t>サイタマ</t>
    </rPh>
    <rPh sb="13" eb="15">
      <t>ビョウイン</t>
    </rPh>
    <rPh sb="16" eb="17">
      <t>イキ</t>
    </rPh>
    <rPh sb="20" eb="22">
      <t>カンノン</t>
    </rPh>
    <rPh sb="22" eb="24">
      <t>イリグチ</t>
    </rPh>
    <rPh sb="25" eb="27">
      <t>ゲシャ</t>
    </rPh>
    <rPh sb="27" eb="29">
      <t>トホ</t>
    </rPh>
    <rPh sb="30" eb="31">
      <t>フン</t>
    </rPh>
    <phoneticPr fontId="2"/>
  </si>
  <si>
    <t>048-682-2147</t>
    <phoneticPr fontId="2"/>
  </si>
  <si>
    <t>(特非)はまや</t>
    <rPh sb="0" eb="4">
      <t>トクヒ</t>
    </rPh>
    <phoneticPr fontId="2"/>
  </si>
  <si>
    <t>はまや鶴ヶ島作業所</t>
    <rPh sb="3" eb="6">
      <t>ツルガシマ</t>
    </rPh>
    <rPh sb="6" eb="8">
      <t>サギョウ</t>
    </rPh>
    <rPh sb="8" eb="9">
      <t>ショ</t>
    </rPh>
    <phoneticPr fontId="2"/>
  </si>
  <si>
    <t>東武東上線坂戸駅南口下車つるワゴン坂戸駅南口行「脚折三丁目交差点」下車徒歩3分</t>
    <rPh sb="0" eb="5">
      <t>トウブトウジョウセン</t>
    </rPh>
    <rPh sb="5" eb="7">
      <t>サカド</t>
    </rPh>
    <rPh sb="7" eb="8">
      <t>エキ</t>
    </rPh>
    <rPh sb="8" eb="10">
      <t>ミナミグチ</t>
    </rPh>
    <rPh sb="10" eb="12">
      <t>ゲシャ</t>
    </rPh>
    <rPh sb="17" eb="19">
      <t>サカド</t>
    </rPh>
    <rPh sb="19" eb="20">
      <t>エキ</t>
    </rPh>
    <rPh sb="20" eb="22">
      <t>ミナミグチ</t>
    </rPh>
    <rPh sb="22" eb="23">
      <t>ユ</t>
    </rPh>
    <rPh sb="24" eb="25">
      <t>アシ</t>
    </rPh>
    <rPh sb="25" eb="26">
      <t>オリ</t>
    </rPh>
    <rPh sb="26" eb="27">
      <t>３</t>
    </rPh>
    <rPh sb="27" eb="29">
      <t>チョウメ</t>
    </rPh>
    <rPh sb="29" eb="32">
      <t>コウサテン</t>
    </rPh>
    <rPh sb="33" eb="35">
      <t>ゲシャ</t>
    </rPh>
    <rPh sb="35" eb="37">
      <t>トホ</t>
    </rPh>
    <rPh sb="38" eb="39">
      <t>フン</t>
    </rPh>
    <phoneticPr fontId="2"/>
  </si>
  <si>
    <t>日進職業センター</t>
    <phoneticPr fontId="2"/>
  </si>
  <si>
    <t>(有)福祉ネットワークさくら</t>
    <rPh sb="1" eb="2">
      <t>ユウ</t>
    </rPh>
    <rPh sb="3" eb="5">
      <t>フクシ</t>
    </rPh>
    <phoneticPr fontId="2"/>
  </si>
  <si>
    <t>浦和区上木崎６－９－３</t>
    <phoneticPr fontId="2"/>
  </si>
  <si>
    <t>330-0071</t>
    <phoneticPr fontId="2"/>
  </si>
  <si>
    <t>048-831-1079</t>
  </si>
  <si>
    <t>048-831-7701</t>
  </si>
  <si>
    <t>ウェルビー川越駅前第2センター</t>
    <rPh sb="5" eb="7">
      <t>カワゴエ</t>
    </rPh>
    <rPh sb="7" eb="9">
      <t>エキマエ</t>
    </rPh>
    <rPh sb="9" eb="10">
      <t>ダイ</t>
    </rPh>
    <phoneticPr fontId="2"/>
  </si>
  <si>
    <t>笑顔下松原</t>
    <rPh sb="0" eb="2">
      <t>エガオ</t>
    </rPh>
    <rPh sb="2" eb="5">
      <t>シモマツバラ</t>
    </rPh>
    <phoneticPr fontId="2"/>
  </si>
  <si>
    <t>350-1123</t>
  </si>
  <si>
    <t>350-1153</t>
  </si>
  <si>
    <t>049-293-4264</t>
  </si>
  <si>
    <t>049-293-4265</t>
  </si>
  <si>
    <t>下松原833-4</t>
    <rPh sb="0" eb="3">
      <t>シモマツバラ</t>
    </rPh>
    <phoneticPr fontId="2"/>
  </si>
  <si>
    <t>川越駅から徒歩6分</t>
    <rPh sb="0" eb="2">
      <t>カワゴエ</t>
    </rPh>
    <rPh sb="2" eb="3">
      <t>エキ</t>
    </rPh>
    <rPh sb="5" eb="7">
      <t>トホ</t>
    </rPh>
    <rPh sb="8" eb="9">
      <t>フン</t>
    </rPh>
    <phoneticPr fontId="2"/>
  </si>
  <si>
    <t>○</t>
    <phoneticPr fontId="2"/>
  </si>
  <si>
    <t>（株）キャリア・サポート・パートナーズ</t>
    <rPh sb="1" eb="2">
      <t>カブ</t>
    </rPh>
    <phoneticPr fontId="2"/>
  </si>
  <si>
    <t>中央1-8-7 ﾌﾟﾚｼﾞﾃﾞﾝﾄ2F</t>
    <rPh sb="0" eb="2">
      <t>チュウオウ</t>
    </rPh>
    <phoneticPr fontId="2"/>
  </si>
  <si>
    <t>東武野田線春日部駅西口から徒歩3分</t>
    <rPh sb="0" eb="2">
      <t>トウブ</t>
    </rPh>
    <rPh sb="2" eb="5">
      <t>ノダセン</t>
    </rPh>
    <rPh sb="5" eb="8">
      <t>カスカベ</t>
    </rPh>
    <rPh sb="8" eb="9">
      <t>エキ</t>
    </rPh>
    <rPh sb="9" eb="11">
      <t>ニシグチ</t>
    </rPh>
    <rPh sb="13" eb="15">
      <t>トホ</t>
    </rPh>
    <rPh sb="16" eb="17">
      <t>フン</t>
    </rPh>
    <phoneticPr fontId="2"/>
  </si>
  <si>
    <t>（株）クリスタルサービス</t>
    <rPh sb="1" eb="2">
      <t>カブ</t>
    </rPh>
    <phoneticPr fontId="2"/>
  </si>
  <si>
    <t>クリスタルサービス</t>
    <phoneticPr fontId="2"/>
  </si>
  <si>
    <t>栄町1-1-3 ｷｬｯｽﾙﾏﾝｼｮﾝ草加松原103</t>
    <rPh sb="0" eb="2">
      <t>サカエマチ</t>
    </rPh>
    <rPh sb="18" eb="20">
      <t>ソウカ</t>
    </rPh>
    <rPh sb="20" eb="22">
      <t>マツバラ</t>
    </rPh>
    <phoneticPr fontId="2"/>
  </si>
  <si>
    <t>340-0011</t>
    <phoneticPr fontId="2"/>
  </si>
  <si>
    <t>048-951-2224</t>
    <phoneticPr fontId="2"/>
  </si>
  <si>
    <t>048-951-2265</t>
    <phoneticPr fontId="2"/>
  </si>
  <si>
    <t>○</t>
    <phoneticPr fontId="2"/>
  </si>
  <si>
    <t>東武スカイツリーライン松原団地駅から徒歩10分</t>
    <rPh sb="0" eb="2">
      <t>トウブ</t>
    </rPh>
    <rPh sb="11" eb="16">
      <t>マツバラダンチエキ</t>
    </rPh>
    <rPh sb="18" eb="20">
      <t>トホ</t>
    </rPh>
    <rPh sb="22" eb="23">
      <t>フン</t>
    </rPh>
    <phoneticPr fontId="2"/>
  </si>
  <si>
    <t>北浦和駅から徒歩１５分</t>
    <phoneticPr fontId="2"/>
  </si>
  <si>
    <t>南古谷駅から上赤坂行きバス「電気興業前」下車徒歩12分</t>
    <rPh sb="0" eb="3">
      <t>ミナミフルヤ</t>
    </rPh>
    <rPh sb="3" eb="4">
      <t>エキ</t>
    </rPh>
    <rPh sb="6" eb="9">
      <t>カミアカサカ</t>
    </rPh>
    <rPh sb="9" eb="10">
      <t>イキ</t>
    </rPh>
    <rPh sb="14" eb="16">
      <t>デンキ</t>
    </rPh>
    <rPh sb="16" eb="18">
      <t>コウギョウ</t>
    </rPh>
    <rPh sb="18" eb="19">
      <t>マエ</t>
    </rPh>
    <rPh sb="20" eb="21">
      <t>シタ</t>
    </rPh>
    <rPh sb="22" eb="24">
      <t>トホ</t>
    </rPh>
    <rPh sb="26" eb="27">
      <t>フン</t>
    </rPh>
    <phoneticPr fontId="2"/>
  </si>
  <si>
    <t>東武東上線上福岡駅から上赤坂行きバス「富家病院」下車徒歩５分</t>
    <rPh sb="0" eb="2">
      <t>トウブ</t>
    </rPh>
    <rPh sb="2" eb="5">
      <t>トウジョウセン</t>
    </rPh>
    <rPh sb="5" eb="8">
      <t>カミフクオカ</t>
    </rPh>
    <rPh sb="8" eb="9">
      <t>エキ</t>
    </rPh>
    <rPh sb="11" eb="14">
      <t>カミアカサカ</t>
    </rPh>
    <rPh sb="14" eb="15">
      <t>イキ</t>
    </rPh>
    <rPh sb="19" eb="20">
      <t>トミ</t>
    </rPh>
    <rPh sb="20" eb="21">
      <t>イエ</t>
    </rPh>
    <rPh sb="21" eb="23">
      <t>ビョウイン</t>
    </rPh>
    <rPh sb="24" eb="26">
      <t>ゲシャ</t>
    </rPh>
    <rPh sb="26" eb="28">
      <t>トホ</t>
    </rPh>
    <rPh sb="29" eb="30">
      <t>フン</t>
    </rPh>
    <phoneticPr fontId="2"/>
  </si>
  <si>
    <t>チャレジョブセンター熊谷</t>
    <rPh sb="10" eb="12">
      <t>クマガヤ</t>
    </rPh>
    <phoneticPr fontId="2"/>
  </si>
  <si>
    <t>360-0036</t>
    <phoneticPr fontId="2"/>
  </si>
  <si>
    <t>048-578-8401</t>
    <phoneticPr fontId="2"/>
  </si>
  <si>
    <t>048-578-8402</t>
    <phoneticPr fontId="2"/>
  </si>
  <si>
    <t>○</t>
    <phoneticPr fontId="2"/>
  </si>
  <si>
    <t>生活介護合</t>
    <rPh sb="0" eb="4">
      <t>セイカツカイゴ</t>
    </rPh>
    <rPh sb="4" eb="5">
      <t>ア</t>
    </rPh>
    <phoneticPr fontId="2"/>
  </si>
  <si>
    <t>343-0044</t>
    <phoneticPr fontId="2"/>
  </si>
  <si>
    <t>048-978-6449</t>
    <phoneticPr fontId="2"/>
  </si>
  <si>
    <t>048-976-6160</t>
    <phoneticPr fontId="2"/>
  </si>
  <si>
    <t>単・併</t>
    <rPh sb="0" eb="1">
      <t>タン</t>
    </rPh>
    <rPh sb="2" eb="3">
      <t>ヘイ</t>
    </rPh>
    <phoneticPr fontId="2"/>
  </si>
  <si>
    <t>大字大泊549-1</t>
    <rPh sb="0" eb="2">
      <t>オオアザ</t>
    </rPh>
    <rPh sb="2" eb="4">
      <t>オオドマリ</t>
    </rPh>
    <phoneticPr fontId="2"/>
  </si>
  <si>
    <t>（特非）合</t>
    <rPh sb="1" eb="2">
      <t>トク</t>
    </rPh>
    <rPh sb="2" eb="3">
      <t>ヒ</t>
    </rPh>
    <rPh sb="4" eb="5">
      <t>ア</t>
    </rPh>
    <phoneticPr fontId="2"/>
  </si>
  <si>
    <t>東武伊勢崎線新越谷駅下車徒歩1分、武蔵野線南越谷駅下車徒歩2分</t>
    <rPh sb="0" eb="2">
      <t>トウブ</t>
    </rPh>
    <rPh sb="2" eb="5">
      <t>イセザキ</t>
    </rPh>
    <rPh sb="5" eb="6">
      <t>セン</t>
    </rPh>
    <rPh sb="6" eb="9">
      <t>シンコシガヤ</t>
    </rPh>
    <rPh sb="9" eb="10">
      <t>エキ</t>
    </rPh>
    <rPh sb="10" eb="12">
      <t>ゲシャ</t>
    </rPh>
    <rPh sb="12" eb="14">
      <t>トホ</t>
    </rPh>
    <rPh sb="15" eb="16">
      <t>フン</t>
    </rPh>
    <rPh sb="17" eb="20">
      <t>ムサシノ</t>
    </rPh>
    <rPh sb="20" eb="21">
      <t>セン</t>
    </rPh>
    <rPh sb="21" eb="24">
      <t>ミナミコシガヤ</t>
    </rPh>
    <rPh sb="24" eb="25">
      <t>エキ</t>
    </rPh>
    <rPh sb="25" eb="27">
      <t>ゲシャ</t>
    </rPh>
    <rPh sb="27" eb="29">
      <t>トホ</t>
    </rPh>
    <rPh sb="30" eb="31">
      <t>フン</t>
    </rPh>
    <phoneticPr fontId="2"/>
  </si>
  <si>
    <t>高崎線深谷駅から深谷市コミュニティーバス南コース西循環右回り「たんぽぽ作業所・皆光園」下車徒歩1分
※短期入所の「主たる対象者」には障害児含む</t>
    <rPh sb="0" eb="2">
      <t>タカサキ</t>
    </rPh>
    <rPh sb="2" eb="3">
      <t>セン</t>
    </rPh>
    <rPh sb="3" eb="5">
      <t>フカヤ</t>
    </rPh>
    <rPh sb="5" eb="6">
      <t>エキ</t>
    </rPh>
    <rPh sb="8" eb="11">
      <t>フカヤシ</t>
    </rPh>
    <rPh sb="20" eb="21">
      <t>ミナミ</t>
    </rPh>
    <rPh sb="24" eb="25">
      <t>ニシ</t>
    </rPh>
    <rPh sb="25" eb="27">
      <t>ジュンカン</t>
    </rPh>
    <rPh sb="27" eb="29">
      <t>ミギマワ</t>
    </rPh>
    <rPh sb="35" eb="38">
      <t>サギョウショ</t>
    </rPh>
    <rPh sb="39" eb="42">
      <t>カイコウエン</t>
    </rPh>
    <rPh sb="43" eb="45">
      <t>ゲシャ</t>
    </rPh>
    <rPh sb="45" eb="47">
      <t>トホ</t>
    </rPh>
    <rPh sb="48" eb="49">
      <t>プン</t>
    </rPh>
    <phoneticPr fontId="2"/>
  </si>
  <si>
    <t>大宮駅西口より「所沢」行又は「馬宮団地」行バス飯田新田下車徒歩１０分  ※共同生活援助との併設</t>
    <rPh sb="0" eb="3">
      <t>オオミヤエキ</t>
    </rPh>
    <rPh sb="3" eb="5">
      <t>ニシグチ</t>
    </rPh>
    <rPh sb="8" eb="10">
      <t>トコロザワ</t>
    </rPh>
    <rPh sb="11" eb="12">
      <t>イキ</t>
    </rPh>
    <rPh sb="12" eb="13">
      <t>マタ</t>
    </rPh>
    <rPh sb="15" eb="17">
      <t>ウマミヤ</t>
    </rPh>
    <rPh sb="17" eb="19">
      <t>ダンチ</t>
    </rPh>
    <rPh sb="20" eb="21">
      <t>イキ</t>
    </rPh>
    <rPh sb="23" eb="25">
      <t>イイダ</t>
    </rPh>
    <rPh sb="25" eb="27">
      <t>シンデン</t>
    </rPh>
    <rPh sb="27" eb="29">
      <t>ゲシャ</t>
    </rPh>
    <rPh sb="29" eb="31">
      <t>トホ</t>
    </rPh>
    <rPh sb="33" eb="34">
      <t>プン</t>
    </rPh>
    <phoneticPr fontId="2"/>
  </si>
  <si>
    <t>ケアホーム　たんぽぽ</t>
    <phoneticPr fontId="2"/>
  </si>
  <si>
    <t>早稲田3-26-9</t>
    <rPh sb="0" eb="3">
      <t>ワセダ</t>
    </rPh>
    <phoneticPr fontId="2"/>
  </si>
  <si>
    <t>341-0018</t>
    <phoneticPr fontId="2"/>
  </si>
  <si>
    <t>048-954-8736</t>
    <phoneticPr fontId="2"/>
  </si>
  <si>
    <t>○</t>
    <phoneticPr fontId="2"/>
  </si>
  <si>
    <t>（医）明理会</t>
    <rPh sb="2" eb="3">
      <t>メイ</t>
    </rPh>
    <rPh sb="3" eb="5">
      <t>リカイ</t>
    </rPh>
    <phoneticPr fontId="2"/>
  </si>
  <si>
    <t>介護老人保健施設草加ロイヤルケアセンター</t>
    <rPh sb="0" eb="1">
      <t>カイゴ</t>
    </rPh>
    <rPh sb="1" eb="3">
      <t>ロウジン</t>
    </rPh>
    <rPh sb="3" eb="5">
      <t>ホケン</t>
    </rPh>
    <rPh sb="5" eb="7">
      <t>シセツ</t>
    </rPh>
    <rPh sb="7" eb="9">
      <t>ソウカ</t>
    </rPh>
    <phoneticPr fontId="2"/>
  </si>
  <si>
    <t>東武伊勢崎線松原団地駅から東武バス新田駅東口行「総合グランド」下車徒歩10分</t>
    <rPh sb="0" eb="2">
      <t>トウブ</t>
    </rPh>
    <rPh sb="2" eb="5">
      <t>イセサキ</t>
    </rPh>
    <rPh sb="5" eb="6">
      <t>セン</t>
    </rPh>
    <rPh sb="6" eb="11">
      <t>マツバラダンチエキ</t>
    </rPh>
    <rPh sb="13" eb="15">
      <t>トウブ</t>
    </rPh>
    <rPh sb="17" eb="20">
      <t>シンデンエキ</t>
    </rPh>
    <rPh sb="20" eb="22">
      <t>ヒガシグチ</t>
    </rPh>
    <rPh sb="22" eb="23">
      <t>イキ</t>
    </rPh>
    <rPh sb="24" eb="26">
      <t>ソウゴウ</t>
    </rPh>
    <rPh sb="31" eb="33">
      <t>ゲシャ</t>
    </rPh>
    <rPh sb="33" eb="35">
      <t>トホ</t>
    </rPh>
    <rPh sb="37" eb="38">
      <t>フン</t>
    </rPh>
    <phoneticPr fontId="2"/>
  </si>
  <si>
    <t>柿木町123-2</t>
    <rPh sb="0" eb="3">
      <t>カキノキチョウ</t>
    </rPh>
    <phoneticPr fontId="2"/>
  </si>
  <si>
    <t>339-0051</t>
    <phoneticPr fontId="2"/>
  </si>
  <si>
    <t>048-749-7586</t>
    <phoneticPr fontId="2"/>
  </si>
  <si>
    <t>浦和区本太3-17-12</t>
    <rPh sb="0" eb="2">
      <t>ウラワ</t>
    </rPh>
    <rPh sb="2" eb="3">
      <t>ク</t>
    </rPh>
    <rPh sb="3" eb="4">
      <t>ホン</t>
    </rPh>
    <rPh sb="4" eb="5">
      <t>フト</t>
    </rPh>
    <phoneticPr fontId="2"/>
  </si>
  <si>
    <t>てんハウスぐりん</t>
  </si>
  <si>
    <t>330-0052</t>
  </si>
  <si>
    <t>048-615-0480</t>
  </si>
  <si>
    <t>048-884-5277</t>
  </si>
  <si>
    <t>多機能型事業所ぽとふ館</t>
  </si>
  <si>
    <t>339-0061</t>
  </si>
  <si>
    <t>048-720-8200</t>
  </si>
  <si>
    <t>048-720-8222</t>
  </si>
  <si>
    <t>340-0001</t>
  </si>
  <si>
    <t>048-930-5591</t>
  </si>
  <si>
    <t>048-935-5025</t>
  </si>
  <si>
    <t>333-0842</t>
  </si>
  <si>
    <t>－</t>
  </si>
  <si>
    <t>脚折町6-25-10</t>
    <rPh sb="0" eb="1">
      <t>アシ</t>
    </rPh>
    <rPh sb="1" eb="2">
      <t>オリ</t>
    </rPh>
    <rPh sb="2" eb="3">
      <t>マチ</t>
    </rPh>
    <phoneticPr fontId="2"/>
  </si>
  <si>
    <t>(同)悠にこにこハウス</t>
    <rPh sb="1" eb="2">
      <t>オナ</t>
    </rPh>
    <rPh sb="3" eb="4">
      <t>ユウ</t>
    </rPh>
    <phoneticPr fontId="2"/>
  </si>
  <si>
    <t>○</t>
    <phoneticPr fontId="2"/>
  </si>
  <si>
    <t>（株）市流</t>
    <rPh sb="1" eb="2">
      <t>カブ</t>
    </rPh>
    <rPh sb="3" eb="4">
      <t>イチ</t>
    </rPh>
    <rPh sb="4" eb="5">
      <t>リュウ</t>
    </rPh>
    <phoneticPr fontId="2"/>
  </si>
  <si>
    <t>市流</t>
    <rPh sb="0" eb="1">
      <t>イチ</t>
    </rPh>
    <rPh sb="1" eb="2">
      <t>リュウ</t>
    </rPh>
    <phoneticPr fontId="2"/>
  </si>
  <si>
    <t>花崎1-24-6</t>
    <rPh sb="0" eb="2">
      <t>ハナサキ</t>
    </rPh>
    <phoneticPr fontId="2"/>
  </si>
  <si>
    <t>347-0032</t>
    <phoneticPr fontId="2"/>
  </si>
  <si>
    <t>0480-53-8223</t>
    <phoneticPr fontId="2"/>
  </si>
  <si>
    <t>0480-53-8369</t>
    <phoneticPr fontId="2"/>
  </si>
  <si>
    <t>○</t>
    <phoneticPr fontId="2"/>
  </si>
  <si>
    <t>東武伊勢崎線花崎駅下車徒歩4分</t>
    <rPh sb="0" eb="2">
      <t>トウブ</t>
    </rPh>
    <rPh sb="2" eb="5">
      <t>イセサキ</t>
    </rPh>
    <rPh sb="5" eb="6">
      <t>セン</t>
    </rPh>
    <rPh sb="6" eb="8">
      <t>ハナサキ</t>
    </rPh>
    <rPh sb="8" eb="9">
      <t>エキ</t>
    </rPh>
    <rPh sb="9" eb="11">
      <t>ゲシャ</t>
    </rPh>
    <rPh sb="11" eb="13">
      <t>トホ</t>
    </rPh>
    <rPh sb="14" eb="15">
      <t>フン</t>
    </rPh>
    <phoneticPr fontId="2"/>
  </si>
  <si>
    <t>元気な杜</t>
    <rPh sb="0" eb="2">
      <t>ゲンキ</t>
    </rPh>
    <rPh sb="3" eb="4">
      <t>モリ</t>
    </rPh>
    <phoneticPr fontId="2"/>
  </si>
  <si>
    <t>南町6-15</t>
    <rPh sb="0" eb="2">
      <t>ミナミマチ</t>
    </rPh>
    <phoneticPr fontId="2"/>
  </si>
  <si>
    <t>東武伊勢崎線加須駅下車徒歩10分</t>
    <rPh sb="0" eb="2">
      <t>トウブ</t>
    </rPh>
    <rPh sb="2" eb="5">
      <t>イセサキ</t>
    </rPh>
    <rPh sb="5" eb="6">
      <t>セン</t>
    </rPh>
    <rPh sb="6" eb="8">
      <t>カゾ</t>
    </rPh>
    <rPh sb="8" eb="9">
      <t>エキ</t>
    </rPh>
    <rPh sb="9" eb="11">
      <t>ゲシャ</t>
    </rPh>
    <rPh sb="11" eb="13">
      <t>トホ</t>
    </rPh>
    <rPh sb="15" eb="16">
      <t>フン</t>
    </rPh>
    <phoneticPr fontId="2"/>
  </si>
  <si>
    <t>(特非)ともくん家</t>
    <rPh sb="1" eb="2">
      <t>トク</t>
    </rPh>
    <rPh sb="2" eb="3">
      <t>ヒ</t>
    </rPh>
    <rPh sb="8" eb="9">
      <t>イエ</t>
    </rPh>
    <phoneticPr fontId="2"/>
  </si>
  <si>
    <t>芝中田2-41-11</t>
    <rPh sb="0" eb="1">
      <t>シバ</t>
    </rPh>
    <rPh sb="1" eb="3">
      <t>ナカタ</t>
    </rPh>
    <phoneticPr fontId="2"/>
  </si>
  <si>
    <t>333-0847</t>
    <phoneticPr fontId="2"/>
  </si>
  <si>
    <t>048-423-4133</t>
    <phoneticPr fontId="2"/>
  </si>
  <si>
    <t>048-423-4331</t>
    <phoneticPr fontId="2"/>
  </si>
  <si>
    <t>○</t>
    <phoneticPr fontId="2"/>
  </si>
  <si>
    <t>京浜東北線蕨駅下車徒歩15分</t>
    <rPh sb="0" eb="2">
      <t>ケイヒン</t>
    </rPh>
    <rPh sb="2" eb="5">
      <t>トウホクセン</t>
    </rPh>
    <rPh sb="5" eb="7">
      <t>ワラビエキ</t>
    </rPh>
    <rPh sb="7" eb="9">
      <t>ゲシャ</t>
    </rPh>
    <rPh sb="9" eb="11">
      <t>トホ</t>
    </rPh>
    <rPh sb="13" eb="14">
      <t>フン</t>
    </rPh>
    <phoneticPr fontId="2"/>
  </si>
  <si>
    <t>シャローム所沢</t>
    <rPh sb="5" eb="7">
      <t>トコロザワ</t>
    </rPh>
    <phoneticPr fontId="2"/>
  </si>
  <si>
    <t>くすのき台3-18-4所沢K・Sビル4階</t>
    <rPh sb="4" eb="5">
      <t>ダイ</t>
    </rPh>
    <rPh sb="11" eb="13">
      <t>トコロザワ</t>
    </rPh>
    <rPh sb="19" eb="20">
      <t>カイ</t>
    </rPh>
    <phoneticPr fontId="2"/>
  </si>
  <si>
    <t>359-0037</t>
    <phoneticPr fontId="2"/>
  </si>
  <si>
    <t>04-2997-5180</t>
    <phoneticPr fontId="2"/>
  </si>
  <si>
    <t>04-2997-5181</t>
    <phoneticPr fontId="2"/>
  </si>
  <si>
    <t>○</t>
    <phoneticPr fontId="2"/>
  </si>
  <si>
    <t>西武池袋線所沢駅下車徒歩3分</t>
    <rPh sb="0" eb="5">
      <t>セイブイケブクロセン</t>
    </rPh>
    <rPh sb="5" eb="7">
      <t>トコロザワ</t>
    </rPh>
    <rPh sb="7" eb="8">
      <t>エキ</t>
    </rPh>
    <rPh sb="8" eb="10">
      <t>ゲシャ</t>
    </rPh>
    <rPh sb="10" eb="12">
      <t>トホ</t>
    </rPh>
    <rPh sb="13" eb="14">
      <t>フン</t>
    </rPh>
    <phoneticPr fontId="2"/>
  </si>
  <si>
    <t>(福)日和田会</t>
    <rPh sb="0" eb="3">
      <t>フク</t>
    </rPh>
    <rPh sb="3" eb="6">
      <t>ヒワダ</t>
    </rPh>
    <rPh sb="6" eb="7">
      <t>カイ</t>
    </rPh>
    <phoneticPr fontId="2"/>
  </si>
  <si>
    <t>第４かわせみ・わくわく</t>
    <rPh sb="0" eb="1">
      <t>ダイ</t>
    </rPh>
    <phoneticPr fontId="2"/>
  </si>
  <si>
    <t>栗坪234</t>
    <rPh sb="0" eb="2">
      <t>クリツボ</t>
    </rPh>
    <phoneticPr fontId="2"/>
  </si>
  <si>
    <t>350-1245</t>
    <phoneticPr fontId="2"/>
  </si>
  <si>
    <t>042-978-6587</t>
    <phoneticPr fontId="2"/>
  </si>
  <si>
    <t>042-978-6093</t>
    <phoneticPr fontId="2"/>
  </si>
  <si>
    <t>西武秩父線高麗駅から飯能行バス栗坪バス停下車徒歩3分</t>
    <rPh sb="0" eb="4">
      <t>セイブチチブ</t>
    </rPh>
    <rPh sb="4" eb="5">
      <t>セン</t>
    </rPh>
    <rPh sb="5" eb="7">
      <t>コウライ</t>
    </rPh>
    <rPh sb="7" eb="8">
      <t>エキ</t>
    </rPh>
    <rPh sb="10" eb="12">
      <t>ハンノウ</t>
    </rPh>
    <rPh sb="12" eb="13">
      <t>ユ</t>
    </rPh>
    <rPh sb="15" eb="17">
      <t>クリツボ</t>
    </rPh>
    <rPh sb="19" eb="20">
      <t>テイ</t>
    </rPh>
    <rPh sb="20" eb="22">
      <t>ゲシャ</t>
    </rPh>
    <rPh sb="22" eb="24">
      <t>トホ</t>
    </rPh>
    <rPh sb="25" eb="26">
      <t>フン</t>
    </rPh>
    <phoneticPr fontId="2"/>
  </si>
  <si>
    <t>354-0003</t>
    <phoneticPr fontId="2"/>
  </si>
  <si>
    <t>049-265-5985</t>
    <phoneticPr fontId="2"/>
  </si>
  <si>
    <t>トコロ陽だまり</t>
    <rPh sb="3" eb="4">
      <t>ヒ</t>
    </rPh>
    <phoneticPr fontId="2"/>
  </si>
  <si>
    <t>中富1564-1</t>
    <rPh sb="0" eb="2">
      <t>ナカトミ</t>
    </rPh>
    <phoneticPr fontId="2"/>
  </si>
  <si>
    <t>359-0002</t>
    <phoneticPr fontId="2"/>
  </si>
  <si>
    <t>04-2941-2945</t>
    <phoneticPr fontId="2"/>
  </si>
  <si>
    <t>04-2941-2946</t>
    <phoneticPr fontId="2"/>
  </si>
  <si>
    <t>西武新宿線新所沢駅下車徒歩１０分</t>
    <rPh sb="0" eb="5">
      <t>セイブシンジュクセン</t>
    </rPh>
    <rPh sb="5" eb="6">
      <t>シン</t>
    </rPh>
    <rPh sb="6" eb="8">
      <t>トコロザワ</t>
    </rPh>
    <rPh sb="8" eb="9">
      <t>エキ</t>
    </rPh>
    <rPh sb="9" eb="11">
      <t>ゲシャ</t>
    </rPh>
    <rPh sb="11" eb="13">
      <t>トホ</t>
    </rPh>
    <rPh sb="15" eb="16">
      <t>フン</t>
    </rPh>
    <phoneticPr fontId="2"/>
  </si>
  <si>
    <t>ブルースカイ三郷</t>
    <rPh sb="6" eb="8">
      <t>ミサト</t>
    </rPh>
    <phoneticPr fontId="2"/>
  </si>
  <si>
    <t>早稲田2-25-3 ﾄﾖﾀﾞﾋﾞﾙ3F</t>
    <rPh sb="0" eb="3">
      <t>ワセダ</t>
    </rPh>
    <phoneticPr fontId="2"/>
  </si>
  <si>
    <t>武蔵野線三郷駅下車徒歩10分</t>
    <rPh sb="0" eb="4">
      <t>ムサシノセン</t>
    </rPh>
    <rPh sb="4" eb="6">
      <t>ミサト</t>
    </rPh>
    <rPh sb="6" eb="7">
      <t>エキ</t>
    </rPh>
    <rPh sb="7" eb="9">
      <t>ゲシャ</t>
    </rPh>
    <rPh sb="9" eb="11">
      <t>トホ</t>
    </rPh>
    <rPh sb="13" eb="14">
      <t>フン</t>
    </rPh>
    <phoneticPr fontId="2"/>
  </si>
  <si>
    <t>(株)ＬＩＴＡＬＩＣＯ</t>
    <rPh sb="0" eb="3">
      <t>カブ</t>
    </rPh>
    <phoneticPr fontId="2"/>
  </si>
  <si>
    <t>330-0844</t>
    <phoneticPr fontId="2"/>
  </si>
  <si>
    <t>048-658-0061</t>
  </si>
  <si>
    <t>048-658-0062</t>
  </si>
  <si>
    <t>大宮駅から徒歩６分</t>
    <phoneticPr fontId="2"/>
  </si>
  <si>
    <t>Ｂｏｎ　Ｂｏｎ　Ｂａｋｅｒｙ</t>
  </si>
  <si>
    <t>343-0823</t>
  </si>
  <si>
    <t>048-971-8516</t>
  </si>
  <si>
    <t>048-971-8517</t>
  </si>
  <si>
    <t>（同）ｃｒｅｅｒ</t>
    <rPh sb="1" eb="2">
      <t>ドウ</t>
    </rPh>
    <phoneticPr fontId="2"/>
  </si>
  <si>
    <t>相模町3-227-1</t>
    <rPh sb="0" eb="3">
      <t>サガミチョウ</t>
    </rPh>
    <phoneticPr fontId="2"/>
  </si>
  <si>
    <t>もんきいぽっど</t>
    <phoneticPr fontId="2"/>
  </si>
  <si>
    <t>ヒューマニティーアシスト（同）</t>
    <rPh sb="13" eb="14">
      <t>ドウ</t>
    </rPh>
    <phoneticPr fontId="2"/>
  </si>
  <si>
    <t>高富2-6-5</t>
    <rPh sb="0" eb="2">
      <t>タカトミ</t>
    </rPh>
    <phoneticPr fontId="2"/>
  </si>
  <si>
    <t>342-0036</t>
    <phoneticPr fontId="2"/>
  </si>
  <si>
    <t>048-971-9113</t>
    <phoneticPr fontId="2"/>
  </si>
  <si>
    <t>048-971-9114</t>
    <phoneticPr fontId="2"/>
  </si>
  <si>
    <t>武蔵野線吉川駅下車徒歩10分</t>
    <rPh sb="0" eb="4">
      <t>ムサシノセン</t>
    </rPh>
    <rPh sb="4" eb="6">
      <t>ヨシカワ</t>
    </rPh>
    <rPh sb="6" eb="7">
      <t>エキ</t>
    </rPh>
    <rPh sb="7" eb="9">
      <t>ゲシャ</t>
    </rPh>
    <rPh sb="9" eb="11">
      <t>トホ</t>
    </rPh>
    <rPh sb="13" eb="14">
      <t>フン</t>
    </rPh>
    <phoneticPr fontId="2"/>
  </si>
  <si>
    <t>プラスアイ</t>
  </si>
  <si>
    <t>曙町3-67-1アケボノマンション１F</t>
    <rPh sb="0" eb="1">
      <t>アケボノ</t>
    </rPh>
    <rPh sb="1" eb="2">
      <t>マチ</t>
    </rPh>
    <phoneticPr fontId="2"/>
  </si>
  <si>
    <t>熊谷駅下車徒歩15分、熊谷駅からゆうゆうバス上之荘行「桜木公民館入口」下車徒歩3分</t>
    <rPh sb="0" eb="2">
      <t>クマガヤ</t>
    </rPh>
    <rPh sb="2" eb="3">
      <t>エキ</t>
    </rPh>
    <rPh sb="3" eb="5">
      <t>ゲシャ</t>
    </rPh>
    <rPh sb="5" eb="7">
      <t>トホ</t>
    </rPh>
    <rPh sb="9" eb="10">
      <t>フン</t>
    </rPh>
    <rPh sb="11" eb="13">
      <t>クマガヤ</t>
    </rPh>
    <rPh sb="13" eb="14">
      <t>エキ</t>
    </rPh>
    <rPh sb="22" eb="23">
      <t>ウエ</t>
    </rPh>
    <rPh sb="23" eb="24">
      <t>ノ</t>
    </rPh>
    <rPh sb="24" eb="25">
      <t>ソウ</t>
    </rPh>
    <rPh sb="25" eb="26">
      <t>イキ</t>
    </rPh>
    <rPh sb="27" eb="29">
      <t>サクラギ</t>
    </rPh>
    <rPh sb="29" eb="32">
      <t>コウミンカン</t>
    </rPh>
    <rPh sb="32" eb="34">
      <t>イリグチ</t>
    </rPh>
    <rPh sb="35" eb="37">
      <t>ゲシャ</t>
    </rPh>
    <rPh sb="37" eb="39">
      <t>トホ</t>
    </rPh>
    <rPh sb="40" eb="41">
      <t>フン</t>
    </rPh>
    <phoneticPr fontId="2"/>
  </si>
  <si>
    <t>360-0033</t>
    <phoneticPr fontId="2"/>
  </si>
  <si>
    <t>あおぞら</t>
  </si>
  <si>
    <t>(同）ソレイユ</t>
    <rPh sb="1" eb="2">
      <t>ドウ</t>
    </rPh>
    <phoneticPr fontId="2"/>
  </si>
  <si>
    <t>北区日進町3-136-2 ヴェリス宮原2階</t>
    <rPh sb="0" eb="2">
      <t>キタク</t>
    </rPh>
    <rPh sb="2" eb="5">
      <t>ニッシンチョウ</t>
    </rPh>
    <rPh sb="17" eb="19">
      <t>ミヤハラ</t>
    </rPh>
    <rPh sb="20" eb="21">
      <t>カイ</t>
    </rPh>
    <phoneticPr fontId="2"/>
  </si>
  <si>
    <t>048-729-6553</t>
  </si>
  <si>
    <t>048-729-6554</t>
  </si>
  <si>
    <t>331-0823</t>
    <phoneticPr fontId="2"/>
  </si>
  <si>
    <t>宮原駅から徒歩４分</t>
    <rPh sb="0" eb="2">
      <t>ミヤハラ</t>
    </rPh>
    <rPh sb="2" eb="3">
      <t>エキ</t>
    </rPh>
    <rPh sb="5" eb="7">
      <t>トホ</t>
    </rPh>
    <rPh sb="8" eb="9">
      <t>プン</t>
    </rPh>
    <phoneticPr fontId="2"/>
  </si>
  <si>
    <t>（一財）福祉教育支援協会</t>
    <rPh sb="1" eb="2">
      <t>イチ</t>
    </rPh>
    <rPh sb="2" eb="3">
      <t>ザイ</t>
    </rPh>
    <rPh sb="4" eb="6">
      <t>フクシ</t>
    </rPh>
    <rPh sb="6" eb="8">
      <t>キョウイク</t>
    </rPh>
    <rPh sb="8" eb="10">
      <t>シエン</t>
    </rPh>
    <rPh sb="10" eb="12">
      <t>キョウカイ</t>
    </rPh>
    <phoneticPr fontId="2"/>
  </si>
  <si>
    <t>346-0016</t>
    <phoneticPr fontId="2"/>
  </si>
  <si>
    <t>048-729-6723</t>
  </si>
  <si>
    <t>048-729-6724</t>
  </si>
  <si>
    <t>日進駅から徒歩４分</t>
    <phoneticPr fontId="2"/>
  </si>
  <si>
    <t>氷川町2101-1 ｼｰﾊﾞｲｵﾋﾞﾙ3F</t>
    <rPh sb="0" eb="2">
      <t>ヒカワ</t>
    </rPh>
    <rPh sb="2" eb="3">
      <t>マチ</t>
    </rPh>
    <phoneticPr fontId="2"/>
  </si>
  <si>
    <t>○</t>
    <phoneticPr fontId="2"/>
  </si>
  <si>
    <t>048-486-1880</t>
    <phoneticPr fontId="2"/>
  </si>
  <si>
    <t>○</t>
    <phoneticPr fontId="2"/>
  </si>
  <si>
    <t>(企)労協センター事業団</t>
    <rPh sb="1" eb="2">
      <t>キ</t>
    </rPh>
    <rPh sb="3" eb="5">
      <t>ロウキョウ</t>
    </rPh>
    <rPh sb="9" eb="12">
      <t>ジギョウダン</t>
    </rPh>
    <phoneticPr fontId="2"/>
  </si>
  <si>
    <t>森のとうふ屋さんの手づくり菓子工房</t>
    <rPh sb="0" eb="1">
      <t>モリ</t>
    </rPh>
    <rPh sb="5" eb="6">
      <t>ヤ</t>
    </rPh>
    <rPh sb="9" eb="10">
      <t>テ</t>
    </rPh>
    <rPh sb="13" eb="15">
      <t>カシ</t>
    </rPh>
    <rPh sb="15" eb="17">
      <t>コウボウ</t>
    </rPh>
    <phoneticPr fontId="2"/>
  </si>
  <si>
    <t>上新井1-4-4</t>
    <rPh sb="0" eb="3">
      <t>カミアライ</t>
    </rPh>
    <phoneticPr fontId="2"/>
  </si>
  <si>
    <t>359-1142</t>
    <phoneticPr fontId="2"/>
  </si>
  <si>
    <t>04-2936-6001</t>
    <phoneticPr fontId="2"/>
  </si>
  <si>
    <t>○</t>
    <phoneticPr fontId="2"/>
  </si>
  <si>
    <t>西武池袋線西所沢駅から徒歩5分</t>
    <rPh sb="0" eb="5">
      <t>セイブイケブクロセン</t>
    </rPh>
    <rPh sb="5" eb="6">
      <t>ニシ</t>
    </rPh>
    <rPh sb="6" eb="8">
      <t>トコロザワ</t>
    </rPh>
    <rPh sb="8" eb="9">
      <t>エキ</t>
    </rPh>
    <rPh sb="11" eb="13">
      <t>トホ</t>
    </rPh>
    <rPh sb="14" eb="15">
      <t>フン</t>
    </rPh>
    <phoneticPr fontId="2"/>
  </si>
  <si>
    <t>048-577-6981</t>
    <phoneticPr fontId="2"/>
  </si>
  <si>
    <t>048-577-6982</t>
    <phoneticPr fontId="2"/>
  </si>
  <si>
    <t>048-538-9330</t>
    <phoneticPr fontId="2"/>
  </si>
  <si>
    <t>介護老人保健施設春日部ロイヤルケアセンター</t>
    <rPh sb="0" eb="1">
      <t>ロウジン</t>
    </rPh>
    <rPh sb="1" eb="3">
      <t>ホケン</t>
    </rPh>
    <rPh sb="3" eb="5">
      <t>シセツ</t>
    </rPh>
    <rPh sb="5" eb="7">
      <t>ソウカ</t>
    </rPh>
    <rPh sb="7" eb="10">
      <t>カスカベ</t>
    </rPh>
    <phoneticPr fontId="2"/>
  </si>
  <si>
    <t>藤塚2622-2</t>
    <rPh sb="0" eb="2">
      <t>フジツカ</t>
    </rPh>
    <phoneticPr fontId="2"/>
  </si>
  <si>
    <t>344-0011</t>
    <phoneticPr fontId="2"/>
  </si>
  <si>
    <t>048-733-5771</t>
    <phoneticPr fontId="2"/>
  </si>
  <si>
    <t>048-733-5778</t>
    <phoneticPr fontId="2"/>
  </si>
  <si>
    <t>介護老人保健施設イムスケアふじみの</t>
    <rPh sb="0" eb="1">
      <t>ロウジン</t>
    </rPh>
    <rPh sb="1" eb="3">
      <t>ホケン</t>
    </rPh>
    <rPh sb="3" eb="5">
      <t>シセツ</t>
    </rPh>
    <rPh sb="5" eb="7">
      <t>ソウカ</t>
    </rPh>
    <phoneticPr fontId="2"/>
  </si>
  <si>
    <t>鶴ケ岡5-6-58</t>
    <rPh sb="0" eb="3">
      <t>ツルガオカ</t>
    </rPh>
    <phoneticPr fontId="2"/>
  </si>
  <si>
    <t>（特非）障害者生活支援ネットワークＹＯＵゆう</t>
    <rPh sb="1" eb="2">
      <t>トク</t>
    </rPh>
    <rPh sb="2" eb="3">
      <t>ヒ</t>
    </rPh>
    <rPh sb="4" eb="7">
      <t>ショウガイシャ</t>
    </rPh>
    <rPh sb="7" eb="9">
      <t>セイカツ</t>
    </rPh>
    <rPh sb="9" eb="11">
      <t>シエン</t>
    </rPh>
    <phoneticPr fontId="2"/>
  </si>
  <si>
    <t>ライフアシスト 紡</t>
    <rPh sb="8" eb="9">
      <t>ツム</t>
    </rPh>
    <phoneticPr fontId="2"/>
  </si>
  <si>
    <t>360-0125</t>
    <phoneticPr fontId="2"/>
  </si>
  <si>
    <t>048-577-5836</t>
    <phoneticPr fontId="2"/>
  </si>
  <si>
    <t>048-577-5837</t>
    <phoneticPr fontId="2"/>
  </si>
  <si>
    <t>熊谷駅から国際十王交通バス東松山駅行「南村岡」下車徒歩2分</t>
    <rPh sb="0" eb="2">
      <t>クマガヤ</t>
    </rPh>
    <rPh sb="2" eb="3">
      <t>エキ</t>
    </rPh>
    <rPh sb="5" eb="7">
      <t>コクサイ</t>
    </rPh>
    <rPh sb="7" eb="9">
      <t>ジュウオウ</t>
    </rPh>
    <rPh sb="9" eb="11">
      <t>コウツウ</t>
    </rPh>
    <rPh sb="13" eb="14">
      <t>ヒガシ</t>
    </rPh>
    <rPh sb="14" eb="16">
      <t>マツヤマ</t>
    </rPh>
    <rPh sb="16" eb="17">
      <t>エキ</t>
    </rPh>
    <rPh sb="17" eb="18">
      <t>ユ</t>
    </rPh>
    <rPh sb="19" eb="20">
      <t>ミナミ</t>
    </rPh>
    <rPh sb="20" eb="22">
      <t>ムラオカ</t>
    </rPh>
    <rPh sb="23" eb="25">
      <t>ゲシャ</t>
    </rPh>
    <rPh sb="25" eb="27">
      <t>トホ</t>
    </rPh>
    <rPh sb="28" eb="29">
      <t>フン</t>
    </rPh>
    <phoneticPr fontId="2"/>
  </si>
  <si>
    <t>344-0062</t>
    <phoneticPr fontId="2"/>
  </si>
  <si>
    <t>048-720-8243</t>
    <phoneticPr fontId="2"/>
  </si>
  <si>
    <t>048-720-8246</t>
    <phoneticPr fontId="2"/>
  </si>
  <si>
    <t>東武スカイツリーライン春日部駅東口から徒歩3分</t>
    <rPh sb="0" eb="2">
      <t>トウブ</t>
    </rPh>
    <rPh sb="11" eb="14">
      <t>カスカベ</t>
    </rPh>
    <rPh sb="14" eb="15">
      <t>エキ</t>
    </rPh>
    <rPh sb="15" eb="17">
      <t>ヒガシグチ</t>
    </rPh>
    <rPh sb="19" eb="21">
      <t>トホ</t>
    </rPh>
    <rPh sb="22" eb="23">
      <t>フン</t>
    </rPh>
    <phoneticPr fontId="2"/>
  </si>
  <si>
    <t>344-0061</t>
    <phoneticPr fontId="2"/>
  </si>
  <si>
    <t>あんふぁみーゆ</t>
  </si>
  <si>
    <t>（特非）アンファミーユ</t>
    <rPh sb="1" eb="2">
      <t>トク</t>
    </rPh>
    <rPh sb="2" eb="3">
      <t>ヒ</t>
    </rPh>
    <phoneticPr fontId="4"/>
  </si>
  <si>
    <t>緑区東浦和1-3-7 パークタウン1階</t>
    <rPh sb="0" eb="2">
      <t>ミドリク</t>
    </rPh>
    <rPh sb="2" eb="5">
      <t>ヒガシウラワ</t>
    </rPh>
    <rPh sb="18" eb="19">
      <t>カイ</t>
    </rPh>
    <phoneticPr fontId="2"/>
  </si>
  <si>
    <t>336-0926</t>
    <phoneticPr fontId="2"/>
  </si>
  <si>
    <t>048-799-2905</t>
  </si>
  <si>
    <t>048-799-2909</t>
  </si>
  <si>
    <t>東浦和駅から徒歩１分</t>
    <phoneticPr fontId="2"/>
  </si>
  <si>
    <t>self-A・アイステージ中浦和</t>
    <rPh sb="13" eb="16">
      <t>ナカウラワ</t>
    </rPh>
    <phoneticPr fontId="2"/>
  </si>
  <si>
    <t>(株)グランメル</t>
    <rPh sb="0" eb="3">
      <t>カブ</t>
    </rPh>
    <phoneticPr fontId="2"/>
  </si>
  <si>
    <t>○</t>
    <phoneticPr fontId="2"/>
  </si>
  <si>
    <t>0480-31-6687</t>
    <phoneticPr fontId="2"/>
  </si>
  <si>
    <t>(株)リンクステーション</t>
    <rPh sb="1" eb="2">
      <t>カブ</t>
    </rPh>
    <phoneticPr fontId="2"/>
  </si>
  <si>
    <t>リンクステーション</t>
    <phoneticPr fontId="2"/>
  </si>
  <si>
    <t>棚田町2-9-5</t>
    <rPh sb="0" eb="2">
      <t>タナダ</t>
    </rPh>
    <rPh sb="2" eb="3">
      <t>マチ</t>
    </rPh>
    <phoneticPr fontId="2"/>
  </si>
  <si>
    <t>361-0041</t>
    <phoneticPr fontId="2"/>
  </si>
  <si>
    <t>048-594-9366</t>
    <phoneticPr fontId="2"/>
  </si>
  <si>
    <t>048-594-9369</t>
    <phoneticPr fontId="2"/>
  </si>
  <si>
    <t>(福)新</t>
    <rPh sb="0" eb="3">
      <t>フク</t>
    </rPh>
    <rPh sb="3" eb="4">
      <t>アラタ</t>
    </rPh>
    <phoneticPr fontId="2"/>
  </si>
  <si>
    <t>結</t>
    <rPh sb="0" eb="1">
      <t>ユイ</t>
    </rPh>
    <phoneticPr fontId="2"/>
  </si>
  <si>
    <t>狭山市</t>
    <rPh sb="0" eb="2">
      <t>サヤマ</t>
    </rPh>
    <rPh sb="2" eb="3">
      <t>シ</t>
    </rPh>
    <phoneticPr fontId="2"/>
  </si>
  <si>
    <t>入間川1-22-12</t>
    <rPh sb="0" eb="2">
      <t>イルマ</t>
    </rPh>
    <rPh sb="2" eb="3">
      <t>ガワ</t>
    </rPh>
    <phoneticPr fontId="2"/>
  </si>
  <si>
    <t>350-1305</t>
    <phoneticPr fontId="2"/>
  </si>
  <si>
    <t>04-2968-4795</t>
    <phoneticPr fontId="2"/>
  </si>
  <si>
    <t>04-2968-4798</t>
    <phoneticPr fontId="2"/>
  </si>
  <si>
    <t>西武新宿線狭山市駅下車徒歩5分</t>
    <rPh sb="0" eb="5">
      <t>セイブシンジュクセン</t>
    </rPh>
    <rPh sb="5" eb="7">
      <t>サヤマ</t>
    </rPh>
    <rPh sb="7" eb="8">
      <t>シ</t>
    </rPh>
    <rPh sb="8" eb="9">
      <t>エキ</t>
    </rPh>
    <rPh sb="9" eb="11">
      <t>ゲシャ</t>
    </rPh>
    <rPh sb="11" eb="13">
      <t>トホ</t>
    </rPh>
    <rPh sb="14" eb="15">
      <t>フン</t>
    </rPh>
    <phoneticPr fontId="2"/>
  </si>
  <si>
    <t>(株)ウェルフェアD</t>
    <rPh sb="0" eb="3">
      <t>カブ</t>
    </rPh>
    <phoneticPr fontId="2"/>
  </si>
  <si>
    <t>ウェルフェアD狭山</t>
    <rPh sb="7" eb="9">
      <t>サヤマ</t>
    </rPh>
    <phoneticPr fontId="2"/>
  </si>
  <si>
    <t>祇園5-12 甲田ビルB棟</t>
    <rPh sb="0" eb="2">
      <t>ギオン</t>
    </rPh>
    <rPh sb="7" eb="9">
      <t>コウダ</t>
    </rPh>
    <rPh sb="12" eb="13">
      <t>トウ</t>
    </rPh>
    <phoneticPr fontId="2"/>
  </si>
  <si>
    <t>350-1307</t>
    <phoneticPr fontId="2"/>
  </si>
  <si>
    <t>04-2946-9697</t>
    <phoneticPr fontId="2"/>
  </si>
  <si>
    <t>04-2946-9698</t>
    <phoneticPr fontId="2"/>
  </si>
  <si>
    <t>西武新宿線狭山市駅下車徒歩1分</t>
    <rPh sb="0" eb="5">
      <t>セイブシンジュクセン</t>
    </rPh>
    <rPh sb="5" eb="7">
      <t>サヤマ</t>
    </rPh>
    <rPh sb="7" eb="8">
      <t>シ</t>
    </rPh>
    <rPh sb="8" eb="9">
      <t>エキ</t>
    </rPh>
    <rPh sb="9" eb="11">
      <t>ゲシャ</t>
    </rPh>
    <rPh sb="11" eb="13">
      <t>トホ</t>
    </rPh>
    <rPh sb="14" eb="15">
      <t>フン</t>
    </rPh>
    <phoneticPr fontId="2"/>
  </si>
  <si>
    <t>はるか</t>
  </si>
  <si>
    <t>北川崎234-2</t>
    <phoneticPr fontId="2"/>
  </si>
  <si>
    <t>343-0006</t>
    <phoneticPr fontId="2"/>
  </si>
  <si>
    <t>048-940-6279</t>
    <phoneticPr fontId="2"/>
  </si>
  <si>
    <t>048-940-6379</t>
    <phoneticPr fontId="2"/>
  </si>
  <si>
    <t>339-0057</t>
    <phoneticPr fontId="2"/>
  </si>
  <si>
    <t>就労継続支援とんぼ</t>
    <rPh sb="0" eb="2">
      <t>シュウロウ</t>
    </rPh>
    <rPh sb="2" eb="4">
      <t>ケイゾク</t>
    </rPh>
    <rPh sb="4" eb="6">
      <t>シエン</t>
    </rPh>
    <phoneticPr fontId="2"/>
  </si>
  <si>
    <t>048-762-8435</t>
    <phoneticPr fontId="2"/>
  </si>
  <si>
    <t>048-762-8650</t>
    <phoneticPr fontId="2"/>
  </si>
  <si>
    <t>（一社）とまりぎ</t>
    <rPh sb="1" eb="2">
      <t>イチ</t>
    </rPh>
    <rPh sb="2" eb="3">
      <t>シャ</t>
    </rPh>
    <phoneticPr fontId="2"/>
  </si>
  <si>
    <t>(株)とんぼ</t>
    <rPh sb="0" eb="3">
      <t>カブ</t>
    </rPh>
    <phoneticPr fontId="2"/>
  </si>
  <si>
    <t>(特非)結</t>
    <rPh sb="1" eb="2">
      <t>トク</t>
    </rPh>
    <rPh sb="2" eb="3">
      <t>ヒ</t>
    </rPh>
    <rPh sb="4" eb="5">
      <t>ユイ</t>
    </rPh>
    <phoneticPr fontId="2"/>
  </si>
  <si>
    <t>(株)ライトハウス</t>
    <phoneticPr fontId="2"/>
  </si>
  <si>
    <t>(特非)オハナ</t>
    <rPh sb="1" eb="2">
      <t>トク</t>
    </rPh>
    <rPh sb="2" eb="3">
      <t>ヒ</t>
    </rPh>
    <phoneticPr fontId="2"/>
  </si>
  <si>
    <t>(特非)福祉ファーム里山</t>
    <rPh sb="1" eb="2">
      <t>トク</t>
    </rPh>
    <rPh sb="2" eb="3">
      <t>ヒ</t>
    </rPh>
    <rPh sb="4" eb="6">
      <t>フクシ</t>
    </rPh>
    <rPh sb="10" eb="12">
      <t>サトヤマ</t>
    </rPh>
    <phoneticPr fontId="2"/>
  </si>
  <si>
    <t>(株)さくら</t>
    <rPh sb="0" eb="3">
      <t>カブ</t>
    </rPh>
    <phoneticPr fontId="2"/>
  </si>
  <si>
    <t>(株)あおいの杜</t>
    <rPh sb="0" eb="3">
      <t>カブ</t>
    </rPh>
    <rPh sb="7" eb="8">
      <t>モリ</t>
    </rPh>
    <phoneticPr fontId="3"/>
  </si>
  <si>
    <t>(株)スマイル</t>
    <rPh sb="0" eb="3">
      <t>カブ</t>
    </rPh>
    <phoneticPr fontId="2"/>
  </si>
  <si>
    <t>(特非)サポートあおい</t>
    <rPh sb="1" eb="2">
      <t>トク</t>
    </rPh>
    <rPh sb="2" eb="3">
      <t>ヒ</t>
    </rPh>
    <phoneticPr fontId="1"/>
  </si>
  <si>
    <t>(特非)たんぽぽ福祉村</t>
    <rPh sb="1" eb="2">
      <t>トク</t>
    </rPh>
    <rPh sb="2" eb="3">
      <t>ヒ</t>
    </rPh>
    <rPh sb="8" eb="10">
      <t>フクシ</t>
    </rPh>
    <rPh sb="10" eb="11">
      <t>ムラ</t>
    </rPh>
    <phoneticPr fontId="2"/>
  </si>
  <si>
    <t>(特非)ワーカーズコープ</t>
    <rPh sb="1" eb="2">
      <t>トク</t>
    </rPh>
    <rPh sb="2" eb="3">
      <t>ヒ</t>
    </rPh>
    <phoneticPr fontId="2"/>
  </si>
  <si>
    <t>(株)美来</t>
    <rPh sb="0" eb="3">
      <t>カブ</t>
    </rPh>
    <rPh sb="3" eb="4">
      <t>ビ</t>
    </rPh>
    <rPh sb="4" eb="5">
      <t>ク</t>
    </rPh>
    <phoneticPr fontId="2"/>
  </si>
  <si>
    <t>社会福祉事業　みらい</t>
    <rPh sb="0" eb="2">
      <t>シャカイ</t>
    </rPh>
    <rPh sb="2" eb="4">
      <t>フクシ</t>
    </rPh>
    <rPh sb="4" eb="6">
      <t>ジギョウ</t>
    </rPh>
    <phoneticPr fontId="2"/>
  </si>
  <si>
    <t>西島町2-1-3 宝栄ビル3階、5階</t>
    <rPh sb="0" eb="3">
      <t>ニシジマチョウ</t>
    </rPh>
    <rPh sb="9" eb="10">
      <t>タカラ</t>
    </rPh>
    <rPh sb="10" eb="11">
      <t>サカエ</t>
    </rPh>
    <rPh sb="14" eb="15">
      <t>カイ</t>
    </rPh>
    <rPh sb="17" eb="18">
      <t>カイ</t>
    </rPh>
    <phoneticPr fontId="2"/>
  </si>
  <si>
    <t>048-573-7001</t>
    <phoneticPr fontId="2"/>
  </si>
  <si>
    <t>048-573-700１</t>
    <phoneticPr fontId="2"/>
  </si>
  <si>
    <t>347-0125</t>
    <phoneticPr fontId="2"/>
  </si>
  <si>
    <t>0480-44-8808</t>
    <phoneticPr fontId="2"/>
  </si>
  <si>
    <t>京浜東北線西川口駅下車徒歩14分</t>
    <rPh sb="0" eb="2">
      <t>ケイヒン</t>
    </rPh>
    <rPh sb="2" eb="5">
      <t>トウホクセン</t>
    </rPh>
    <rPh sb="5" eb="9">
      <t>ニシカワグチエキ</t>
    </rPh>
    <rPh sb="9" eb="11">
      <t>ゲシャ</t>
    </rPh>
    <rPh sb="11" eb="13">
      <t>トホ</t>
    </rPh>
    <rPh sb="15" eb="16">
      <t>フン</t>
    </rPh>
    <phoneticPr fontId="2"/>
  </si>
  <si>
    <t>ひよせ</t>
    <phoneticPr fontId="2"/>
  </si>
  <si>
    <t>弥栄町1-195-172</t>
    <phoneticPr fontId="2"/>
  </si>
  <si>
    <t>343-0046</t>
    <phoneticPr fontId="2"/>
  </si>
  <si>
    <t>048-940-1413</t>
    <phoneticPr fontId="2"/>
  </si>
  <si>
    <t>048-940-1414</t>
    <phoneticPr fontId="2"/>
  </si>
  <si>
    <t>東武伊勢崎線北越谷駅より朝日自動車弥栄団地循環「弥栄１丁目」下車徒歩１分</t>
    <rPh sb="0" eb="2">
      <t>トウブ</t>
    </rPh>
    <rPh sb="6" eb="7">
      <t>キタ</t>
    </rPh>
    <rPh sb="12" eb="14">
      <t>アサヒ</t>
    </rPh>
    <rPh sb="14" eb="17">
      <t>ジドウシャ</t>
    </rPh>
    <rPh sb="17" eb="19">
      <t>イヤサカ</t>
    </rPh>
    <rPh sb="19" eb="21">
      <t>ダンチ</t>
    </rPh>
    <rPh sb="21" eb="23">
      <t>ジュンカン</t>
    </rPh>
    <rPh sb="24" eb="26">
      <t>イヤサカ</t>
    </rPh>
    <rPh sb="27" eb="29">
      <t>チョウメ</t>
    </rPh>
    <rPh sb="30" eb="32">
      <t>ゲシャ</t>
    </rPh>
    <phoneticPr fontId="2"/>
  </si>
  <si>
    <t>東武伊勢崎線北越谷駅より朝日自動車弥坂団地循環「弥坂三丁目」下車徒歩25分</t>
    <rPh sb="0" eb="2">
      <t>トウブ</t>
    </rPh>
    <rPh sb="6" eb="7">
      <t>キタ</t>
    </rPh>
    <rPh sb="12" eb="14">
      <t>アサヒ</t>
    </rPh>
    <rPh sb="14" eb="17">
      <t>ジドウシャ</t>
    </rPh>
    <rPh sb="17" eb="18">
      <t>ヤ</t>
    </rPh>
    <rPh sb="18" eb="19">
      <t>サカ</t>
    </rPh>
    <rPh sb="19" eb="21">
      <t>ダンチ</t>
    </rPh>
    <rPh sb="21" eb="23">
      <t>ジュンカン</t>
    </rPh>
    <rPh sb="24" eb="25">
      <t>ヤ</t>
    </rPh>
    <rPh sb="25" eb="26">
      <t>サカ</t>
    </rPh>
    <rPh sb="26" eb="29">
      <t>サンチョウメ</t>
    </rPh>
    <rPh sb="30" eb="32">
      <t>ゲシャ</t>
    </rPh>
    <phoneticPr fontId="2"/>
  </si>
  <si>
    <t>ＪＲ武蔵野線南越谷・東武伊勢崎線新越谷駅より朝日自動車花田行「大相模中学校」下車徒歩1分</t>
    <rPh sb="2" eb="6">
      <t>ムサシノセン</t>
    </rPh>
    <rPh sb="6" eb="9">
      <t>ミナミコシガヤ</t>
    </rPh>
    <rPh sb="16" eb="17">
      <t>シン</t>
    </rPh>
    <rPh sb="22" eb="24">
      <t>アサヒ</t>
    </rPh>
    <rPh sb="24" eb="27">
      <t>ジドウシャ</t>
    </rPh>
    <rPh sb="27" eb="29">
      <t>ハナダ</t>
    </rPh>
    <rPh sb="29" eb="30">
      <t>イ</t>
    </rPh>
    <rPh sb="31" eb="32">
      <t>オオ</t>
    </rPh>
    <rPh sb="32" eb="34">
      <t>サガミ</t>
    </rPh>
    <rPh sb="34" eb="37">
      <t>チュウガッコウ</t>
    </rPh>
    <rPh sb="38" eb="40">
      <t>ゲシャ</t>
    </rPh>
    <phoneticPr fontId="2"/>
  </si>
  <si>
    <t>東武伊勢崎線せんげん台駅からタローズバスせんげん台線「大泊東自治会集会所前」下車徒歩5分</t>
    <rPh sb="10" eb="11">
      <t>ダイ</t>
    </rPh>
    <rPh sb="11" eb="12">
      <t>エキ</t>
    </rPh>
    <rPh sb="24" eb="25">
      <t>ダイ</t>
    </rPh>
    <rPh sb="25" eb="26">
      <t>セン</t>
    </rPh>
    <rPh sb="27" eb="29">
      <t>オオドマリ</t>
    </rPh>
    <rPh sb="29" eb="30">
      <t>ヒガシ</t>
    </rPh>
    <rPh sb="30" eb="33">
      <t>ジチカイ</t>
    </rPh>
    <rPh sb="33" eb="35">
      <t>シュウカイ</t>
    </rPh>
    <rPh sb="35" eb="36">
      <t>ジョ</t>
    </rPh>
    <rPh sb="36" eb="37">
      <t>マエ</t>
    </rPh>
    <rPh sb="38" eb="40">
      <t>ゲシャ</t>
    </rPh>
    <phoneticPr fontId="2"/>
  </si>
  <si>
    <t>（株）APレインボー</t>
    <rPh sb="1" eb="2">
      <t>カブ</t>
    </rPh>
    <phoneticPr fontId="2"/>
  </si>
  <si>
    <t>アルプス夢工房</t>
    <rPh sb="4" eb="5">
      <t>ユメ</t>
    </rPh>
    <rPh sb="5" eb="7">
      <t>コウボウ</t>
    </rPh>
    <phoneticPr fontId="2"/>
  </si>
  <si>
    <t>領家3-22-22</t>
    <rPh sb="0" eb="2">
      <t>リョウケ</t>
    </rPh>
    <phoneticPr fontId="2"/>
  </si>
  <si>
    <t>332-0004</t>
    <phoneticPr fontId="2"/>
  </si>
  <si>
    <t>048-229-1347</t>
    <phoneticPr fontId="2"/>
  </si>
  <si>
    <t>048-222-0008</t>
    <phoneticPr fontId="2"/>
  </si>
  <si>
    <t>京浜東北線川口駅東口から国際興業バス鹿浜・領家循環「山王橋際」下車徒歩3分</t>
    <rPh sb="0" eb="2">
      <t>ケイヒン</t>
    </rPh>
    <rPh sb="2" eb="5">
      <t>トウホクセン</t>
    </rPh>
    <rPh sb="5" eb="8">
      <t>カワグチエキ</t>
    </rPh>
    <rPh sb="8" eb="10">
      <t>ヒガシグチ</t>
    </rPh>
    <rPh sb="12" eb="14">
      <t>コクサイ</t>
    </rPh>
    <rPh sb="14" eb="16">
      <t>コウギョウ</t>
    </rPh>
    <rPh sb="18" eb="20">
      <t>シカハマ</t>
    </rPh>
    <rPh sb="21" eb="23">
      <t>リョウケ</t>
    </rPh>
    <rPh sb="23" eb="25">
      <t>ジュンカン</t>
    </rPh>
    <rPh sb="26" eb="28">
      <t>サンノウ</t>
    </rPh>
    <rPh sb="28" eb="29">
      <t>バシ</t>
    </rPh>
    <rPh sb="29" eb="30">
      <t>サイ</t>
    </rPh>
    <rPh sb="31" eb="33">
      <t>ゲシャ</t>
    </rPh>
    <rPh sb="33" eb="35">
      <t>トホ</t>
    </rPh>
    <rPh sb="36" eb="37">
      <t>フン</t>
    </rPh>
    <phoneticPr fontId="2"/>
  </si>
  <si>
    <t>（福）小鹿野ひまわり福祉会</t>
    <rPh sb="1" eb="2">
      <t>フク</t>
    </rPh>
    <rPh sb="3" eb="6">
      <t>オガノ</t>
    </rPh>
    <rPh sb="10" eb="12">
      <t>フクシ</t>
    </rPh>
    <rPh sb="12" eb="13">
      <t>カイ</t>
    </rPh>
    <phoneticPr fontId="2"/>
  </si>
  <si>
    <t>夢工房　大宮</t>
    <rPh sb="0" eb="1">
      <t>ユメ</t>
    </rPh>
    <rPh sb="1" eb="3">
      <t>コウボウ</t>
    </rPh>
    <rPh sb="4" eb="6">
      <t>オオミヤ</t>
    </rPh>
    <phoneticPr fontId="2"/>
  </si>
  <si>
    <t>(同）ドリーム</t>
    <phoneticPr fontId="2"/>
  </si>
  <si>
    <t>さいたま市</t>
    <phoneticPr fontId="2"/>
  </si>
  <si>
    <t>大宮区土手町1-13-3 レヴィハイデンス1Ｆ</t>
    <phoneticPr fontId="2"/>
  </si>
  <si>
    <t>330-0801</t>
    <phoneticPr fontId="2"/>
  </si>
  <si>
    <t>048-650-5711</t>
    <phoneticPr fontId="2"/>
  </si>
  <si>
    <t>048-650-5712</t>
    <phoneticPr fontId="2"/>
  </si>
  <si>
    <t>大宮駅から徒歩10分</t>
    <phoneticPr fontId="2"/>
  </si>
  <si>
    <t>ウェルビー川越駅前第３センター</t>
    <rPh sb="5" eb="7">
      <t>カワゴエ</t>
    </rPh>
    <rPh sb="7" eb="9">
      <t>エキマエ</t>
    </rPh>
    <rPh sb="9" eb="10">
      <t>ダイ</t>
    </rPh>
    <phoneticPr fontId="2"/>
  </si>
  <si>
    <t>049-257-5193</t>
  </si>
  <si>
    <t>049-257-5194</t>
  </si>
  <si>
    <t>脇田本町9-16 YKビル6階</t>
    <rPh sb="0" eb="4">
      <t>ワキタホンチョウ</t>
    </rPh>
    <rPh sb="14" eb="15">
      <t>カイ</t>
    </rPh>
    <phoneticPr fontId="2"/>
  </si>
  <si>
    <t>川越駅から徒歩5分</t>
    <phoneticPr fontId="2"/>
  </si>
  <si>
    <t>瓦曽根1-20-6　Ｋファーストビル1Ｆ</t>
  </si>
  <si>
    <t>343-0021</t>
  </si>
  <si>
    <t>東武伊勢崎線越谷駅下車徒歩6分</t>
    <rPh sb="0" eb="2">
      <t>トウブ</t>
    </rPh>
    <phoneticPr fontId="2"/>
  </si>
  <si>
    <t>武蔵野線新三郷駅下車徒歩10分
※共同生活援助の空床利用</t>
    <phoneticPr fontId="2"/>
  </si>
  <si>
    <t>キャベツ</t>
    <phoneticPr fontId="2"/>
  </si>
  <si>
    <t>氷川町1-5-37</t>
    <rPh sb="0" eb="2">
      <t>ヒカワ</t>
    </rPh>
    <rPh sb="2" eb="3">
      <t>マチ</t>
    </rPh>
    <phoneticPr fontId="2"/>
  </si>
  <si>
    <t>埼京線戸田公園駅下車徒歩19分
※共同生活援助との併設</t>
    <rPh sb="0" eb="3">
      <t>サイキョウセン</t>
    </rPh>
    <rPh sb="3" eb="8">
      <t>トダコウエンエキ</t>
    </rPh>
    <rPh sb="8" eb="10">
      <t>ゲシャ</t>
    </rPh>
    <rPh sb="10" eb="12">
      <t>トホ</t>
    </rPh>
    <rPh sb="14" eb="15">
      <t>フン</t>
    </rPh>
    <rPh sb="25" eb="27">
      <t>ヘイセツ</t>
    </rPh>
    <phoneticPr fontId="2"/>
  </si>
  <si>
    <t>(一社)みんなでなかよく会</t>
    <rPh sb="1" eb="2">
      <t>イチ</t>
    </rPh>
    <rPh sb="2" eb="3">
      <t>シャ</t>
    </rPh>
    <rPh sb="12" eb="13">
      <t>カイ</t>
    </rPh>
    <phoneticPr fontId="2"/>
  </si>
  <si>
    <t>チャレンジ１号館</t>
    <rPh sb="6" eb="8">
      <t>ゴウカン</t>
    </rPh>
    <phoneticPr fontId="2"/>
  </si>
  <si>
    <t>下藤沢632-1-2</t>
    <rPh sb="0" eb="3">
      <t>シモフジサワ</t>
    </rPh>
    <phoneticPr fontId="2"/>
  </si>
  <si>
    <t>358-0011</t>
    <phoneticPr fontId="2"/>
  </si>
  <si>
    <t>04-2936-9712</t>
    <phoneticPr fontId="2"/>
  </si>
  <si>
    <t>04-2936-9713</t>
    <phoneticPr fontId="2"/>
  </si>
  <si>
    <t>西武池袋線武蔵藤沢駅下車徒歩10分</t>
    <rPh sb="0" eb="5">
      <t>セイブイケブクロセン</t>
    </rPh>
    <rPh sb="5" eb="7">
      <t>ムサシ</t>
    </rPh>
    <rPh sb="7" eb="9">
      <t>フジサワ</t>
    </rPh>
    <rPh sb="9" eb="10">
      <t>エキ</t>
    </rPh>
    <rPh sb="10" eb="12">
      <t>ゲシャ</t>
    </rPh>
    <rPh sb="12" eb="14">
      <t>トホ</t>
    </rPh>
    <rPh sb="16" eb="17">
      <t>フン</t>
    </rPh>
    <phoneticPr fontId="2"/>
  </si>
  <si>
    <t>(特非)風杜舎</t>
    <rPh sb="1" eb="2">
      <t>トク</t>
    </rPh>
    <rPh sb="2" eb="3">
      <t>ヒ</t>
    </rPh>
    <rPh sb="4" eb="5">
      <t>フウ</t>
    </rPh>
    <rPh sb="5" eb="6">
      <t>ト</t>
    </rPh>
    <rPh sb="6" eb="7">
      <t>シャ</t>
    </rPh>
    <phoneticPr fontId="2"/>
  </si>
  <si>
    <t>048-967-8799</t>
    <phoneticPr fontId="2"/>
  </si>
  <si>
    <t>048-967-8099</t>
    <phoneticPr fontId="2"/>
  </si>
  <si>
    <t>049-295-3045</t>
  </si>
  <si>
    <t>ツリーぴあ</t>
    <phoneticPr fontId="2"/>
  </si>
  <si>
    <t>346-0029</t>
    <phoneticPr fontId="2"/>
  </si>
  <si>
    <t>0480-26-3000</t>
    <phoneticPr fontId="2"/>
  </si>
  <si>
    <t>048-950-7315</t>
    <phoneticPr fontId="2"/>
  </si>
  <si>
    <t>048-950-7316</t>
    <phoneticPr fontId="2"/>
  </si>
  <si>
    <t>(福)啓和会</t>
    <rPh sb="1" eb="2">
      <t>フク</t>
    </rPh>
    <rPh sb="3" eb="5">
      <t>ケイワ</t>
    </rPh>
    <rPh sb="5" eb="6">
      <t>カイ</t>
    </rPh>
    <phoneticPr fontId="2"/>
  </si>
  <si>
    <t>グループホーム清久</t>
    <rPh sb="7" eb="9">
      <t>キヨク</t>
    </rPh>
    <phoneticPr fontId="2"/>
  </si>
  <si>
    <t>上清久1524-1</t>
    <rPh sb="0" eb="3">
      <t>カミキヨク</t>
    </rPh>
    <phoneticPr fontId="2"/>
  </si>
  <si>
    <t>346-0038</t>
    <phoneticPr fontId="2"/>
  </si>
  <si>
    <t>0480-22-6004</t>
    <phoneticPr fontId="2"/>
  </si>
  <si>
    <t>○</t>
    <phoneticPr fontId="2"/>
  </si>
  <si>
    <t>川口市・(福)みぬま福祉会</t>
    <rPh sb="0" eb="3">
      <t>カワグチシ</t>
    </rPh>
    <rPh sb="5" eb="6">
      <t>フク</t>
    </rPh>
    <rPh sb="10" eb="12">
      <t>フクシ</t>
    </rPh>
    <rPh sb="12" eb="13">
      <t>カイ</t>
    </rPh>
    <phoneticPr fontId="2"/>
  </si>
  <si>
    <t>川口市障害者短期入所施設しらゆりの家</t>
    <rPh sb="0" eb="3">
      <t>カワグチシ</t>
    </rPh>
    <rPh sb="3" eb="4">
      <t>ショウ</t>
    </rPh>
    <rPh sb="4" eb="5">
      <t>ガイ</t>
    </rPh>
    <rPh sb="5" eb="6">
      <t>シャ</t>
    </rPh>
    <rPh sb="6" eb="8">
      <t>タンキ</t>
    </rPh>
    <rPh sb="8" eb="10">
      <t>ニュウショ</t>
    </rPh>
    <rPh sb="10" eb="12">
      <t>シセツ</t>
    </rPh>
    <rPh sb="17" eb="18">
      <t>イエ</t>
    </rPh>
    <phoneticPr fontId="2"/>
  </si>
  <si>
    <t>朝日3-16-14</t>
    <rPh sb="0" eb="2">
      <t>アサヒ</t>
    </rPh>
    <phoneticPr fontId="2"/>
  </si>
  <si>
    <t>332-0001</t>
    <phoneticPr fontId="2"/>
  </si>
  <si>
    <t>048-299-4741</t>
    <phoneticPr fontId="2"/>
  </si>
  <si>
    <t>048-299-4742</t>
    <phoneticPr fontId="2"/>
  </si>
  <si>
    <t>埼玉高速鉄道南鳩ヶ谷駅下車徒歩10分</t>
    <rPh sb="0" eb="2">
      <t>サイタマ</t>
    </rPh>
    <rPh sb="2" eb="4">
      <t>コウソク</t>
    </rPh>
    <rPh sb="4" eb="6">
      <t>テツドウ</t>
    </rPh>
    <rPh sb="6" eb="7">
      <t>ミナミ</t>
    </rPh>
    <rPh sb="7" eb="10">
      <t>ハトガヤ</t>
    </rPh>
    <rPh sb="10" eb="11">
      <t>エキ</t>
    </rPh>
    <rPh sb="11" eb="13">
      <t>ゲシャ</t>
    </rPh>
    <rPh sb="13" eb="15">
      <t>トホ</t>
    </rPh>
    <rPh sb="17" eb="18">
      <t>フン</t>
    </rPh>
    <phoneticPr fontId="2"/>
  </si>
  <si>
    <t>あかりワークス岩瀬</t>
    <rPh sb="7" eb="9">
      <t>イワセ</t>
    </rPh>
    <phoneticPr fontId="2"/>
  </si>
  <si>
    <t>大字上岩瀬字下悪土440-3</t>
    <rPh sb="0" eb="1">
      <t>オオ</t>
    </rPh>
    <rPh sb="1" eb="2">
      <t>ジ</t>
    </rPh>
    <rPh sb="2" eb="3">
      <t>カミ</t>
    </rPh>
    <rPh sb="3" eb="5">
      <t>イワセ</t>
    </rPh>
    <rPh sb="5" eb="6">
      <t>ジ</t>
    </rPh>
    <rPh sb="6" eb="7">
      <t>シモ</t>
    </rPh>
    <rPh sb="7" eb="8">
      <t>アク</t>
    </rPh>
    <rPh sb="8" eb="9">
      <t>ツチ</t>
    </rPh>
    <phoneticPr fontId="2"/>
  </si>
  <si>
    <t>348-0044</t>
    <phoneticPr fontId="2"/>
  </si>
  <si>
    <t>秩父鉄道新郷駅下車徒歩14分</t>
    <rPh sb="0" eb="2">
      <t>チチブ</t>
    </rPh>
    <rPh sb="2" eb="4">
      <t>テツドウ</t>
    </rPh>
    <rPh sb="4" eb="6">
      <t>シンゴウ</t>
    </rPh>
    <rPh sb="6" eb="7">
      <t>エキ</t>
    </rPh>
    <rPh sb="7" eb="9">
      <t>ゲシャ</t>
    </rPh>
    <rPh sb="9" eb="11">
      <t>トホ</t>
    </rPh>
    <rPh sb="13" eb="14">
      <t>フン</t>
    </rPh>
    <phoneticPr fontId="2"/>
  </si>
  <si>
    <t>335-0022</t>
    <phoneticPr fontId="2"/>
  </si>
  <si>
    <t>048-432-2275</t>
    <phoneticPr fontId="2"/>
  </si>
  <si>
    <t>048-432-2324</t>
    <phoneticPr fontId="2"/>
  </si>
  <si>
    <t>(特非)まめの木</t>
    <rPh sb="1" eb="2">
      <t>トク</t>
    </rPh>
    <rPh sb="2" eb="3">
      <t>ヒ</t>
    </rPh>
    <rPh sb="7" eb="8">
      <t>キ</t>
    </rPh>
    <phoneticPr fontId="2"/>
  </si>
  <si>
    <t>びーんず</t>
    <phoneticPr fontId="2"/>
  </si>
  <si>
    <t>新宿新田349-38</t>
    <rPh sb="0" eb="2">
      <t>シンジュク</t>
    </rPh>
    <rPh sb="2" eb="4">
      <t>シンデン</t>
    </rPh>
    <phoneticPr fontId="2"/>
  </si>
  <si>
    <t>344-0113</t>
    <phoneticPr fontId="2"/>
  </si>
  <si>
    <t>048-872-7547</t>
    <phoneticPr fontId="2"/>
  </si>
  <si>
    <t>048-872-7548</t>
    <phoneticPr fontId="2"/>
  </si>
  <si>
    <t>東武野田線南桜井駅下車南口から徒歩13分</t>
    <rPh sb="0" eb="2">
      <t>トウブ</t>
    </rPh>
    <rPh sb="2" eb="5">
      <t>ノダセン</t>
    </rPh>
    <rPh sb="5" eb="9">
      <t>ミナミサクライエキ</t>
    </rPh>
    <rPh sb="9" eb="11">
      <t>ゲシャ</t>
    </rPh>
    <rPh sb="11" eb="13">
      <t>ミナミグチ</t>
    </rPh>
    <rPh sb="15" eb="17">
      <t>トホ</t>
    </rPh>
    <rPh sb="19" eb="20">
      <t>フン</t>
    </rPh>
    <phoneticPr fontId="2"/>
  </si>
  <si>
    <t>朝霞市</t>
    <phoneticPr fontId="2"/>
  </si>
  <si>
    <t>○</t>
    <phoneticPr fontId="2"/>
  </si>
  <si>
    <t>朝霞市・(福)朝霞市社会福祉協議会</t>
    <rPh sb="0" eb="3">
      <t>アサカシ</t>
    </rPh>
    <rPh sb="5" eb="6">
      <t>フク</t>
    </rPh>
    <rPh sb="7" eb="10">
      <t>アサカシ</t>
    </rPh>
    <rPh sb="10" eb="12">
      <t>シャカイ</t>
    </rPh>
    <rPh sb="12" eb="14">
      <t>フクシ</t>
    </rPh>
    <rPh sb="14" eb="17">
      <t>キョウギカイ</t>
    </rPh>
    <phoneticPr fontId="2"/>
  </si>
  <si>
    <t>朝霞市障害者ふれあいセンター　あさか福祉作業所</t>
    <rPh sb="0" eb="3">
      <t>アサカシ</t>
    </rPh>
    <rPh sb="3" eb="6">
      <t>ショウガイシャ</t>
    </rPh>
    <rPh sb="18" eb="20">
      <t>フクシ</t>
    </rPh>
    <rPh sb="20" eb="22">
      <t>サギョウ</t>
    </rPh>
    <rPh sb="22" eb="23">
      <t>ショ</t>
    </rPh>
    <phoneticPr fontId="2"/>
  </si>
  <si>
    <t>上内間木493-9</t>
    <rPh sb="0" eb="4">
      <t>カミウチマギ</t>
    </rPh>
    <phoneticPr fontId="2"/>
  </si>
  <si>
    <t>351-0001</t>
    <phoneticPr fontId="2"/>
  </si>
  <si>
    <t>鶴ヶ島市・(福)鶴ヶ島市社会福祉協議会</t>
    <rPh sb="0" eb="4">
      <t>ツルガシマシ</t>
    </rPh>
    <rPh sb="5" eb="8">
      <t>フク</t>
    </rPh>
    <rPh sb="8" eb="12">
      <t>ツルガシマシ</t>
    </rPh>
    <rPh sb="12" eb="14">
      <t>シャカイ</t>
    </rPh>
    <rPh sb="14" eb="16">
      <t>フクシ</t>
    </rPh>
    <rPh sb="16" eb="19">
      <t>キョウギカイ</t>
    </rPh>
    <phoneticPr fontId="2"/>
  </si>
  <si>
    <t>鶴ヶ島市立障害者生活介護施設</t>
    <rPh sb="0" eb="5">
      <t>ツルガシマシリツ</t>
    </rPh>
    <rPh sb="5" eb="8">
      <t>ショウガイシャ</t>
    </rPh>
    <rPh sb="8" eb="10">
      <t>セイカツ</t>
    </rPh>
    <rPh sb="10" eb="12">
      <t>カイゴ</t>
    </rPh>
    <rPh sb="12" eb="14">
      <t>シセツ</t>
    </rPh>
    <phoneticPr fontId="2"/>
  </si>
  <si>
    <t>三ツ木935-1</t>
    <rPh sb="0" eb="1">
      <t>ミ</t>
    </rPh>
    <rPh sb="2" eb="3">
      <t>ギ</t>
    </rPh>
    <phoneticPr fontId="2"/>
  </si>
  <si>
    <t>350-2217</t>
    <phoneticPr fontId="2"/>
  </si>
  <si>
    <t>049-287-7456</t>
    <phoneticPr fontId="2"/>
  </si>
  <si>
    <t>東武東上線若葉駅からつるバス南北線「老人福祉センター」下車徒歩1分</t>
    <rPh sb="0" eb="5">
      <t>トウブトウジョウセン</t>
    </rPh>
    <rPh sb="5" eb="7">
      <t>ワカバ</t>
    </rPh>
    <rPh sb="7" eb="8">
      <t>エキ</t>
    </rPh>
    <rPh sb="14" eb="17">
      <t>ナンボクセン</t>
    </rPh>
    <rPh sb="18" eb="20">
      <t>ロウジン</t>
    </rPh>
    <rPh sb="20" eb="22">
      <t>フクシ</t>
    </rPh>
    <rPh sb="27" eb="29">
      <t>ゲシャ</t>
    </rPh>
    <rPh sb="29" eb="31">
      <t>トホ</t>
    </rPh>
    <rPh sb="32" eb="33">
      <t>フン</t>
    </rPh>
    <phoneticPr fontId="2"/>
  </si>
  <si>
    <t>(特非)こすもす</t>
    <rPh sb="0" eb="4">
      <t>トクヒ</t>
    </rPh>
    <phoneticPr fontId="2"/>
  </si>
  <si>
    <t>こすもすの家</t>
    <rPh sb="5" eb="6">
      <t>イエ</t>
    </rPh>
    <phoneticPr fontId="2"/>
  </si>
  <si>
    <t>関間4-3-24-2</t>
    <rPh sb="0" eb="1">
      <t>セキ</t>
    </rPh>
    <rPh sb="1" eb="2">
      <t>カン</t>
    </rPh>
    <phoneticPr fontId="2"/>
  </si>
  <si>
    <t>350-0215</t>
    <phoneticPr fontId="2"/>
  </si>
  <si>
    <t>049-298-8336</t>
    <phoneticPr fontId="2"/>
  </si>
  <si>
    <t>049-298-8326</t>
    <phoneticPr fontId="2"/>
  </si>
  <si>
    <t>（福）ウィング</t>
    <rPh sb="1" eb="2">
      <t>フク</t>
    </rPh>
    <phoneticPr fontId="2"/>
  </si>
  <si>
    <t>ぬくぬく</t>
    <phoneticPr fontId="2"/>
  </si>
  <si>
    <t>比企郡川島町</t>
    <rPh sb="0" eb="3">
      <t>ヒキグン</t>
    </rPh>
    <rPh sb="3" eb="5">
      <t>カワジマ</t>
    </rPh>
    <rPh sb="5" eb="6">
      <t>マチ</t>
    </rPh>
    <phoneticPr fontId="2"/>
  </si>
  <si>
    <t>下八ツ林５７１番地１</t>
    <rPh sb="0" eb="1">
      <t>シモ</t>
    </rPh>
    <rPh sb="1" eb="2">
      <t>ハチ</t>
    </rPh>
    <rPh sb="3" eb="4">
      <t>ハヤシ</t>
    </rPh>
    <rPh sb="7" eb="8">
      <t>バン</t>
    </rPh>
    <rPh sb="8" eb="9">
      <t>チ</t>
    </rPh>
    <phoneticPr fontId="2"/>
  </si>
  <si>
    <t>東武東上線川越駅から東武バス鴻巣免許センター行き「八ツ林（川島町役場入口）」下車徒歩30分　※単独型</t>
    <rPh sb="44" eb="45">
      <t>フン</t>
    </rPh>
    <rPh sb="47" eb="50">
      <t>タンドクガタ</t>
    </rPh>
    <phoneticPr fontId="2"/>
  </si>
  <si>
    <t>東武東上線若葉駅から徒歩13分
※単独型（共同生活援助）</t>
    <rPh sb="0" eb="5">
      <t>トウブトウジョウセン</t>
    </rPh>
    <rPh sb="5" eb="7">
      <t>ワカバ</t>
    </rPh>
    <rPh sb="7" eb="8">
      <t>エキ</t>
    </rPh>
    <rPh sb="10" eb="12">
      <t>トホ</t>
    </rPh>
    <rPh sb="14" eb="15">
      <t>フン</t>
    </rPh>
    <rPh sb="17" eb="19">
      <t>タンドク</t>
    </rPh>
    <rPh sb="19" eb="20">
      <t>ガタ</t>
    </rPh>
    <rPh sb="21" eb="23">
      <t>キョウドウ</t>
    </rPh>
    <rPh sb="23" eb="25">
      <t>セイカツ</t>
    </rPh>
    <rPh sb="25" eb="27">
      <t>エンジョ</t>
    </rPh>
    <phoneticPr fontId="2"/>
  </si>
  <si>
    <t>東武東上線東松山駅からマイタウン循環バス「市営住宅」下車徒歩3分
※単独型（共同生活援助）</t>
    <rPh sb="0" eb="5">
      <t>トウブトウジョウセン</t>
    </rPh>
    <rPh sb="5" eb="9">
      <t>ヒガシマツヤマエキ</t>
    </rPh>
    <rPh sb="16" eb="18">
      <t>ジュンカン</t>
    </rPh>
    <rPh sb="21" eb="23">
      <t>シエイ</t>
    </rPh>
    <rPh sb="23" eb="25">
      <t>ジュウタク</t>
    </rPh>
    <rPh sb="26" eb="28">
      <t>ゲシャ</t>
    </rPh>
    <rPh sb="28" eb="30">
      <t>トホ</t>
    </rPh>
    <rPh sb="31" eb="32">
      <t>フン</t>
    </rPh>
    <rPh sb="34" eb="36">
      <t>タンドク</t>
    </rPh>
    <rPh sb="36" eb="37">
      <t>ガタ</t>
    </rPh>
    <phoneticPr fontId="2"/>
  </si>
  <si>
    <t>(福)かつみ会</t>
    <rPh sb="1" eb="2">
      <t>フク</t>
    </rPh>
    <rPh sb="6" eb="7">
      <t>カイ</t>
    </rPh>
    <phoneticPr fontId="2"/>
  </si>
  <si>
    <t>今泉字山下789-1</t>
    <rPh sb="0" eb="1">
      <t>イマ</t>
    </rPh>
    <rPh sb="1" eb="2">
      <t>イズミ</t>
    </rPh>
    <rPh sb="2" eb="3">
      <t>アザ</t>
    </rPh>
    <rPh sb="3" eb="5">
      <t>ヤマシタ</t>
    </rPh>
    <phoneticPr fontId="2"/>
  </si>
  <si>
    <t>高崎線岡部駅から車で10分</t>
    <rPh sb="0" eb="3">
      <t>タカサキセン</t>
    </rPh>
    <rPh sb="3" eb="5">
      <t>オカベ</t>
    </rPh>
    <rPh sb="5" eb="6">
      <t>エキ</t>
    </rPh>
    <rPh sb="8" eb="9">
      <t>クルマ</t>
    </rPh>
    <rPh sb="12" eb="13">
      <t>フン</t>
    </rPh>
    <phoneticPr fontId="2"/>
  </si>
  <si>
    <t>秩父鉄道大野原駅から徒歩26分</t>
    <rPh sb="0" eb="2">
      <t>チチブ</t>
    </rPh>
    <rPh sb="2" eb="4">
      <t>テツドウ</t>
    </rPh>
    <rPh sb="4" eb="7">
      <t>オオノハラ</t>
    </rPh>
    <rPh sb="7" eb="8">
      <t>エキ</t>
    </rPh>
    <rPh sb="10" eb="12">
      <t>トホ</t>
    </rPh>
    <rPh sb="14" eb="15">
      <t>フン</t>
    </rPh>
    <phoneticPr fontId="2"/>
  </si>
  <si>
    <t>地域移行型ホームさやか</t>
    <rPh sb="0" eb="2">
      <t>チイキ</t>
    </rPh>
    <rPh sb="2" eb="5">
      <t>イコウガタ</t>
    </rPh>
    <phoneticPr fontId="2"/>
  </si>
  <si>
    <t>0494-24-9956</t>
    <phoneticPr fontId="2"/>
  </si>
  <si>
    <t>0494-22-7910</t>
    <phoneticPr fontId="2"/>
  </si>
  <si>
    <t>○</t>
    <phoneticPr fontId="2"/>
  </si>
  <si>
    <t>秩父鉄道大野原駅から徒歩26分
※共同生活援助との併設</t>
    <rPh sb="0" eb="2">
      <t>チチブ</t>
    </rPh>
    <rPh sb="2" eb="4">
      <t>テツドウ</t>
    </rPh>
    <rPh sb="4" eb="7">
      <t>オオノハラ</t>
    </rPh>
    <rPh sb="7" eb="8">
      <t>エキ</t>
    </rPh>
    <rPh sb="10" eb="12">
      <t>トホ</t>
    </rPh>
    <rPh sb="14" eb="15">
      <t>フン</t>
    </rPh>
    <phoneticPr fontId="2"/>
  </si>
  <si>
    <t>(福)歩む会福祉会</t>
    <rPh sb="1" eb="2">
      <t>フク</t>
    </rPh>
    <rPh sb="3" eb="4">
      <t>アユ</t>
    </rPh>
    <rPh sb="5" eb="6">
      <t>カイ</t>
    </rPh>
    <rPh sb="6" eb="8">
      <t>フクシ</t>
    </rPh>
    <rPh sb="8" eb="9">
      <t>カイ</t>
    </rPh>
    <phoneticPr fontId="2"/>
  </si>
  <si>
    <t>367-0107</t>
    <phoneticPr fontId="2"/>
  </si>
  <si>
    <t>0495-76-3867</t>
    <phoneticPr fontId="2"/>
  </si>
  <si>
    <t>高崎線岡部駅から車で10分
※共同生活援助との併設</t>
    <rPh sb="0" eb="3">
      <t>タカサキセン</t>
    </rPh>
    <rPh sb="3" eb="5">
      <t>オカベ</t>
    </rPh>
    <rPh sb="5" eb="6">
      <t>エキ</t>
    </rPh>
    <rPh sb="8" eb="9">
      <t>クルマ</t>
    </rPh>
    <rPh sb="12" eb="13">
      <t>フン</t>
    </rPh>
    <phoneticPr fontId="2"/>
  </si>
  <si>
    <t>ワークハウスエンゼル</t>
  </si>
  <si>
    <t>367-0215</t>
  </si>
  <si>
    <t>048-546-1230</t>
  </si>
  <si>
    <t>048-546-1231</t>
  </si>
  <si>
    <t>春日部市・(福)春日部市社会福祉協議会</t>
    <rPh sb="0" eb="4">
      <t>カスカベシ</t>
    </rPh>
    <rPh sb="6" eb="7">
      <t>フク</t>
    </rPh>
    <rPh sb="8" eb="12">
      <t>カスカベシ</t>
    </rPh>
    <rPh sb="12" eb="14">
      <t>シャカイ</t>
    </rPh>
    <rPh sb="14" eb="16">
      <t>フクシ</t>
    </rPh>
    <rPh sb="16" eb="19">
      <t>キョウギカイ</t>
    </rPh>
    <phoneticPr fontId="2"/>
  </si>
  <si>
    <t>リサイクルショップ</t>
    <phoneticPr fontId="2"/>
  </si>
  <si>
    <t>048-752-7467</t>
    <phoneticPr fontId="2"/>
  </si>
  <si>
    <t>○</t>
    <phoneticPr fontId="2"/>
  </si>
  <si>
    <t>048-456-1400</t>
    <phoneticPr fontId="2"/>
  </si>
  <si>
    <t>048-456-1401</t>
    <phoneticPr fontId="2"/>
  </si>
  <si>
    <t>ななほし</t>
    <phoneticPr fontId="2"/>
  </si>
  <si>
    <t>337-0012</t>
    <phoneticPr fontId="2"/>
  </si>
  <si>
    <t>048-681-7744</t>
    <phoneticPr fontId="2"/>
  </si>
  <si>
    <t>048-681-7745</t>
    <phoneticPr fontId="2"/>
  </si>
  <si>
    <t>西区三橋6-21-2</t>
    <rPh sb="0" eb="2">
      <t>ニシク</t>
    </rPh>
    <rPh sb="2" eb="3">
      <t>サン</t>
    </rPh>
    <rPh sb="3" eb="4">
      <t>ハシ</t>
    </rPh>
    <phoneticPr fontId="2"/>
  </si>
  <si>
    <t>331-0052</t>
    <phoneticPr fontId="2"/>
  </si>
  <si>
    <t>048-620-6373</t>
    <phoneticPr fontId="2"/>
  </si>
  <si>
    <t>就労継続支援B型事業所ラボリ川越</t>
    <rPh sb="0" eb="2">
      <t>シュウロウ</t>
    </rPh>
    <rPh sb="2" eb="4">
      <t>ケイゾク</t>
    </rPh>
    <rPh sb="4" eb="6">
      <t>シエン</t>
    </rPh>
    <rPh sb="7" eb="8">
      <t>カタ</t>
    </rPh>
    <rPh sb="8" eb="11">
      <t>ジギョウショ</t>
    </rPh>
    <rPh sb="14" eb="16">
      <t>カワゴエ</t>
    </rPh>
    <phoneticPr fontId="2"/>
  </si>
  <si>
    <t>350-1165</t>
    <phoneticPr fontId="2"/>
  </si>
  <si>
    <t>○</t>
    <phoneticPr fontId="2"/>
  </si>
  <si>
    <t>和光市就労継続B型事業所（精神障害者）ワンステップ</t>
    <rPh sb="3" eb="5">
      <t>シュウロウ</t>
    </rPh>
    <rPh sb="5" eb="7">
      <t>ケイゾク</t>
    </rPh>
    <rPh sb="8" eb="9">
      <t>カタ</t>
    </rPh>
    <rPh sb="9" eb="12">
      <t>ジギョウショ</t>
    </rPh>
    <rPh sb="13" eb="15">
      <t>セイシン</t>
    </rPh>
    <rPh sb="15" eb="18">
      <t>ショウガイシャ</t>
    </rPh>
    <phoneticPr fontId="2"/>
  </si>
  <si>
    <t>和光市</t>
    <phoneticPr fontId="2"/>
  </si>
  <si>
    <t>351-0104</t>
    <phoneticPr fontId="2"/>
  </si>
  <si>
    <t>048-452-7108</t>
    <phoneticPr fontId="2"/>
  </si>
  <si>
    <t>048-452-7109</t>
    <phoneticPr fontId="2"/>
  </si>
  <si>
    <t>東武東上線和光市駅南口から司法研修所循環バス「司法研修所前」下車３分</t>
    <rPh sb="0" eb="2">
      <t>トウブ</t>
    </rPh>
    <rPh sb="2" eb="5">
      <t>トウジョウセン</t>
    </rPh>
    <rPh sb="5" eb="8">
      <t>ワコウシ</t>
    </rPh>
    <rPh sb="8" eb="9">
      <t>エキ</t>
    </rPh>
    <rPh sb="9" eb="10">
      <t>ミナミ</t>
    </rPh>
    <rPh sb="10" eb="11">
      <t>クチ</t>
    </rPh>
    <rPh sb="13" eb="15">
      <t>シホウ</t>
    </rPh>
    <rPh sb="15" eb="17">
      <t>ケンシュウ</t>
    </rPh>
    <rPh sb="17" eb="18">
      <t>ジョ</t>
    </rPh>
    <rPh sb="18" eb="20">
      <t>ジュンカン</t>
    </rPh>
    <rPh sb="23" eb="25">
      <t>シホウ</t>
    </rPh>
    <rPh sb="25" eb="27">
      <t>ケンシュウ</t>
    </rPh>
    <rPh sb="27" eb="28">
      <t>ジョ</t>
    </rPh>
    <rPh sb="28" eb="29">
      <t>マエ</t>
    </rPh>
    <rPh sb="30" eb="32">
      <t>ゲシャ</t>
    </rPh>
    <rPh sb="33" eb="34">
      <t>フン</t>
    </rPh>
    <phoneticPr fontId="2"/>
  </si>
  <si>
    <t>048-580-7707</t>
    <phoneticPr fontId="2"/>
  </si>
  <si>
    <t>048-585-2018</t>
    <phoneticPr fontId="2"/>
  </si>
  <si>
    <t>東武七里駅から徒歩２５分</t>
    <phoneticPr fontId="2"/>
  </si>
  <si>
    <t>（株）吉田フロアー</t>
    <rPh sb="0" eb="3">
      <t>カブ</t>
    </rPh>
    <rPh sb="3" eb="5">
      <t>ヨシダ</t>
    </rPh>
    <phoneticPr fontId="2"/>
  </si>
  <si>
    <t>(福)希求会</t>
    <rPh sb="1" eb="2">
      <t>フク</t>
    </rPh>
    <rPh sb="3" eb="5">
      <t>キキュウ</t>
    </rPh>
    <rPh sb="5" eb="6">
      <t>カイ</t>
    </rPh>
    <phoneticPr fontId="2"/>
  </si>
  <si>
    <t>見沼区東宮下1-68</t>
    <rPh sb="0" eb="2">
      <t>ミヌマ</t>
    </rPh>
    <rPh sb="2" eb="3">
      <t>ク</t>
    </rPh>
    <rPh sb="3" eb="4">
      <t>ヒガシ</t>
    </rPh>
    <rPh sb="4" eb="6">
      <t>ミヤシタ</t>
    </rPh>
    <phoneticPr fontId="2"/>
  </si>
  <si>
    <t>(同)ラボリ</t>
    <rPh sb="1" eb="2">
      <t>ドウ</t>
    </rPh>
    <phoneticPr fontId="2"/>
  </si>
  <si>
    <t>西大宮駅から徒歩20分</t>
    <phoneticPr fontId="2"/>
  </si>
  <si>
    <t>(特非)笑楽工房</t>
    <rPh sb="1" eb="2">
      <t>トク</t>
    </rPh>
    <rPh sb="2" eb="3">
      <t>ヒ</t>
    </rPh>
    <rPh sb="4" eb="5">
      <t>ワラ</t>
    </rPh>
    <rPh sb="5" eb="6">
      <t>ラク</t>
    </rPh>
    <rPh sb="6" eb="8">
      <t>コウボウ</t>
    </rPh>
    <phoneticPr fontId="2"/>
  </si>
  <si>
    <t>369-1871</t>
    <phoneticPr fontId="2"/>
  </si>
  <si>
    <t>0494-26-5990</t>
    <phoneticPr fontId="2"/>
  </si>
  <si>
    <t>0494-26-5991</t>
    <phoneticPr fontId="2"/>
  </si>
  <si>
    <t>（株）Ｎｅｘｔ</t>
    <rPh sb="0" eb="3">
      <t>カブ</t>
    </rPh>
    <phoneticPr fontId="2"/>
  </si>
  <si>
    <t>比企郡滑川町</t>
    <rPh sb="0" eb="3">
      <t>ヒキグン</t>
    </rPh>
    <rPh sb="3" eb="5">
      <t>ナメガワ</t>
    </rPh>
    <rPh sb="5" eb="6">
      <t>マチ</t>
    </rPh>
    <phoneticPr fontId="2"/>
  </si>
  <si>
    <t>0493-62-1862</t>
    <phoneticPr fontId="2"/>
  </si>
  <si>
    <t>350-2211</t>
    <phoneticPr fontId="2"/>
  </si>
  <si>
    <t>049-299-5735</t>
    <phoneticPr fontId="2"/>
  </si>
  <si>
    <t>049-299-5736</t>
    <phoneticPr fontId="2"/>
  </si>
  <si>
    <t>ウェルフェアD狭山Ⅱ</t>
    <rPh sb="7" eb="9">
      <t>サヤマ</t>
    </rPh>
    <phoneticPr fontId="2"/>
  </si>
  <si>
    <t>西武新宿線狭山市駅下車徒歩４分</t>
    <rPh sb="0" eb="5">
      <t>セイブシンジュクセン</t>
    </rPh>
    <rPh sb="5" eb="7">
      <t>サヤマ</t>
    </rPh>
    <rPh sb="7" eb="8">
      <t>シ</t>
    </rPh>
    <rPh sb="8" eb="9">
      <t>エキ</t>
    </rPh>
    <rPh sb="9" eb="11">
      <t>ゲシャ</t>
    </rPh>
    <rPh sb="11" eb="13">
      <t>トホ</t>
    </rPh>
    <rPh sb="14" eb="15">
      <t>フン</t>
    </rPh>
    <phoneticPr fontId="2"/>
  </si>
  <si>
    <t>(株)日本クリード</t>
    <rPh sb="0" eb="3">
      <t>カブ</t>
    </rPh>
    <rPh sb="3" eb="5">
      <t>ニホン</t>
    </rPh>
    <phoneticPr fontId="2"/>
  </si>
  <si>
    <t>東大輪字菱田1004-3</t>
    <rPh sb="0" eb="1">
      <t>ヒガシ</t>
    </rPh>
    <rPh sb="1" eb="2">
      <t>ダイ</t>
    </rPh>
    <rPh sb="2" eb="3">
      <t>ワ</t>
    </rPh>
    <rPh sb="3" eb="4">
      <t>アザ</t>
    </rPh>
    <rPh sb="4" eb="6">
      <t>ヒシダ</t>
    </rPh>
    <phoneticPr fontId="2"/>
  </si>
  <si>
    <t>宇都宮線東鷲宮駅下車東口から徒歩12分</t>
    <rPh sb="0" eb="3">
      <t>ウツノミヤ</t>
    </rPh>
    <rPh sb="3" eb="4">
      <t>セン</t>
    </rPh>
    <rPh sb="4" eb="5">
      <t>ヒガシ</t>
    </rPh>
    <rPh sb="5" eb="7">
      <t>ワシミヤ</t>
    </rPh>
    <rPh sb="7" eb="8">
      <t>エキ</t>
    </rPh>
    <rPh sb="8" eb="10">
      <t>ゲシャ</t>
    </rPh>
    <rPh sb="10" eb="12">
      <t>ヒガシグチ</t>
    </rPh>
    <rPh sb="14" eb="16">
      <t>トホ</t>
    </rPh>
    <rPh sb="18" eb="19">
      <t>フン</t>
    </rPh>
    <phoneticPr fontId="2"/>
  </si>
  <si>
    <t>(特非）くるみの木</t>
    <rPh sb="1" eb="2">
      <t>トク</t>
    </rPh>
    <rPh sb="2" eb="3">
      <t>ヒ</t>
    </rPh>
    <rPh sb="8" eb="9">
      <t>キ</t>
    </rPh>
    <phoneticPr fontId="2"/>
  </si>
  <si>
    <t>ワークステーションくるみの木</t>
    <rPh sb="13" eb="14">
      <t>キ</t>
    </rPh>
    <phoneticPr fontId="2"/>
  </si>
  <si>
    <t>本川越駅下車徒歩7分</t>
    <rPh sb="0" eb="1">
      <t>ホン</t>
    </rPh>
    <rPh sb="1" eb="3">
      <t>カワゴエ</t>
    </rPh>
    <rPh sb="3" eb="4">
      <t>エキ</t>
    </rPh>
    <rPh sb="4" eb="6">
      <t>ゲシャ</t>
    </rPh>
    <rPh sb="6" eb="8">
      <t>トホ</t>
    </rPh>
    <rPh sb="9" eb="10">
      <t>フン</t>
    </rPh>
    <phoneticPr fontId="2"/>
  </si>
  <si>
    <t>カルディアこしがや</t>
    <phoneticPr fontId="2"/>
  </si>
  <si>
    <t>343-0845</t>
  </si>
  <si>
    <t>048-999-6703</t>
    <phoneticPr fontId="2"/>
  </si>
  <si>
    <t>048-999-6704</t>
    <phoneticPr fontId="2"/>
  </si>
  <si>
    <t>(株)カルディアコーポレーション</t>
    <rPh sb="0" eb="3">
      <t>カブ</t>
    </rPh>
    <phoneticPr fontId="2"/>
  </si>
  <si>
    <t>(株)あおいの杜</t>
    <rPh sb="0" eb="3">
      <t>カブ</t>
    </rPh>
    <rPh sb="7" eb="8">
      <t>モリ</t>
    </rPh>
    <phoneticPr fontId="2"/>
  </si>
  <si>
    <t>0493-74-0089</t>
    <phoneticPr fontId="2"/>
  </si>
  <si>
    <t>04-2941-3179</t>
    <phoneticPr fontId="2"/>
  </si>
  <si>
    <t>04-2941-3189</t>
    <phoneticPr fontId="2"/>
  </si>
  <si>
    <t>(福)埼玉医療福祉会</t>
    <rPh sb="0" eb="3">
      <t>フク</t>
    </rPh>
    <rPh sb="3" eb="5">
      <t>サイタマ</t>
    </rPh>
    <rPh sb="5" eb="7">
      <t>イリョウ</t>
    </rPh>
    <rPh sb="7" eb="9">
      <t>フクシ</t>
    </rPh>
    <rPh sb="9" eb="10">
      <t>カイ</t>
    </rPh>
    <phoneticPr fontId="2"/>
  </si>
  <si>
    <t>(株)千手</t>
    <rPh sb="0" eb="3">
      <t>カブ</t>
    </rPh>
    <rPh sb="3" eb="5">
      <t>センジュ</t>
    </rPh>
    <phoneticPr fontId="2"/>
  </si>
  <si>
    <t>ジョブセンター熊谷</t>
    <rPh sb="7" eb="9">
      <t>クマガヤ</t>
    </rPh>
    <phoneticPr fontId="2"/>
  </si>
  <si>
    <t>048-501-8917</t>
    <phoneticPr fontId="2"/>
  </si>
  <si>
    <t>048-501-8928</t>
    <phoneticPr fontId="2"/>
  </si>
  <si>
    <t>千乃詩</t>
    <rPh sb="0" eb="1">
      <t>セン</t>
    </rPh>
    <rPh sb="1" eb="2">
      <t>ノ</t>
    </rPh>
    <rPh sb="2" eb="3">
      <t>ウタ</t>
    </rPh>
    <phoneticPr fontId="3"/>
  </si>
  <si>
    <t>岩槻区徳力245-4</t>
    <rPh sb="0" eb="2">
      <t>イワツキ</t>
    </rPh>
    <rPh sb="2" eb="3">
      <t>ク</t>
    </rPh>
    <rPh sb="3" eb="5">
      <t>トクリキ</t>
    </rPh>
    <phoneticPr fontId="2"/>
  </si>
  <si>
    <t>048-794-8723</t>
  </si>
  <si>
    <t>048-794-8724</t>
  </si>
  <si>
    <t>339-0004</t>
    <phoneticPr fontId="2"/>
  </si>
  <si>
    <t>東岩槻駅から徒歩１０分</t>
    <phoneticPr fontId="2"/>
  </si>
  <si>
    <t>熊谷駅から徒歩１分</t>
    <rPh sb="0" eb="2">
      <t>クマガヤ</t>
    </rPh>
    <rPh sb="2" eb="3">
      <t>エキ</t>
    </rPh>
    <rPh sb="5" eb="7">
      <t>トホ</t>
    </rPh>
    <rPh sb="8" eb="9">
      <t>フン</t>
    </rPh>
    <phoneticPr fontId="2"/>
  </si>
  <si>
    <t>桜木町1-137サンライズ桜木・堀口第２ビル</t>
    <rPh sb="0" eb="3">
      <t>サクラギチョウ</t>
    </rPh>
    <rPh sb="13" eb="15">
      <t>サクラギ</t>
    </rPh>
    <rPh sb="16" eb="18">
      <t>ホリグチ</t>
    </rPh>
    <rPh sb="18" eb="19">
      <t>ダイ</t>
    </rPh>
    <phoneticPr fontId="2"/>
  </si>
  <si>
    <t>浦和区東高砂町17-10　シゲビル2Ｆ</t>
    <rPh sb="0" eb="2">
      <t>ウラワ</t>
    </rPh>
    <rPh sb="2" eb="3">
      <t>ク</t>
    </rPh>
    <rPh sb="3" eb="4">
      <t>ヒガシ</t>
    </rPh>
    <rPh sb="4" eb="7">
      <t>タカサゴチョウ</t>
    </rPh>
    <phoneticPr fontId="4"/>
  </si>
  <si>
    <t>048-711-5986</t>
  </si>
  <si>
    <t>048-711-5987</t>
  </si>
  <si>
    <t>浦和駅から徒歩７分</t>
    <phoneticPr fontId="2"/>
  </si>
  <si>
    <t>ふりーじあ</t>
  </si>
  <si>
    <t>340-0202</t>
  </si>
  <si>
    <t>0480-53-6796</t>
  </si>
  <si>
    <t>○</t>
    <phoneticPr fontId="2"/>
  </si>
  <si>
    <t>リノ</t>
    <phoneticPr fontId="2"/>
  </si>
  <si>
    <t>362-0035</t>
    <phoneticPr fontId="2"/>
  </si>
  <si>
    <t>048-777-0300</t>
    <phoneticPr fontId="2"/>
  </si>
  <si>
    <t>048-777-0302</t>
    <phoneticPr fontId="2"/>
  </si>
  <si>
    <t>○</t>
    <phoneticPr fontId="2"/>
  </si>
  <si>
    <t>Ｋａｕｒｉ</t>
    <phoneticPr fontId="2"/>
  </si>
  <si>
    <t>362-0806</t>
    <phoneticPr fontId="2"/>
  </si>
  <si>
    <t>048-674-1117</t>
    <phoneticPr fontId="2"/>
  </si>
  <si>
    <t>048-674-1711</t>
    <phoneticPr fontId="2"/>
  </si>
  <si>
    <t>ニューシャトル丸山駅から徒歩７分　赤羽前バス停下車徒歩１分</t>
    <rPh sb="7" eb="9">
      <t>マルヤマ</t>
    </rPh>
    <rPh sb="9" eb="10">
      <t>エキ</t>
    </rPh>
    <rPh sb="12" eb="14">
      <t>トホ</t>
    </rPh>
    <rPh sb="15" eb="16">
      <t>フン</t>
    </rPh>
    <rPh sb="17" eb="19">
      <t>アカバネ</t>
    </rPh>
    <rPh sb="19" eb="20">
      <t>マエ</t>
    </rPh>
    <rPh sb="22" eb="23">
      <t>テイ</t>
    </rPh>
    <rPh sb="23" eb="25">
      <t>ゲシャ</t>
    </rPh>
    <rPh sb="25" eb="27">
      <t>トホ</t>
    </rPh>
    <rPh sb="28" eb="29">
      <t>プン</t>
    </rPh>
    <phoneticPr fontId="2"/>
  </si>
  <si>
    <t>北足立郡伊奈町</t>
    <phoneticPr fontId="2"/>
  </si>
  <si>
    <t>Wela International(株)</t>
    <rPh sb="18" eb="21">
      <t>カブ</t>
    </rPh>
    <phoneticPr fontId="2"/>
  </si>
  <si>
    <t>(同)ソレイユ</t>
    <rPh sb="1" eb="2">
      <t>ドウ</t>
    </rPh>
    <phoneticPr fontId="2"/>
  </si>
  <si>
    <t>大字小室字丸山1404-12</t>
    <rPh sb="0" eb="2">
      <t>オオアザ</t>
    </rPh>
    <rPh sb="2" eb="4">
      <t>コムロ</t>
    </rPh>
    <rPh sb="4" eb="5">
      <t>アザ</t>
    </rPh>
    <rPh sb="5" eb="7">
      <t>マルヤマ</t>
    </rPh>
    <phoneticPr fontId="2"/>
  </si>
  <si>
    <t>仲町1-7-27</t>
    <rPh sb="0" eb="2">
      <t>ナカマチ</t>
    </rPh>
    <phoneticPr fontId="2"/>
  </si>
  <si>
    <t>JR高崎線上尾駅から徒歩１分</t>
    <rPh sb="2" eb="5">
      <t>タカサキセン</t>
    </rPh>
    <rPh sb="5" eb="7">
      <t>アゲオ</t>
    </rPh>
    <rPh sb="7" eb="8">
      <t>エキ</t>
    </rPh>
    <rPh sb="10" eb="12">
      <t>トホ</t>
    </rPh>
    <rPh sb="13" eb="14">
      <t>プン</t>
    </rPh>
    <phoneticPr fontId="2"/>
  </si>
  <si>
    <t>048-988-9999</t>
  </si>
  <si>
    <t>048-988-9989</t>
  </si>
  <si>
    <t>ＪＲ武蔵野線南越谷駅・東武伊勢崎線新越谷駅から徒歩1分</t>
    <rPh sb="2" eb="6">
      <t>ムサシノセン</t>
    </rPh>
    <rPh sb="6" eb="10">
      <t>ミナミコシガヤエキ</t>
    </rPh>
    <rPh sb="11" eb="13">
      <t>トウブ</t>
    </rPh>
    <rPh sb="17" eb="18">
      <t>シン</t>
    </rPh>
    <phoneticPr fontId="2"/>
  </si>
  <si>
    <t>南越谷1-19-5森ビル3Ｆ</t>
    <rPh sb="0" eb="3">
      <t>ミナミコシガヤ</t>
    </rPh>
    <rPh sb="9" eb="10">
      <t>モリ</t>
    </rPh>
    <phoneticPr fontId="2"/>
  </si>
  <si>
    <t>けやき台2-41-1</t>
    <rPh sb="3" eb="4">
      <t>ダイ</t>
    </rPh>
    <phoneticPr fontId="2"/>
  </si>
  <si>
    <t>04-2968-8831</t>
    <phoneticPr fontId="2"/>
  </si>
  <si>
    <t>西武新宿線新所沢駅下車徒歩8分</t>
    <rPh sb="0" eb="2">
      <t>セイブ</t>
    </rPh>
    <rPh sb="2" eb="4">
      <t>シンジュク</t>
    </rPh>
    <rPh sb="4" eb="5">
      <t>セン</t>
    </rPh>
    <rPh sb="5" eb="8">
      <t>シントコロザワ</t>
    </rPh>
    <rPh sb="8" eb="9">
      <t>エキ</t>
    </rPh>
    <rPh sb="9" eb="11">
      <t>ゲシャ</t>
    </rPh>
    <rPh sb="11" eb="13">
      <t>トホ</t>
    </rPh>
    <rPh sb="14" eb="15">
      <t>フン</t>
    </rPh>
    <phoneticPr fontId="2"/>
  </si>
  <si>
    <t>（特非）たらちね</t>
    <rPh sb="1" eb="2">
      <t>トク</t>
    </rPh>
    <rPh sb="2" eb="3">
      <t>ヒ</t>
    </rPh>
    <phoneticPr fontId="2"/>
  </si>
  <si>
    <t>048-950-8891</t>
    <phoneticPr fontId="2"/>
  </si>
  <si>
    <t>ショートステイ・とまり木</t>
    <rPh sb="11" eb="12">
      <t>キ</t>
    </rPh>
    <phoneticPr fontId="2"/>
  </si>
  <si>
    <t>高崎線岡部駅から徒歩30分
※共同生活援助との併設</t>
    <rPh sb="0" eb="3">
      <t>タカサキセン</t>
    </rPh>
    <rPh sb="3" eb="5">
      <t>オカベ</t>
    </rPh>
    <rPh sb="5" eb="6">
      <t>エキ</t>
    </rPh>
    <rPh sb="8" eb="10">
      <t>トホ</t>
    </rPh>
    <rPh sb="12" eb="13">
      <t>フン</t>
    </rPh>
    <rPh sb="15" eb="21">
      <t>キョウドウセイカツエンジョ</t>
    </rPh>
    <rPh sb="23" eb="25">
      <t>ヘイセツ</t>
    </rPh>
    <phoneticPr fontId="2"/>
  </si>
  <si>
    <t>（特非）あやの郷福祉会</t>
    <rPh sb="1" eb="2">
      <t>トク</t>
    </rPh>
    <rPh sb="2" eb="3">
      <t>ヒ</t>
    </rPh>
    <rPh sb="7" eb="8">
      <t>サト</t>
    </rPh>
    <rPh sb="8" eb="10">
      <t>フクシ</t>
    </rPh>
    <rPh sb="10" eb="11">
      <t>カイ</t>
    </rPh>
    <phoneticPr fontId="2"/>
  </si>
  <si>
    <t>大字川角2196-10</t>
    <rPh sb="0" eb="2">
      <t>オオアザ</t>
    </rPh>
    <rPh sb="2" eb="3">
      <t>カワ</t>
    </rPh>
    <rPh sb="3" eb="4">
      <t>カド</t>
    </rPh>
    <phoneticPr fontId="2"/>
  </si>
  <si>
    <t>049-227-9303</t>
    <phoneticPr fontId="2"/>
  </si>
  <si>
    <t>049-227-9307</t>
    <phoneticPr fontId="2"/>
  </si>
  <si>
    <t>(株)M＆Sパートナーズ</t>
    <rPh sb="1" eb="2">
      <t>カブ</t>
    </rPh>
    <phoneticPr fontId="2"/>
  </si>
  <si>
    <t>グループホームにいざの智</t>
    <rPh sb="11" eb="12">
      <t>チ</t>
    </rPh>
    <phoneticPr fontId="2"/>
  </si>
  <si>
    <t>048-483-8844</t>
    <phoneticPr fontId="2"/>
  </si>
  <si>
    <t>048-483-8845</t>
    <phoneticPr fontId="2"/>
  </si>
  <si>
    <t>池田3-7-16</t>
    <rPh sb="0" eb="2">
      <t>イケダ</t>
    </rPh>
    <phoneticPr fontId="2"/>
  </si>
  <si>
    <t>西武池袋線ひばりヶ丘駅から西武バス朝霞台駅行き「あけぼの住宅前」下車徒歩10分　※共同生活援助との併設</t>
    <rPh sb="0" eb="2">
      <t>セイブ</t>
    </rPh>
    <rPh sb="2" eb="4">
      <t>イケブクロ</t>
    </rPh>
    <rPh sb="4" eb="5">
      <t>セン</t>
    </rPh>
    <rPh sb="9" eb="10">
      <t>オカ</t>
    </rPh>
    <rPh sb="10" eb="11">
      <t>エキ</t>
    </rPh>
    <rPh sb="13" eb="15">
      <t>セイブ</t>
    </rPh>
    <rPh sb="17" eb="20">
      <t>アサカダイ</t>
    </rPh>
    <rPh sb="20" eb="21">
      <t>エキ</t>
    </rPh>
    <rPh sb="21" eb="22">
      <t>イキ</t>
    </rPh>
    <rPh sb="28" eb="30">
      <t>ジュウタク</t>
    </rPh>
    <rPh sb="30" eb="31">
      <t>マエ</t>
    </rPh>
    <rPh sb="32" eb="34">
      <t>ゲシャ</t>
    </rPh>
    <rPh sb="34" eb="36">
      <t>トホ</t>
    </rPh>
    <rPh sb="38" eb="39">
      <t>フン</t>
    </rPh>
    <phoneticPr fontId="2"/>
  </si>
  <si>
    <t>プラスハート</t>
  </si>
  <si>
    <t>緑丘1-3-19</t>
    <rPh sb="0" eb="1">
      <t>ミドリ</t>
    </rPh>
    <rPh sb="1" eb="2">
      <t>オカ</t>
    </rPh>
    <phoneticPr fontId="2"/>
  </si>
  <si>
    <t>362-0015</t>
    <phoneticPr fontId="2"/>
  </si>
  <si>
    <t>高崎線北上尾駅下車徒歩7分</t>
    <rPh sb="0" eb="2">
      <t>タカサキ</t>
    </rPh>
    <rPh sb="2" eb="3">
      <t>セン</t>
    </rPh>
    <rPh sb="3" eb="6">
      <t>キタアゲオ</t>
    </rPh>
    <rPh sb="6" eb="7">
      <t>エキ</t>
    </rPh>
    <rPh sb="7" eb="9">
      <t>ゲシャ</t>
    </rPh>
    <rPh sb="9" eb="11">
      <t>トホ</t>
    </rPh>
    <rPh sb="12" eb="13">
      <t>フン</t>
    </rPh>
    <phoneticPr fontId="2"/>
  </si>
  <si>
    <t>350-0046</t>
  </si>
  <si>
    <t>049-229-5788</t>
  </si>
  <si>
    <t>049-229-5789</t>
  </si>
  <si>
    <t>ＮＥＸＴ　ＡＩＲ</t>
  </si>
  <si>
    <t>048-782-8047</t>
  </si>
  <si>
    <t>048-782-8057</t>
  </si>
  <si>
    <t>048-993-3000</t>
    <phoneticPr fontId="2"/>
  </si>
  <si>
    <t>グループホームまごころ</t>
    <phoneticPr fontId="2"/>
  </si>
  <si>
    <t>343-0102</t>
    <phoneticPr fontId="2"/>
  </si>
  <si>
    <t>048-993-3000</t>
    <phoneticPr fontId="2"/>
  </si>
  <si>
    <t>東武伊勢崎線せんげん台駅から茨城急行バス松伏役場前行き「前原停留所」下車徒歩3分　※共同生活援助との併設</t>
    <rPh sb="0" eb="2">
      <t>トウブ</t>
    </rPh>
    <rPh sb="2" eb="5">
      <t>イセサキ</t>
    </rPh>
    <rPh sb="5" eb="6">
      <t>セン</t>
    </rPh>
    <rPh sb="10" eb="11">
      <t>ダイ</t>
    </rPh>
    <rPh sb="11" eb="12">
      <t>エキ</t>
    </rPh>
    <rPh sb="14" eb="16">
      <t>イバラキ</t>
    </rPh>
    <rPh sb="16" eb="18">
      <t>キュウコウ</t>
    </rPh>
    <rPh sb="20" eb="22">
      <t>マツブシ</t>
    </rPh>
    <rPh sb="22" eb="24">
      <t>ヤクバ</t>
    </rPh>
    <rPh sb="24" eb="25">
      <t>マエ</t>
    </rPh>
    <rPh sb="25" eb="26">
      <t>イ</t>
    </rPh>
    <rPh sb="28" eb="30">
      <t>マエハラ</t>
    </rPh>
    <rPh sb="30" eb="32">
      <t>テイリュウ</t>
    </rPh>
    <rPh sb="32" eb="33">
      <t>トコロ</t>
    </rPh>
    <rPh sb="34" eb="36">
      <t>ゲシャ</t>
    </rPh>
    <rPh sb="36" eb="38">
      <t>トホ</t>
    </rPh>
    <rPh sb="39" eb="40">
      <t>フン</t>
    </rPh>
    <rPh sb="42" eb="48">
      <t>キョウドウセイカツエンジョ</t>
    </rPh>
    <rPh sb="50" eb="52">
      <t>ヘイセツ</t>
    </rPh>
    <phoneticPr fontId="2"/>
  </si>
  <si>
    <t>つくばエクスプレス八潮駅北口から東武バス草加駅東口行き「八潮市役所」下車徒歩１分　※単独型事業所の短期入所</t>
    <rPh sb="9" eb="11">
      <t>ヤシオ</t>
    </rPh>
    <rPh sb="11" eb="12">
      <t>エキ</t>
    </rPh>
    <rPh sb="12" eb="14">
      <t>キタグチ</t>
    </rPh>
    <rPh sb="16" eb="18">
      <t>トウブ</t>
    </rPh>
    <rPh sb="20" eb="22">
      <t>ソウカ</t>
    </rPh>
    <rPh sb="22" eb="23">
      <t>エキ</t>
    </rPh>
    <rPh sb="23" eb="24">
      <t>ヒガシ</t>
    </rPh>
    <rPh sb="24" eb="25">
      <t>グチ</t>
    </rPh>
    <rPh sb="25" eb="26">
      <t>イ</t>
    </rPh>
    <rPh sb="28" eb="33">
      <t>ヤシオシヤクショ</t>
    </rPh>
    <rPh sb="34" eb="36">
      <t>ゲシャ</t>
    </rPh>
    <rPh sb="36" eb="38">
      <t>トホ</t>
    </rPh>
    <rPh sb="39" eb="40">
      <t>フン</t>
    </rPh>
    <rPh sb="42" eb="45">
      <t>タンドクガタ</t>
    </rPh>
    <rPh sb="45" eb="48">
      <t>ジギョウショ</t>
    </rPh>
    <rPh sb="49" eb="51">
      <t>タンキ</t>
    </rPh>
    <rPh sb="51" eb="53">
      <t>ニュウショ</t>
    </rPh>
    <phoneticPr fontId="2"/>
  </si>
  <si>
    <t>川島608-1</t>
    <rPh sb="0" eb="2">
      <t>カワジマ</t>
    </rPh>
    <phoneticPr fontId="2"/>
  </si>
  <si>
    <t>048-764-2981</t>
    <phoneticPr fontId="2"/>
  </si>
  <si>
    <t>048-764-2982</t>
    <phoneticPr fontId="2"/>
  </si>
  <si>
    <t>○</t>
    <phoneticPr fontId="2"/>
  </si>
  <si>
    <t>（福）　昴</t>
    <rPh sb="1" eb="2">
      <t>フク</t>
    </rPh>
    <rPh sb="4" eb="5">
      <t>スバル</t>
    </rPh>
    <phoneticPr fontId="2"/>
  </si>
  <si>
    <t>楽しいわが家  生活介護事業所</t>
    <rPh sb="0" eb="1">
      <t>タノ</t>
    </rPh>
    <rPh sb="5" eb="6">
      <t>イエ</t>
    </rPh>
    <rPh sb="8" eb="10">
      <t>セイカツ</t>
    </rPh>
    <rPh sb="10" eb="12">
      <t>カイゴ</t>
    </rPh>
    <rPh sb="12" eb="15">
      <t>ジギョウショ</t>
    </rPh>
    <phoneticPr fontId="2"/>
  </si>
  <si>
    <t>歩む会  短期入所</t>
    <rPh sb="0" eb="1">
      <t>アユ</t>
    </rPh>
    <rPh sb="2" eb="3">
      <t>カイ</t>
    </rPh>
    <rPh sb="5" eb="7">
      <t>タンキ</t>
    </rPh>
    <rPh sb="7" eb="9">
      <t>ニュウショ</t>
    </rPh>
    <phoneticPr fontId="2"/>
  </si>
  <si>
    <t>ショートステイ  スマイル</t>
    <phoneticPr fontId="2"/>
  </si>
  <si>
    <t>越谷市・（福）越谷市社会福祉協議会</t>
    <rPh sb="0" eb="3">
      <t>コシガヤシ</t>
    </rPh>
    <rPh sb="5" eb="6">
      <t>フク</t>
    </rPh>
    <rPh sb="7" eb="10">
      <t>コシガヤシ</t>
    </rPh>
    <rPh sb="10" eb="12">
      <t>シャカイ</t>
    </rPh>
    <rPh sb="12" eb="14">
      <t>フクシ</t>
    </rPh>
    <rPh sb="14" eb="17">
      <t>キョウギカイ</t>
    </rPh>
    <phoneticPr fontId="2"/>
  </si>
  <si>
    <t>越谷市指定障害福祉サービス事業所「しらこばと」</t>
    <rPh sb="0" eb="3">
      <t>コシガヤシ</t>
    </rPh>
    <rPh sb="3" eb="5">
      <t>シテイ</t>
    </rPh>
    <rPh sb="5" eb="7">
      <t>ショウガイ</t>
    </rPh>
    <rPh sb="7" eb="9">
      <t>フクシ</t>
    </rPh>
    <rPh sb="13" eb="16">
      <t>ジギョウショ</t>
    </rPh>
    <phoneticPr fontId="2"/>
  </si>
  <si>
    <t>越谷市</t>
    <phoneticPr fontId="2"/>
  </si>
  <si>
    <t>増林5830-4</t>
    <rPh sb="0" eb="2">
      <t>マシバヤシ</t>
    </rPh>
    <phoneticPr fontId="2"/>
  </si>
  <si>
    <t>048-965-6541</t>
    <phoneticPr fontId="2"/>
  </si>
  <si>
    <t>048-960-5518</t>
    <phoneticPr fontId="2"/>
  </si>
  <si>
    <t>○</t>
    <phoneticPr fontId="2"/>
  </si>
  <si>
    <t>東武伊勢崎線越谷駅から市立病院行バス「越谷市立病院前」下車徒歩5分</t>
    <rPh sb="0" eb="2">
      <t>トウブ</t>
    </rPh>
    <rPh sb="2" eb="5">
      <t>イセサキ</t>
    </rPh>
    <rPh sb="5" eb="6">
      <t>セン</t>
    </rPh>
    <rPh sb="6" eb="8">
      <t>コシガヤ</t>
    </rPh>
    <rPh sb="8" eb="9">
      <t>エキ</t>
    </rPh>
    <rPh sb="11" eb="13">
      <t>イチリツ</t>
    </rPh>
    <rPh sb="13" eb="15">
      <t>ビョウイン</t>
    </rPh>
    <rPh sb="15" eb="16">
      <t>イ</t>
    </rPh>
    <rPh sb="19" eb="21">
      <t>コシガヤ</t>
    </rPh>
    <rPh sb="21" eb="23">
      <t>イチリツ</t>
    </rPh>
    <rPh sb="23" eb="25">
      <t>ビョウイン</t>
    </rPh>
    <rPh sb="25" eb="26">
      <t>マエ</t>
    </rPh>
    <rPh sb="27" eb="29">
      <t>ゲシャ</t>
    </rPh>
    <rPh sb="29" eb="31">
      <t>トホ</t>
    </rPh>
    <rPh sb="32" eb="33">
      <t>プン</t>
    </rPh>
    <phoneticPr fontId="2"/>
  </si>
  <si>
    <t>湯澤トレーニングセンター</t>
    <rPh sb="0" eb="2">
      <t>ユザワ</t>
    </rPh>
    <phoneticPr fontId="2"/>
  </si>
  <si>
    <t>(株)メディエクウス</t>
    <rPh sb="0" eb="3">
      <t>カブ</t>
    </rPh>
    <phoneticPr fontId="2"/>
  </si>
  <si>
    <t>西区西遊馬2-3</t>
    <rPh sb="0" eb="2">
      <t>ニシク</t>
    </rPh>
    <rPh sb="2" eb="5">
      <t>ニシアスマ</t>
    </rPh>
    <phoneticPr fontId="2"/>
  </si>
  <si>
    <t>048-620-0255</t>
  </si>
  <si>
    <t>048-620-0056</t>
  </si>
  <si>
    <t>指扇駅から西武バス「遊馬消防出張所」下車徒歩２分</t>
    <phoneticPr fontId="2"/>
  </si>
  <si>
    <t>331-0061</t>
    <phoneticPr fontId="2"/>
  </si>
  <si>
    <t>中央1-5-21</t>
    <rPh sb="0" eb="2">
      <t>チュウオウ</t>
    </rPh>
    <phoneticPr fontId="2"/>
  </si>
  <si>
    <t>LITALICOワークス所沢</t>
    <phoneticPr fontId="2"/>
  </si>
  <si>
    <t>(特非)あゆみ福祉会</t>
    <rPh sb="1" eb="2">
      <t>トク</t>
    </rPh>
    <rPh sb="2" eb="3">
      <t>ヒ</t>
    </rPh>
    <rPh sb="7" eb="9">
      <t>フクシ</t>
    </rPh>
    <rPh sb="9" eb="10">
      <t>カイ</t>
    </rPh>
    <phoneticPr fontId="2"/>
  </si>
  <si>
    <t>藤金682-1</t>
    <rPh sb="1" eb="2">
      <t>キン</t>
    </rPh>
    <phoneticPr fontId="2"/>
  </si>
  <si>
    <t>350-2206</t>
    <phoneticPr fontId="2"/>
  </si>
  <si>
    <t>049-299-8746</t>
    <phoneticPr fontId="2"/>
  </si>
  <si>
    <t>東武東上線若葉駅からつるバス南北線「鶴ヶ島市役所」下車徒歩6分</t>
    <rPh sb="5" eb="8">
      <t>ワカバエキ</t>
    </rPh>
    <rPh sb="14" eb="17">
      <t>ナンボクセン</t>
    </rPh>
    <rPh sb="18" eb="21">
      <t>ツルガシマ</t>
    </rPh>
    <rPh sb="21" eb="22">
      <t>シ</t>
    </rPh>
    <rPh sb="22" eb="24">
      <t>ヤクショ</t>
    </rPh>
    <rPh sb="25" eb="27">
      <t>ゲシャ</t>
    </rPh>
    <rPh sb="27" eb="29">
      <t>トホ</t>
    </rPh>
    <rPh sb="30" eb="31">
      <t>フン</t>
    </rPh>
    <phoneticPr fontId="2"/>
  </si>
  <si>
    <t>ウェルビー春日部センター</t>
    <rPh sb="5" eb="8">
      <t>カスカベ</t>
    </rPh>
    <phoneticPr fontId="2"/>
  </si>
  <si>
    <t>中央1-4-6 
オガワ第３ビル３階</t>
    <rPh sb="0" eb="2">
      <t>チュウオウ</t>
    </rPh>
    <rPh sb="12" eb="13">
      <t>ダイ</t>
    </rPh>
    <rPh sb="17" eb="18">
      <t>カイ</t>
    </rPh>
    <phoneticPr fontId="2"/>
  </si>
  <si>
    <t>344-0067</t>
    <phoneticPr fontId="2"/>
  </si>
  <si>
    <t>048-884-8635</t>
    <phoneticPr fontId="2"/>
  </si>
  <si>
    <t>048-884-8636</t>
    <phoneticPr fontId="2"/>
  </si>
  <si>
    <t>○</t>
    <phoneticPr fontId="2"/>
  </si>
  <si>
    <t>東武スカイツリーライン春日部駅西口徒歩5分</t>
    <rPh sb="0" eb="2">
      <t>トウブ</t>
    </rPh>
    <rPh sb="11" eb="14">
      <t>カスカベ</t>
    </rPh>
    <rPh sb="14" eb="15">
      <t>エキ</t>
    </rPh>
    <rPh sb="15" eb="17">
      <t>ニシグチ</t>
    </rPh>
    <rPh sb="17" eb="19">
      <t>トホ</t>
    </rPh>
    <rPh sb="20" eb="21">
      <t>フン</t>
    </rPh>
    <phoneticPr fontId="2"/>
  </si>
  <si>
    <t>（株）ココロスキップ</t>
    <rPh sb="1" eb="2">
      <t>カブ</t>
    </rPh>
    <phoneticPr fontId="2"/>
  </si>
  <si>
    <t>ココロスキップ</t>
    <phoneticPr fontId="2"/>
  </si>
  <si>
    <t>東大沢3-10-28　ピアザクラウン102</t>
    <rPh sb="0" eb="3">
      <t>ヒガシオオサワ</t>
    </rPh>
    <phoneticPr fontId="2"/>
  </si>
  <si>
    <t>343-0025</t>
    <phoneticPr fontId="2"/>
  </si>
  <si>
    <t>048-978-9198</t>
    <phoneticPr fontId="2"/>
  </si>
  <si>
    <t>東武伊勢崎線北越谷駅から徒歩5分</t>
    <rPh sb="0" eb="2">
      <t>トウブ</t>
    </rPh>
    <rPh sb="6" eb="7">
      <t>キタ</t>
    </rPh>
    <phoneticPr fontId="2"/>
  </si>
  <si>
    <t>社会医療法人　さいたま市民医療センター</t>
    <rPh sb="0" eb="2">
      <t>シャカイ</t>
    </rPh>
    <rPh sb="2" eb="4">
      <t>イリョウ</t>
    </rPh>
    <rPh sb="4" eb="6">
      <t>ホウジン</t>
    </rPh>
    <rPh sb="11" eb="13">
      <t>シミン</t>
    </rPh>
    <rPh sb="13" eb="15">
      <t>イリョウ</t>
    </rPh>
    <phoneticPr fontId="2"/>
  </si>
  <si>
    <t>（医）さいたま市民医療センター</t>
    <rPh sb="0" eb="1">
      <t>イ</t>
    </rPh>
    <rPh sb="6" eb="8">
      <t>シミン</t>
    </rPh>
    <rPh sb="8" eb="10">
      <t>イリョウ</t>
    </rPh>
    <phoneticPr fontId="2"/>
  </si>
  <si>
    <t>西区島根299-1</t>
    <rPh sb="0" eb="2">
      <t>ニシク</t>
    </rPh>
    <rPh sb="2" eb="4">
      <t>シマネ</t>
    </rPh>
    <phoneticPr fontId="2"/>
  </si>
  <si>
    <t>048-626-0011</t>
  </si>
  <si>
    <t>048-799-5146</t>
  </si>
  <si>
    <t>浦和駅東口から徒歩１０分
※共同生活援助との併設</t>
    <rPh sb="0" eb="3">
      <t>ウラワエキ</t>
    </rPh>
    <rPh sb="3" eb="5">
      <t>ヒガシグチ</t>
    </rPh>
    <rPh sb="7" eb="9">
      <t>トホ</t>
    </rPh>
    <rPh sb="11" eb="12">
      <t>プン</t>
    </rPh>
    <phoneticPr fontId="2"/>
  </si>
  <si>
    <t>331-0054</t>
    <phoneticPr fontId="2"/>
  </si>
  <si>
    <t>築比地字番匠507</t>
    <rPh sb="0" eb="1">
      <t>チク</t>
    </rPh>
    <rPh sb="1" eb="2">
      <t>ヒ</t>
    </rPh>
    <rPh sb="2" eb="3">
      <t>チ</t>
    </rPh>
    <rPh sb="3" eb="4">
      <t>ジ</t>
    </rPh>
    <rPh sb="4" eb="5">
      <t>バン</t>
    </rPh>
    <rPh sb="5" eb="6">
      <t>タクミ</t>
    </rPh>
    <phoneticPr fontId="2"/>
  </si>
  <si>
    <t>医療生協さいたま生活協同組合</t>
    <rPh sb="0" eb="2">
      <t>イリョウ</t>
    </rPh>
    <rPh sb="2" eb="4">
      <t>セイキョウ</t>
    </rPh>
    <rPh sb="8" eb="10">
      <t>セイカツ</t>
    </rPh>
    <rPh sb="10" eb="12">
      <t>キョウドウ</t>
    </rPh>
    <rPh sb="12" eb="14">
      <t>クミアイ</t>
    </rPh>
    <phoneticPr fontId="2"/>
  </si>
  <si>
    <t>介護老人保健施設さんとめ</t>
    <rPh sb="0" eb="2">
      <t>カイゴ</t>
    </rPh>
    <rPh sb="2" eb="4">
      <t>ロウジン</t>
    </rPh>
    <rPh sb="4" eb="6">
      <t>ホケン</t>
    </rPh>
    <rPh sb="6" eb="8">
      <t>シセツ</t>
    </rPh>
    <phoneticPr fontId="2"/>
  </si>
  <si>
    <t>中富1617</t>
    <rPh sb="0" eb="2">
      <t>ナカトミ</t>
    </rPh>
    <phoneticPr fontId="2"/>
  </si>
  <si>
    <t>359-0002</t>
    <phoneticPr fontId="2"/>
  </si>
  <si>
    <t>04-2942-3202</t>
    <phoneticPr fontId="2"/>
  </si>
  <si>
    <t>04-2942-3235</t>
    <phoneticPr fontId="2"/>
  </si>
  <si>
    <t>○</t>
    <phoneticPr fontId="2"/>
  </si>
  <si>
    <t>西武新宿線航空公園駅から送迎バス10分</t>
    <rPh sb="0" eb="5">
      <t>セイブシンジュクセン</t>
    </rPh>
    <rPh sb="5" eb="7">
      <t>コウクウ</t>
    </rPh>
    <rPh sb="7" eb="9">
      <t>コウエン</t>
    </rPh>
    <rPh sb="9" eb="10">
      <t>エキ</t>
    </rPh>
    <rPh sb="12" eb="14">
      <t>ソウゲイ</t>
    </rPh>
    <rPh sb="18" eb="19">
      <t>フン</t>
    </rPh>
    <phoneticPr fontId="2"/>
  </si>
  <si>
    <t>(株)慶</t>
    <rPh sb="1" eb="2">
      <t>カブ</t>
    </rPh>
    <rPh sb="3" eb="4">
      <t>ケイ</t>
    </rPh>
    <phoneticPr fontId="2"/>
  </si>
  <si>
    <t>カノン</t>
    <phoneticPr fontId="2"/>
  </si>
  <si>
    <t>355-0110</t>
    <phoneticPr fontId="2"/>
  </si>
  <si>
    <t>0493-54-7655</t>
    <phoneticPr fontId="2"/>
  </si>
  <si>
    <t>350-0122</t>
    <phoneticPr fontId="2"/>
  </si>
  <si>
    <t>049-297-8300</t>
    <phoneticPr fontId="2"/>
  </si>
  <si>
    <t>049-297-8301</t>
    <phoneticPr fontId="2"/>
  </si>
  <si>
    <t>鴻巣駅から東武東上バス東松山駅行き「丸貫」下車徒歩5分
※共同生活援助との併設</t>
    <rPh sb="0" eb="2">
      <t>コウノス</t>
    </rPh>
    <rPh sb="2" eb="3">
      <t>エキ</t>
    </rPh>
    <rPh sb="5" eb="7">
      <t>トウブ</t>
    </rPh>
    <rPh sb="7" eb="9">
      <t>トウジョウ</t>
    </rPh>
    <rPh sb="11" eb="12">
      <t>ヒガシ</t>
    </rPh>
    <rPh sb="12" eb="14">
      <t>マツヤマ</t>
    </rPh>
    <rPh sb="14" eb="15">
      <t>エキ</t>
    </rPh>
    <rPh sb="15" eb="16">
      <t>ユ</t>
    </rPh>
    <rPh sb="18" eb="19">
      <t>マル</t>
    </rPh>
    <rPh sb="19" eb="20">
      <t>ヌ</t>
    </rPh>
    <rPh sb="21" eb="23">
      <t>ゲシャ</t>
    </rPh>
    <rPh sb="23" eb="25">
      <t>トホ</t>
    </rPh>
    <rPh sb="26" eb="27">
      <t>フン</t>
    </rPh>
    <phoneticPr fontId="2"/>
  </si>
  <si>
    <t>0480-31-8448</t>
    <phoneticPr fontId="2"/>
  </si>
  <si>
    <t>(特非)リンクス</t>
    <phoneticPr fontId="2"/>
  </si>
  <si>
    <t>ねこのて</t>
    <phoneticPr fontId="2"/>
  </si>
  <si>
    <t>048-261-5667</t>
    <phoneticPr fontId="2"/>
  </si>
  <si>
    <t>048-261-5714</t>
    <phoneticPr fontId="2"/>
  </si>
  <si>
    <t>○</t>
    <phoneticPr fontId="2"/>
  </si>
  <si>
    <t>(特非)おにの家</t>
    <rPh sb="1" eb="2">
      <t>トク</t>
    </rPh>
    <rPh sb="2" eb="3">
      <t>ヒ</t>
    </rPh>
    <rPh sb="7" eb="8">
      <t>イエ</t>
    </rPh>
    <phoneticPr fontId="2"/>
  </si>
  <si>
    <t>おにっこハウス</t>
    <phoneticPr fontId="2"/>
  </si>
  <si>
    <t>板井1220-1</t>
    <rPh sb="0" eb="2">
      <t>イタイ</t>
    </rPh>
    <phoneticPr fontId="2"/>
  </si>
  <si>
    <t>048-536-1344</t>
    <phoneticPr fontId="2"/>
  </si>
  <si>
    <t>048-536-1915</t>
    <phoneticPr fontId="2"/>
  </si>
  <si>
    <t>○</t>
    <phoneticPr fontId="2"/>
  </si>
  <si>
    <t>ライフケアかわまた</t>
    <phoneticPr fontId="2"/>
  </si>
  <si>
    <t>348-0056</t>
    <phoneticPr fontId="2"/>
  </si>
  <si>
    <t>048-598-8632</t>
    <phoneticPr fontId="2"/>
  </si>
  <si>
    <t>048-598-8696</t>
    <phoneticPr fontId="2"/>
  </si>
  <si>
    <t>○</t>
    <phoneticPr fontId="2"/>
  </si>
  <si>
    <t>○</t>
    <phoneticPr fontId="2"/>
  </si>
  <si>
    <t>ゆいのわ</t>
  </si>
  <si>
    <t>（特非）ゆいのわ</t>
    <rPh sb="1" eb="2">
      <t>トク</t>
    </rPh>
    <rPh sb="2" eb="3">
      <t>ヒ</t>
    </rPh>
    <phoneticPr fontId="4"/>
  </si>
  <si>
    <t>048-783-4245</t>
  </si>
  <si>
    <t>048-783-4246</t>
  </si>
  <si>
    <t>048-812-5747</t>
  </si>
  <si>
    <t>大宮区仲町2-25 松亀プレジデントビル2Ｆ</t>
    <rPh sb="0" eb="2">
      <t>オオミヤ</t>
    </rPh>
    <rPh sb="2" eb="3">
      <t>ク</t>
    </rPh>
    <rPh sb="3" eb="5">
      <t>ナカチョウ</t>
    </rPh>
    <rPh sb="10" eb="11">
      <t>マツ</t>
    </rPh>
    <rPh sb="11" eb="12">
      <t>カメ</t>
    </rPh>
    <phoneticPr fontId="4"/>
  </si>
  <si>
    <t>見沼区大字東新井710-133</t>
    <rPh sb="0" eb="2">
      <t>ミヌマ</t>
    </rPh>
    <rPh sb="2" eb="3">
      <t>ク</t>
    </rPh>
    <rPh sb="3" eb="5">
      <t>オオアザ</t>
    </rPh>
    <rPh sb="5" eb="8">
      <t>ヒガシアライ</t>
    </rPh>
    <phoneticPr fontId="4"/>
  </si>
  <si>
    <t>330-0845</t>
    <phoneticPr fontId="2"/>
  </si>
  <si>
    <t>337-0032</t>
    <phoneticPr fontId="2"/>
  </si>
  <si>
    <t>大宮駅から徒歩6分</t>
    <rPh sb="0" eb="3">
      <t>オオミヤエキ</t>
    </rPh>
    <rPh sb="5" eb="7">
      <t>トホ</t>
    </rPh>
    <rPh sb="8" eb="9">
      <t>フン</t>
    </rPh>
    <phoneticPr fontId="2"/>
  </si>
  <si>
    <t>大宮駅から国際興業バス「東新井団地」下車徒歩2分</t>
    <rPh sb="0" eb="2">
      <t>オオミヤ</t>
    </rPh>
    <rPh sb="2" eb="3">
      <t>エキ</t>
    </rPh>
    <rPh sb="5" eb="7">
      <t>コクサイ</t>
    </rPh>
    <rPh sb="7" eb="9">
      <t>コウギョウ</t>
    </rPh>
    <rPh sb="12" eb="15">
      <t>ヒガシアライ</t>
    </rPh>
    <rPh sb="15" eb="17">
      <t>ダンチ</t>
    </rPh>
    <rPh sb="18" eb="20">
      <t>ゲシャ</t>
    </rPh>
    <rPh sb="20" eb="22">
      <t>トホ</t>
    </rPh>
    <rPh sb="23" eb="24">
      <t>フン</t>
    </rPh>
    <phoneticPr fontId="2"/>
  </si>
  <si>
    <t>○</t>
    <phoneticPr fontId="2"/>
  </si>
  <si>
    <t>337-0051</t>
    <phoneticPr fontId="2"/>
  </si>
  <si>
    <t>じゅぴたー</t>
  </si>
  <si>
    <t>シャローム和光</t>
    <rPh sb="5" eb="7">
      <t>ワコウ</t>
    </rPh>
    <phoneticPr fontId="13"/>
  </si>
  <si>
    <t>和光市</t>
    <rPh sb="0" eb="3">
      <t>ワコウシ</t>
    </rPh>
    <phoneticPr fontId="13"/>
  </si>
  <si>
    <t>丸山台1-10-6志幸21ビル7階</t>
    <rPh sb="0" eb="3">
      <t>マルヤマダイ</t>
    </rPh>
    <rPh sb="9" eb="10">
      <t>シ</t>
    </rPh>
    <rPh sb="10" eb="11">
      <t>コウ</t>
    </rPh>
    <rPh sb="16" eb="17">
      <t>カイ</t>
    </rPh>
    <phoneticPr fontId="13"/>
  </si>
  <si>
    <t>048-451-3185</t>
  </si>
  <si>
    <t>048-451-3186</t>
  </si>
  <si>
    <t>（一財）福祉教育支援協会</t>
    <rPh sb="1" eb="2">
      <t>イチ</t>
    </rPh>
    <rPh sb="2" eb="3">
      <t>ザイ</t>
    </rPh>
    <rPh sb="4" eb="6">
      <t>フクシ</t>
    </rPh>
    <rPh sb="6" eb="8">
      <t>キョウイク</t>
    </rPh>
    <rPh sb="8" eb="10">
      <t>シエン</t>
    </rPh>
    <rPh sb="10" eb="12">
      <t>キョウカイ</t>
    </rPh>
    <phoneticPr fontId="13"/>
  </si>
  <si>
    <t>東武東上線和光市駅南口下車徒歩3分</t>
    <rPh sb="0" eb="2">
      <t>トウブ</t>
    </rPh>
    <rPh sb="2" eb="4">
      <t>トウジョウ</t>
    </rPh>
    <rPh sb="4" eb="5">
      <t>セン</t>
    </rPh>
    <rPh sb="5" eb="7">
      <t>ワコウ</t>
    </rPh>
    <rPh sb="7" eb="8">
      <t>シ</t>
    </rPh>
    <rPh sb="8" eb="9">
      <t>エキ</t>
    </rPh>
    <rPh sb="9" eb="11">
      <t>ミナミグチ</t>
    </rPh>
    <rPh sb="11" eb="13">
      <t>ゲシャ</t>
    </rPh>
    <rPh sb="13" eb="15">
      <t>トホ</t>
    </rPh>
    <rPh sb="16" eb="17">
      <t>プン</t>
    </rPh>
    <phoneticPr fontId="13"/>
  </si>
  <si>
    <t>(特非)あおい糸</t>
    <rPh sb="1" eb="2">
      <t>トク</t>
    </rPh>
    <rPh sb="2" eb="3">
      <t>ヒ</t>
    </rPh>
    <rPh sb="7" eb="8">
      <t>イト</t>
    </rPh>
    <phoneticPr fontId="2"/>
  </si>
  <si>
    <t>グループホーム　つむぎの家</t>
    <rPh sb="12" eb="13">
      <t>イエ</t>
    </rPh>
    <phoneticPr fontId="2"/>
  </si>
  <si>
    <t>羽沢2-5-45</t>
    <rPh sb="0" eb="1">
      <t>ハネ</t>
    </rPh>
    <rPh sb="1" eb="2">
      <t>サワ</t>
    </rPh>
    <phoneticPr fontId="2"/>
  </si>
  <si>
    <t>354-0033</t>
    <phoneticPr fontId="2"/>
  </si>
  <si>
    <t>049-293-1910</t>
    <phoneticPr fontId="2"/>
  </si>
  <si>
    <t>049-293-1911</t>
    <phoneticPr fontId="2"/>
  </si>
  <si>
    <t>○</t>
    <phoneticPr fontId="2"/>
  </si>
  <si>
    <t>東武東上線鶴瀬駅から徒歩20分
※共同生活援助との併設</t>
    <rPh sb="0" eb="5">
      <t>トウブトウジョウセン</t>
    </rPh>
    <rPh sb="5" eb="8">
      <t>ツルセエキ</t>
    </rPh>
    <rPh sb="10" eb="12">
      <t>トホ</t>
    </rPh>
    <rPh sb="14" eb="15">
      <t>フン</t>
    </rPh>
    <phoneticPr fontId="2"/>
  </si>
  <si>
    <t>356-0045</t>
    <phoneticPr fontId="2"/>
  </si>
  <si>
    <t>049-256-6250</t>
    <phoneticPr fontId="2"/>
  </si>
  <si>
    <t>049-256-6256</t>
    <phoneticPr fontId="2"/>
  </si>
  <si>
    <t>プラム</t>
    <phoneticPr fontId="2"/>
  </si>
  <si>
    <t>若宮1-5-2
パトリア桶川403-1</t>
    <rPh sb="0" eb="2">
      <t>ワカミヤ</t>
    </rPh>
    <rPh sb="12" eb="14">
      <t>オケガワ</t>
    </rPh>
    <phoneticPr fontId="2"/>
  </si>
  <si>
    <t>363-0022</t>
    <phoneticPr fontId="2"/>
  </si>
  <si>
    <t>048-729-7773</t>
    <phoneticPr fontId="2"/>
  </si>
  <si>
    <t>048-729-7898</t>
    <phoneticPr fontId="2"/>
  </si>
  <si>
    <t>○</t>
    <phoneticPr fontId="2"/>
  </si>
  <si>
    <t>高崎線桶川駅西口から徒歩5分</t>
    <rPh sb="0" eb="3">
      <t>タカサキセン</t>
    </rPh>
    <rPh sb="3" eb="6">
      <t>オケガワエキ</t>
    </rPh>
    <rPh sb="6" eb="8">
      <t>ニシグチ</t>
    </rPh>
    <rPh sb="10" eb="12">
      <t>トホ</t>
    </rPh>
    <rPh sb="13" eb="14">
      <t>フン</t>
    </rPh>
    <phoneticPr fontId="2"/>
  </si>
  <si>
    <t>(株)日本クリード</t>
    <phoneticPr fontId="2"/>
  </si>
  <si>
    <t>クリード久喜</t>
    <rPh sb="4" eb="6">
      <t>クキ</t>
    </rPh>
    <phoneticPr fontId="2"/>
  </si>
  <si>
    <t>東大輪字菱田1004-2</t>
    <rPh sb="0" eb="2">
      <t>トウダイ</t>
    </rPh>
    <rPh sb="2" eb="3">
      <t>ワ</t>
    </rPh>
    <rPh sb="3" eb="4">
      <t>アザ</t>
    </rPh>
    <rPh sb="4" eb="6">
      <t>ヒシダ</t>
    </rPh>
    <phoneticPr fontId="2"/>
  </si>
  <si>
    <t>0480-53-7514</t>
    <phoneticPr fontId="2"/>
  </si>
  <si>
    <t>0480-53-7515</t>
    <phoneticPr fontId="2"/>
  </si>
  <si>
    <t>東北本線東鷲宮駅から徒歩12分
※共同生活援助との併設</t>
    <rPh sb="0" eb="2">
      <t>トウホク</t>
    </rPh>
    <rPh sb="2" eb="4">
      <t>ホンセン</t>
    </rPh>
    <rPh sb="4" eb="5">
      <t>ヒガシ</t>
    </rPh>
    <rPh sb="5" eb="7">
      <t>ワシミヤ</t>
    </rPh>
    <rPh sb="7" eb="8">
      <t>エキ</t>
    </rPh>
    <rPh sb="10" eb="12">
      <t>トホ</t>
    </rPh>
    <rPh sb="14" eb="15">
      <t>フン</t>
    </rPh>
    <rPh sb="17" eb="19">
      <t>キョウドウ</t>
    </rPh>
    <rPh sb="19" eb="21">
      <t>セイカツ</t>
    </rPh>
    <rPh sb="21" eb="23">
      <t>エンジョ</t>
    </rPh>
    <rPh sb="25" eb="27">
      <t>ヘイセツ</t>
    </rPh>
    <phoneticPr fontId="2"/>
  </si>
  <si>
    <t>川越駅下車徒歩10分</t>
    <rPh sb="0" eb="2">
      <t>カワゴエ</t>
    </rPh>
    <rPh sb="2" eb="3">
      <t>エキ</t>
    </rPh>
    <rPh sb="3" eb="5">
      <t>ゲシャ</t>
    </rPh>
    <rPh sb="5" eb="7">
      <t>トホ</t>
    </rPh>
    <rPh sb="9" eb="10">
      <t>フン</t>
    </rPh>
    <phoneticPr fontId="2"/>
  </si>
  <si>
    <t>Green Peas Factory</t>
  </si>
  <si>
    <t>343-0043</t>
  </si>
  <si>
    <t>048-973-5910</t>
  </si>
  <si>
    <t>048-973-5920</t>
  </si>
  <si>
    <t>河原町2-16-1
興和第一ビル　2F</t>
    <rPh sb="0" eb="2">
      <t>カワラ</t>
    </rPh>
    <rPh sb="2" eb="3">
      <t>マチ</t>
    </rPh>
    <rPh sb="10" eb="12">
      <t>コウワ</t>
    </rPh>
    <rPh sb="12" eb="14">
      <t>ダイイチ</t>
    </rPh>
    <phoneticPr fontId="2"/>
  </si>
  <si>
    <t>360-0035</t>
    <phoneticPr fontId="2"/>
  </si>
  <si>
    <t>048-577-7870</t>
    <phoneticPr fontId="2"/>
  </si>
  <si>
    <t>048-577-7871</t>
    <phoneticPr fontId="2"/>
  </si>
  <si>
    <t>○</t>
    <phoneticPr fontId="2"/>
  </si>
  <si>
    <t>(株)秩父物産</t>
    <rPh sb="1" eb="2">
      <t>カブ</t>
    </rPh>
    <rPh sb="3" eb="5">
      <t>チチブ</t>
    </rPh>
    <rPh sb="5" eb="7">
      <t>ブッサン</t>
    </rPh>
    <phoneticPr fontId="2"/>
  </si>
  <si>
    <t>障がい者自立支援　さくらファーム</t>
    <rPh sb="0" eb="1">
      <t>ショウ</t>
    </rPh>
    <rPh sb="3" eb="4">
      <t>シャ</t>
    </rPh>
    <rPh sb="4" eb="6">
      <t>ジリツ</t>
    </rPh>
    <rPh sb="6" eb="8">
      <t>シエン</t>
    </rPh>
    <phoneticPr fontId="2"/>
  </si>
  <si>
    <t>（一社）キャリアプラザ</t>
    <rPh sb="1" eb="2">
      <t>イチ</t>
    </rPh>
    <rPh sb="2" eb="3">
      <t>シャ</t>
    </rPh>
    <phoneticPr fontId="5"/>
  </si>
  <si>
    <t>土呂駅から徒歩10分</t>
    <rPh sb="0" eb="3">
      <t>トロエキ</t>
    </rPh>
    <rPh sb="5" eb="7">
      <t>トホ</t>
    </rPh>
    <rPh sb="9" eb="10">
      <t>プン</t>
    </rPh>
    <phoneticPr fontId="2"/>
  </si>
  <si>
    <t>熊谷駅南口から徒歩6分</t>
    <rPh sb="0" eb="2">
      <t>クマガヤ</t>
    </rPh>
    <rPh sb="2" eb="3">
      <t>エキ</t>
    </rPh>
    <rPh sb="3" eb="5">
      <t>ミナミグチ</t>
    </rPh>
    <rPh sb="7" eb="9">
      <t>トホ</t>
    </rPh>
    <rPh sb="10" eb="11">
      <t>フン</t>
    </rPh>
    <phoneticPr fontId="2"/>
  </si>
  <si>
    <t>熊谷駅から国際十王交通バス小川町行又は循環器呼吸器センター行「天神南」下車徒歩２分</t>
    <rPh sb="0" eb="2">
      <t>クマガヤ</t>
    </rPh>
    <rPh sb="2" eb="3">
      <t>エキ</t>
    </rPh>
    <rPh sb="5" eb="7">
      <t>コクサイ</t>
    </rPh>
    <rPh sb="7" eb="9">
      <t>ジュウオウ</t>
    </rPh>
    <rPh sb="9" eb="11">
      <t>コウツウ</t>
    </rPh>
    <rPh sb="13" eb="16">
      <t>オガワマチ</t>
    </rPh>
    <rPh sb="15" eb="16">
      <t>マチ</t>
    </rPh>
    <rPh sb="16" eb="17">
      <t>イ</t>
    </rPh>
    <rPh sb="17" eb="18">
      <t>マタ</t>
    </rPh>
    <rPh sb="19" eb="22">
      <t>ジュンカンキ</t>
    </rPh>
    <rPh sb="22" eb="25">
      <t>コキュウキ</t>
    </rPh>
    <rPh sb="29" eb="30">
      <t>イ</t>
    </rPh>
    <rPh sb="31" eb="34">
      <t>テンジンミナミ</t>
    </rPh>
    <rPh sb="35" eb="37">
      <t>ゲシャ</t>
    </rPh>
    <rPh sb="37" eb="39">
      <t>トホ</t>
    </rPh>
    <rPh sb="40" eb="41">
      <t>フン</t>
    </rPh>
    <phoneticPr fontId="2"/>
  </si>
  <si>
    <t>368-0062</t>
    <phoneticPr fontId="2"/>
  </si>
  <si>
    <t>0494-24-7142</t>
    <phoneticPr fontId="2"/>
  </si>
  <si>
    <t>0494-23-9212</t>
    <phoneticPr fontId="2"/>
  </si>
  <si>
    <t>ぽかぽかキャリア・アカデミー</t>
    <phoneticPr fontId="2"/>
  </si>
  <si>
    <t>双柳1269-3</t>
    <rPh sb="0" eb="1">
      <t>フタ</t>
    </rPh>
    <rPh sb="1" eb="2">
      <t>ヤナギ</t>
    </rPh>
    <phoneticPr fontId="2"/>
  </si>
  <si>
    <t>357-0021</t>
    <phoneticPr fontId="2"/>
  </si>
  <si>
    <t>042-978-6348</t>
    <phoneticPr fontId="2"/>
  </si>
  <si>
    <t>西武池袋線飯能駅から国際興業バス双柳循環「工場前」下車徒歩3分</t>
    <rPh sb="0" eb="2">
      <t>セイブ</t>
    </rPh>
    <rPh sb="2" eb="4">
      <t>イケブクロ</t>
    </rPh>
    <rPh sb="4" eb="5">
      <t>セン</t>
    </rPh>
    <rPh sb="5" eb="7">
      <t>ハンノウ</t>
    </rPh>
    <rPh sb="7" eb="8">
      <t>エキ</t>
    </rPh>
    <rPh sb="10" eb="12">
      <t>コクサイ</t>
    </rPh>
    <rPh sb="12" eb="14">
      <t>コウギョウ</t>
    </rPh>
    <rPh sb="16" eb="17">
      <t>フタ</t>
    </rPh>
    <rPh sb="17" eb="18">
      <t>ヤナギ</t>
    </rPh>
    <rPh sb="18" eb="20">
      <t>ジュンカン</t>
    </rPh>
    <rPh sb="21" eb="23">
      <t>コウジョウ</t>
    </rPh>
    <rPh sb="23" eb="24">
      <t>マエ</t>
    </rPh>
    <rPh sb="25" eb="27">
      <t>ゲシャ</t>
    </rPh>
    <rPh sb="27" eb="29">
      <t>トホ</t>
    </rPh>
    <rPh sb="30" eb="31">
      <t>フン</t>
    </rPh>
    <phoneticPr fontId="2"/>
  </si>
  <si>
    <t>(一社)こころ会</t>
    <rPh sb="1" eb="2">
      <t>イチ</t>
    </rPh>
    <rPh sb="2" eb="3">
      <t>シャ</t>
    </rPh>
    <rPh sb="7" eb="8">
      <t>カイ</t>
    </rPh>
    <phoneticPr fontId="2"/>
  </si>
  <si>
    <t>ぽんて</t>
    <phoneticPr fontId="2"/>
  </si>
  <si>
    <t>松山1-2-5カントー商事ビル1F</t>
    <rPh sb="0" eb="2">
      <t>マツヤマ</t>
    </rPh>
    <rPh sb="11" eb="13">
      <t>ショウジ</t>
    </rPh>
    <phoneticPr fontId="2"/>
  </si>
  <si>
    <t>356-0027</t>
    <phoneticPr fontId="2"/>
  </si>
  <si>
    <t>049-290-3966</t>
    <phoneticPr fontId="2"/>
  </si>
  <si>
    <t>049-264-8070</t>
    <phoneticPr fontId="2"/>
  </si>
  <si>
    <t>ふたば</t>
    <phoneticPr fontId="2"/>
  </si>
  <si>
    <t>栄5-1-13リヴパレスイケヤ1F102</t>
    <rPh sb="0" eb="1">
      <t>サカエ</t>
    </rPh>
    <phoneticPr fontId="2"/>
  </si>
  <si>
    <t>048-485-8869</t>
    <phoneticPr fontId="2"/>
  </si>
  <si>
    <t>大泉学園駅から西武バス朝霞駅行「天沼マーケット」下車徒歩5分</t>
    <rPh sb="0" eb="2">
      <t>オオイズミ</t>
    </rPh>
    <rPh sb="2" eb="4">
      <t>ガクエン</t>
    </rPh>
    <rPh sb="4" eb="5">
      <t>エキ</t>
    </rPh>
    <rPh sb="7" eb="9">
      <t>セイブ</t>
    </rPh>
    <rPh sb="11" eb="13">
      <t>アサカ</t>
    </rPh>
    <rPh sb="13" eb="14">
      <t>エキ</t>
    </rPh>
    <rPh sb="14" eb="15">
      <t>イ</t>
    </rPh>
    <rPh sb="16" eb="18">
      <t>アマヌマ</t>
    </rPh>
    <rPh sb="24" eb="26">
      <t>ゲシャ</t>
    </rPh>
    <rPh sb="26" eb="28">
      <t>トホ</t>
    </rPh>
    <rPh sb="29" eb="30">
      <t>フン</t>
    </rPh>
    <phoneticPr fontId="2"/>
  </si>
  <si>
    <t>048-485-8769</t>
    <phoneticPr fontId="2"/>
  </si>
  <si>
    <t>東武東上線上福岡駅から徒歩15分</t>
    <rPh sb="11" eb="13">
      <t>トホ</t>
    </rPh>
    <rPh sb="15" eb="16">
      <t>フン</t>
    </rPh>
    <phoneticPr fontId="2"/>
  </si>
  <si>
    <t>はまや都作業所</t>
    <rPh sb="3" eb="4">
      <t>ミヤコ</t>
    </rPh>
    <rPh sb="4" eb="6">
      <t>サギョウ</t>
    </rPh>
    <rPh sb="6" eb="7">
      <t>ショ</t>
    </rPh>
    <phoneticPr fontId="2"/>
  </si>
  <si>
    <t>大字都25-22</t>
    <rPh sb="0" eb="2">
      <t>オオアザ</t>
    </rPh>
    <rPh sb="2" eb="3">
      <t>ミヤコ</t>
    </rPh>
    <phoneticPr fontId="2"/>
  </si>
  <si>
    <t>355-0812</t>
    <phoneticPr fontId="2"/>
  </si>
  <si>
    <t>0493-59-9265</t>
    <phoneticPr fontId="2"/>
  </si>
  <si>
    <t>0493-59-9267</t>
    <phoneticPr fontId="2"/>
  </si>
  <si>
    <t>○</t>
    <phoneticPr fontId="2"/>
  </si>
  <si>
    <t>東武東上線森林公園駅から徒歩20分</t>
    <rPh sb="0" eb="5">
      <t>トウブトウジョウセン</t>
    </rPh>
    <rPh sb="5" eb="9">
      <t>シンリンコウエン</t>
    </rPh>
    <rPh sb="9" eb="10">
      <t>エキ</t>
    </rPh>
    <rPh sb="12" eb="14">
      <t>トホ</t>
    </rPh>
    <rPh sb="16" eb="17">
      <t>フン</t>
    </rPh>
    <phoneticPr fontId="2"/>
  </si>
  <si>
    <t>クリード東松山SS</t>
    <rPh sb="4" eb="5">
      <t>ヒガシ</t>
    </rPh>
    <rPh sb="5" eb="7">
      <t>マツヤマ</t>
    </rPh>
    <phoneticPr fontId="2"/>
  </si>
  <si>
    <t>0493-27-8561</t>
    <phoneticPr fontId="2"/>
  </si>
  <si>
    <t>0493-27-8562</t>
    <phoneticPr fontId="2"/>
  </si>
  <si>
    <t>武蔵嵐山駅から徒歩10分
※共同生活援助との併設</t>
    <rPh sb="0" eb="2">
      <t>ムサシ</t>
    </rPh>
    <rPh sb="2" eb="4">
      <t>ランザン</t>
    </rPh>
    <rPh sb="4" eb="5">
      <t>エキ</t>
    </rPh>
    <rPh sb="7" eb="9">
      <t>トホ</t>
    </rPh>
    <rPh sb="11" eb="12">
      <t>フン</t>
    </rPh>
    <phoneticPr fontId="2"/>
  </si>
  <si>
    <t>上唐子字上北原1491-13</t>
    <rPh sb="0" eb="1">
      <t>ウエ</t>
    </rPh>
    <rPh sb="1" eb="3">
      <t>カラコ</t>
    </rPh>
    <rPh sb="3" eb="4">
      <t>アザ</t>
    </rPh>
    <rPh sb="4" eb="5">
      <t>ウエ</t>
    </rPh>
    <rPh sb="5" eb="7">
      <t>キタハラ</t>
    </rPh>
    <phoneticPr fontId="2"/>
  </si>
  <si>
    <t>355-0077</t>
    <phoneticPr fontId="2"/>
  </si>
  <si>
    <t>グループホーム色音</t>
    <rPh sb="7" eb="8">
      <t>イロ</t>
    </rPh>
    <rPh sb="8" eb="9">
      <t>オト</t>
    </rPh>
    <phoneticPr fontId="2"/>
  </si>
  <si>
    <t>赤山町3-152-1</t>
    <rPh sb="0" eb="3">
      <t>アカヤマチョウ</t>
    </rPh>
    <phoneticPr fontId="2"/>
  </si>
  <si>
    <t>343-0807</t>
  </si>
  <si>
    <t>048-961-8440</t>
  </si>
  <si>
    <t>048-961-8450</t>
  </si>
  <si>
    <t>（特非）明星</t>
    <rPh sb="1" eb="2">
      <t>トク</t>
    </rPh>
    <rPh sb="2" eb="3">
      <t>ヒ</t>
    </rPh>
    <rPh sb="4" eb="6">
      <t>ミョウジョウ</t>
    </rPh>
    <phoneticPr fontId="2"/>
  </si>
  <si>
    <t>東武伊勢崎線新越谷駅から徒歩15分
※共同生活援助の空床利用</t>
    <rPh sb="0" eb="2">
      <t>トウブ</t>
    </rPh>
    <rPh sb="6" eb="7">
      <t>シン</t>
    </rPh>
    <rPh sb="7" eb="9">
      <t>コシガヤ</t>
    </rPh>
    <rPh sb="19" eb="21">
      <t>キョウドウ</t>
    </rPh>
    <rPh sb="21" eb="23">
      <t>セイカツ</t>
    </rPh>
    <rPh sb="23" eb="25">
      <t>エンジョ</t>
    </rPh>
    <rPh sb="26" eb="28">
      <t>クウショウ</t>
    </rPh>
    <rPh sb="28" eb="30">
      <t>リヨウ</t>
    </rPh>
    <phoneticPr fontId="2"/>
  </si>
  <si>
    <t>（特非）わんぱくクラブ</t>
    <rPh sb="1" eb="2">
      <t>トク</t>
    </rPh>
    <rPh sb="2" eb="3">
      <t>ヒ</t>
    </rPh>
    <phoneticPr fontId="5"/>
  </si>
  <si>
    <t>南区大谷口5698-1</t>
    <rPh sb="0" eb="2">
      <t>ミナミク</t>
    </rPh>
    <rPh sb="2" eb="5">
      <t>オオヤグチ</t>
    </rPh>
    <phoneticPr fontId="5"/>
  </si>
  <si>
    <t>336-0042</t>
    <phoneticPr fontId="2"/>
  </si>
  <si>
    <t>048-711-4050</t>
  </si>
  <si>
    <t>048-789-6464</t>
  </si>
  <si>
    <t>東浦和駅から浦和駅東口行きバス「大谷口向」下車徒歩６分</t>
    <rPh sb="0" eb="1">
      <t>ヒガシ</t>
    </rPh>
    <rPh sb="1" eb="3">
      <t>ウラワ</t>
    </rPh>
    <rPh sb="3" eb="4">
      <t>エキ</t>
    </rPh>
    <rPh sb="6" eb="8">
      <t>ウラワ</t>
    </rPh>
    <rPh sb="8" eb="9">
      <t>エキ</t>
    </rPh>
    <rPh sb="9" eb="10">
      <t>ヒガシ</t>
    </rPh>
    <rPh sb="10" eb="11">
      <t>クチ</t>
    </rPh>
    <rPh sb="11" eb="12">
      <t>イ</t>
    </rPh>
    <rPh sb="16" eb="19">
      <t>オオヤグチ</t>
    </rPh>
    <rPh sb="19" eb="20">
      <t>ムケ</t>
    </rPh>
    <rPh sb="21" eb="23">
      <t>ゲシャ</t>
    </rPh>
    <rPh sb="23" eb="25">
      <t>トホ</t>
    </rPh>
    <rPh sb="26" eb="27">
      <t>プン</t>
    </rPh>
    <phoneticPr fontId="2"/>
  </si>
  <si>
    <t>東大宮駅から徒歩１分</t>
    <phoneticPr fontId="2"/>
  </si>
  <si>
    <t>（一社）こころの健康づくり協会</t>
    <rPh sb="1" eb="2">
      <t>イチ</t>
    </rPh>
    <rPh sb="2" eb="3">
      <t>シャ</t>
    </rPh>
    <rPh sb="8" eb="10">
      <t>ケンコウ</t>
    </rPh>
    <rPh sb="13" eb="15">
      <t>キョウカイ</t>
    </rPh>
    <phoneticPr fontId="2"/>
  </si>
  <si>
    <t>04-2941-6628</t>
    <phoneticPr fontId="2"/>
  </si>
  <si>
    <t>西武新宿線新所沢駅下車徒歩3分</t>
    <rPh sb="0" eb="5">
      <t>セイブシンジュクセン</t>
    </rPh>
    <rPh sb="5" eb="6">
      <t>シン</t>
    </rPh>
    <rPh sb="6" eb="8">
      <t>トコロザワ</t>
    </rPh>
    <rPh sb="8" eb="9">
      <t>エキ</t>
    </rPh>
    <rPh sb="9" eb="11">
      <t>ゲシャ</t>
    </rPh>
    <rPh sb="11" eb="13">
      <t>トホ</t>
    </rPh>
    <rPh sb="14" eb="15">
      <t>フン</t>
    </rPh>
    <phoneticPr fontId="2"/>
  </si>
  <si>
    <t>(株)笑満の杜</t>
    <rPh sb="0" eb="3">
      <t>カブ</t>
    </rPh>
    <rPh sb="3" eb="4">
      <t>エ</t>
    </rPh>
    <rPh sb="4" eb="5">
      <t>マン</t>
    </rPh>
    <rPh sb="6" eb="7">
      <t>モリ</t>
    </rPh>
    <phoneticPr fontId="2"/>
  </si>
  <si>
    <t>ＴＯＭＯＳ</t>
    <phoneticPr fontId="2"/>
  </si>
  <si>
    <t>戸森518-1</t>
    <rPh sb="0" eb="1">
      <t>ト</t>
    </rPh>
    <rPh sb="1" eb="2">
      <t>モリ</t>
    </rPh>
    <phoneticPr fontId="2"/>
  </si>
  <si>
    <t>366-0833</t>
    <phoneticPr fontId="2"/>
  </si>
  <si>
    <t>048-573-8887</t>
    <phoneticPr fontId="2"/>
  </si>
  <si>
    <t>○</t>
    <phoneticPr fontId="2"/>
  </si>
  <si>
    <t>深谷駅から深谷市コミュニティバス北部定期便「内ヶ島」下車徒歩１分</t>
    <rPh sb="0" eb="2">
      <t>フカヤ</t>
    </rPh>
    <rPh sb="2" eb="3">
      <t>エキ</t>
    </rPh>
    <rPh sb="5" eb="8">
      <t>フカヤシ</t>
    </rPh>
    <rPh sb="16" eb="18">
      <t>ホクブ</t>
    </rPh>
    <rPh sb="18" eb="21">
      <t>テイキビン</t>
    </rPh>
    <rPh sb="22" eb="23">
      <t>ウチ</t>
    </rPh>
    <rPh sb="24" eb="25">
      <t>シマ</t>
    </rPh>
    <rPh sb="26" eb="28">
      <t>ゲシャ</t>
    </rPh>
    <rPh sb="28" eb="30">
      <t>トホ</t>
    </rPh>
    <rPh sb="31" eb="32">
      <t>フン</t>
    </rPh>
    <phoneticPr fontId="2"/>
  </si>
  <si>
    <t>大谷5360-1</t>
    <rPh sb="0" eb="2">
      <t>オオヤ</t>
    </rPh>
    <phoneticPr fontId="2"/>
  </si>
  <si>
    <t>○</t>
    <phoneticPr fontId="2"/>
  </si>
  <si>
    <t>(福)一麦福祉会</t>
    <rPh sb="1" eb="2">
      <t>フク</t>
    </rPh>
    <rPh sb="3" eb="4">
      <t>ヒト</t>
    </rPh>
    <rPh sb="4" eb="5">
      <t>ムギ</t>
    </rPh>
    <rPh sb="5" eb="7">
      <t>フクシ</t>
    </rPh>
    <rPh sb="7" eb="8">
      <t>カイ</t>
    </rPh>
    <phoneticPr fontId="2"/>
  </si>
  <si>
    <t>牛重1349-1</t>
    <rPh sb="0" eb="1">
      <t>ウシ</t>
    </rPh>
    <rPh sb="1" eb="2">
      <t>オモ</t>
    </rPh>
    <phoneticPr fontId="2"/>
  </si>
  <si>
    <t>加須駅から朝日バス免許センター行「根古屋」下車　徒歩１５分
※共同生活援助との併設</t>
    <rPh sb="0" eb="2">
      <t>カゾ</t>
    </rPh>
    <rPh sb="2" eb="3">
      <t>エキ</t>
    </rPh>
    <rPh sb="5" eb="7">
      <t>アサヒ</t>
    </rPh>
    <rPh sb="15" eb="16">
      <t>イキ</t>
    </rPh>
    <rPh sb="17" eb="20">
      <t>ネコヤ</t>
    </rPh>
    <rPh sb="21" eb="23">
      <t>ゲシャ</t>
    </rPh>
    <rPh sb="24" eb="26">
      <t>トホ</t>
    </rPh>
    <rPh sb="28" eb="29">
      <t>フン</t>
    </rPh>
    <rPh sb="31" eb="33">
      <t>キョウドウ</t>
    </rPh>
    <rPh sb="33" eb="35">
      <t>セイカツ</t>
    </rPh>
    <rPh sb="35" eb="37">
      <t>エンジョ</t>
    </rPh>
    <rPh sb="39" eb="41">
      <t>ヘイセツ</t>
    </rPh>
    <phoneticPr fontId="2"/>
  </si>
  <si>
    <t>グループホームわかぎ</t>
    <phoneticPr fontId="2"/>
  </si>
  <si>
    <t>347-0103</t>
    <phoneticPr fontId="2"/>
  </si>
  <si>
    <t>0480-38-6875</t>
    <phoneticPr fontId="2"/>
  </si>
  <si>
    <t>0480-38-6875</t>
    <phoneticPr fontId="2"/>
  </si>
  <si>
    <t>○</t>
    <phoneticPr fontId="2"/>
  </si>
  <si>
    <t>(株)ラインアロー</t>
    <rPh sb="1" eb="2">
      <t>カブ</t>
    </rPh>
    <phoneticPr fontId="2"/>
  </si>
  <si>
    <t>341-0018</t>
    <phoneticPr fontId="2"/>
  </si>
  <si>
    <t>048-934-5407</t>
    <phoneticPr fontId="2"/>
  </si>
  <si>
    <t>048-934-5408</t>
    <phoneticPr fontId="2"/>
  </si>
  <si>
    <t>○</t>
    <phoneticPr fontId="2"/>
  </si>
  <si>
    <t>松葉町17-15 ニューアーバン第一ビル4階</t>
    <rPh sb="0" eb="3">
      <t>マツバチョウ</t>
    </rPh>
    <rPh sb="16" eb="18">
      <t>ダイイチ</t>
    </rPh>
    <rPh sb="21" eb="22">
      <t>カイ</t>
    </rPh>
    <phoneticPr fontId="2"/>
  </si>
  <si>
    <t>Be happinessとおり町</t>
    <rPh sb="15" eb="16">
      <t>マチ</t>
    </rPh>
    <phoneticPr fontId="2"/>
  </si>
  <si>
    <t>350-0044</t>
    <phoneticPr fontId="2"/>
  </si>
  <si>
    <t>049-277-5644</t>
    <phoneticPr fontId="2"/>
  </si>
  <si>
    <t>049-277-5645</t>
    <phoneticPr fontId="2"/>
  </si>
  <si>
    <t>西武新宿線本川越駅から徒歩5分</t>
    <rPh sb="0" eb="5">
      <t>セイブシンジュクセン</t>
    </rPh>
    <rPh sb="5" eb="6">
      <t>ホン</t>
    </rPh>
    <rPh sb="6" eb="8">
      <t>カワゴエ</t>
    </rPh>
    <rPh sb="8" eb="9">
      <t>エキ</t>
    </rPh>
    <rPh sb="11" eb="13">
      <t>トホ</t>
    </rPh>
    <rPh sb="14" eb="15">
      <t>プン</t>
    </rPh>
    <phoneticPr fontId="2"/>
  </si>
  <si>
    <t>Be happiness野田町</t>
    <rPh sb="12" eb="14">
      <t>ノダ</t>
    </rPh>
    <rPh sb="14" eb="15">
      <t>マチ</t>
    </rPh>
    <phoneticPr fontId="2"/>
  </si>
  <si>
    <t>野田町2-2-1　グリーン野田2階</t>
    <rPh sb="0" eb="2">
      <t>ノダ</t>
    </rPh>
    <rPh sb="2" eb="3">
      <t>マチ</t>
    </rPh>
    <rPh sb="13" eb="15">
      <t>ノダ</t>
    </rPh>
    <rPh sb="16" eb="17">
      <t>カイ</t>
    </rPh>
    <phoneticPr fontId="2"/>
  </si>
  <si>
    <t>犬も歩けば・・・。</t>
    <rPh sb="0" eb="1">
      <t>イヌ</t>
    </rPh>
    <rPh sb="2" eb="3">
      <t>アル</t>
    </rPh>
    <phoneticPr fontId="11"/>
  </si>
  <si>
    <t>(株)プレイファースト</t>
    <rPh sb="0" eb="3">
      <t>カブ</t>
    </rPh>
    <phoneticPr fontId="11"/>
  </si>
  <si>
    <t>336-0963</t>
    <phoneticPr fontId="2"/>
  </si>
  <si>
    <t>048-829-9663</t>
  </si>
  <si>
    <t>048-829-9673</t>
  </si>
  <si>
    <t>東川口駅より徒歩15分</t>
    <rPh sb="0" eb="1">
      <t>ヒガシ</t>
    </rPh>
    <rPh sb="1" eb="3">
      <t>カワグチ</t>
    </rPh>
    <rPh sb="3" eb="4">
      <t>エキ</t>
    </rPh>
    <rPh sb="6" eb="8">
      <t>トホ</t>
    </rPh>
    <rPh sb="10" eb="11">
      <t>フン</t>
    </rPh>
    <phoneticPr fontId="2"/>
  </si>
  <si>
    <t>緑区東大門2-22-1　アトーレ東大門1Ｆ</t>
    <rPh sb="0" eb="2">
      <t>ミドリク</t>
    </rPh>
    <rPh sb="2" eb="3">
      <t>ヒガシ</t>
    </rPh>
    <rPh sb="3" eb="5">
      <t>ダイモン</t>
    </rPh>
    <rPh sb="16" eb="17">
      <t>ヒガシ</t>
    </rPh>
    <rPh sb="17" eb="19">
      <t>ダイモン</t>
    </rPh>
    <phoneticPr fontId="5"/>
  </si>
  <si>
    <t>358-0003</t>
    <phoneticPr fontId="2"/>
  </si>
  <si>
    <t>西武池袋線入間市駅下車徒歩4分</t>
    <rPh sb="0" eb="5">
      <t>セイブイケブクロセン</t>
    </rPh>
    <rPh sb="5" eb="8">
      <t>イルマシ</t>
    </rPh>
    <rPh sb="8" eb="9">
      <t>エキ</t>
    </rPh>
    <rPh sb="9" eb="11">
      <t>ゲシャ</t>
    </rPh>
    <rPh sb="11" eb="13">
      <t>トホ</t>
    </rPh>
    <rPh sb="14" eb="15">
      <t>フン</t>
    </rPh>
    <phoneticPr fontId="2"/>
  </si>
  <si>
    <t>LITALICOワークス大宮</t>
    <rPh sb="12" eb="14">
      <t>オオミヤ</t>
    </rPh>
    <phoneticPr fontId="2"/>
  </si>
  <si>
    <t>LITALICOワークスさいたま浦和</t>
    <rPh sb="16" eb="18">
      <t>ウラワ</t>
    </rPh>
    <phoneticPr fontId="2"/>
  </si>
  <si>
    <t>(株)生きいき</t>
    <rPh sb="0" eb="3">
      <t>カブ</t>
    </rPh>
    <rPh sb="3" eb="4">
      <t>イ</t>
    </rPh>
    <phoneticPr fontId="5"/>
  </si>
  <si>
    <t>048-810-0110</t>
  </si>
  <si>
    <t>048-810-0111</t>
  </si>
  <si>
    <t>○</t>
    <phoneticPr fontId="2"/>
  </si>
  <si>
    <t>東浦和駅より徒歩10分
※共同生活援助との併設</t>
    <rPh sb="0" eb="4">
      <t>ヒガシウラワエキ</t>
    </rPh>
    <rPh sb="6" eb="8">
      <t>トホ</t>
    </rPh>
    <rPh sb="10" eb="11">
      <t>プン</t>
    </rPh>
    <phoneticPr fontId="2"/>
  </si>
  <si>
    <t>視覚障害者支援センター熊谷</t>
    <rPh sb="0" eb="2">
      <t>シカク</t>
    </rPh>
    <rPh sb="2" eb="5">
      <t>ショウガイシャ</t>
    </rPh>
    <rPh sb="5" eb="7">
      <t>シエン</t>
    </rPh>
    <rPh sb="11" eb="13">
      <t>クマガヤ</t>
    </rPh>
    <phoneticPr fontId="2"/>
  </si>
  <si>
    <t>(特非)皆実</t>
    <rPh sb="0" eb="4">
      <t>トクヒ</t>
    </rPh>
    <rPh sb="4" eb="5">
      <t>ミナ</t>
    </rPh>
    <rPh sb="5" eb="6">
      <t>ミ</t>
    </rPh>
    <phoneticPr fontId="2"/>
  </si>
  <si>
    <t>(特非)あーとの国プラネット</t>
    <rPh sb="0" eb="4">
      <t>トクヒ</t>
    </rPh>
    <rPh sb="8" eb="9">
      <t>クニ</t>
    </rPh>
    <phoneticPr fontId="2"/>
  </si>
  <si>
    <t>ほりほっく</t>
    <phoneticPr fontId="2"/>
  </si>
  <si>
    <t>松山2532-1</t>
    <rPh sb="0" eb="2">
      <t>マツヤマ</t>
    </rPh>
    <phoneticPr fontId="2"/>
  </si>
  <si>
    <t>0493-59-9773</t>
    <phoneticPr fontId="2"/>
  </si>
  <si>
    <t>0493-59-9734</t>
    <phoneticPr fontId="2"/>
  </si>
  <si>
    <t>○</t>
    <phoneticPr fontId="2"/>
  </si>
  <si>
    <t>東武東上線東松山駅から川越観光バスマイタウン行「市民病院前」下車徒歩5分</t>
    <rPh sb="0" eb="2">
      <t>トウブ</t>
    </rPh>
    <rPh sb="2" eb="4">
      <t>トウジョウ</t>
    </rPh>
    <rPh sb="4" eb="5">
      <t>セン</t>
    </rPh>
    <rPh sb="5" eb="8">
      <t>ヒガシマツヤマ</t>
    </rPh>
    <rPh sb="8" eb="9">
      <t>エキ</t>
    </rPh>
    <rPh sb="11" eb="13">
      <t>カワゴエ</t>
    </rPh>
    <rPh sb="13" eb="15">
      <t>カンコウ</t>
    </rPh>
    <rPh sb="22" eb="23">
      <t>イキ</t>
    </rPh>
    <rPh sb="24" eb="26">
      <t>シミン</t>
    </rPh>
    <rPh sb="26" eb="28">
      <t>ビョウイン</t>
    </rPh>
    <rPh sb="28" eb="29">
      <t>マエ</t>
    </rPh>
    <rPh sb="30" eb="32">
      <t>ゲシャ</t>
    </rPh>
    <rPh sb="32" eb="34">
      <t>トホ</t>
    </rPh>
    <rPh sb="35" eb="36">
      <t>フン</t>
    </rPh>
    <phoneticPr fontId="2"/>
  </si>
  <si>
    <t>347-0031</t>
  </si>
  <si>
    <t>0480-61-8421</t>
  </si>
  <si>
    <t>0480-31-6330</t>
  </si>
  <si>
    <t>362-0053</t>
  </si>
  <si>
    <t>048-782-9596</t>
  </si>
  <si>
    <t>048-782-5335</t>
  </si>
  <si>
    <t>東領家4-8-6</t>
    <rPh sb="0" eb="3">
      <t>ヒガシリョウケ</t>
    </rPh>
    <phoneticPr fontId="2"/>
  </si>
  <si>
    <t>エコポットあさひ</t>
  </si>
  <si>
    <t>048-227-4110</t>
  </si>
  <si>
    <t>048-227-4111</t>
  </si>
  <si>
    <t>(有)千光社</t>
    <rPh sb="1" eb="2">
      <t>ユウ</t>
    </rPh>
    <rPh sb="3" eb="4">
      <t>セン</t>
    </rPh>
    <rPh sb="4" eb="5">
      <t>コウ</t>
    </rPh>
    <rPh sb="5" eb="6">
      <t>シャ</t>
    </rPh>
    <phoneticPr fontId="2"/>
  </si>
  <si>
    <t>光の国</t>
    <rPh sb="0" eb="1">
      <t>ヒカリ</t>
    </rPh>
    <rPh sb="2" eb="3">
      <t>クニ</t>
    </rPh>
    <phoneticPr fontId="2"/>
  </si>
  <si>
    <t>北大桑214-3</t>
    <rPh sb="0" eb="1">
      <t>キタ</t>
    </rPh>
    <rPh sb="1" eb="3">
      <t>オオクワ</t>
    </rPh>
    <phoneticPr fontId="2"/>
  </si>
  <si>
    <t>東武伊勢崎線鷲宮駅からコミュニティバス東循環北コース「神明神社前」下車徒歩15分</t>
    <rPh sb="0" eb="2">
      <t>トウブ</t>
    </rPh>
    <rPh sb="2" eb="5">
      <t>イセサキ</t>
    </rPh>
    <rPh sb="5" eb="6">
      <t>セン</t>
    </rPh>
    <rPh sb="6" eb="8">
      <t>ワシノミヤ</t>
    </rPh>
    <rPh sb="8" eb="9">
      <t>エキ</t>
    </rPh>
    <rPh sb="19" eb="20">
      <t>ヒガシ</t>
    </rPh>
    <rPh sb="20" eb="22">
      <t>ジュンカン</t>
    </rPh>
    <rPh sb="22" eb="23">
      <t>キタ</t>
    </rPh>
    <rPh sb="27" eb="28">
      <t>ジン</t>
    </rPh>
    <rPh sb="28" eb="29">
      <t>メイ</t>
    </rPh>
    <rPh sb="29" eb="31">
      <t>ジンジャ</t>
    </rPh>
    <rPh sb="31" eb="32">
      <t>マエ</t>
    </rPh>
    <rPh sb="33" eb="35">
      <t>ゲシャ</t>
    </rPh>
    <rPh sb="35" eb="37">
      <t>トホ</t>
    </rPh>
    <rPh sb="39" eb="40">
      <t>フン</t>
    </rPh>
    <phoneticPr fontId="2"/>
  </si>
  <si>
    <t>349-1147</t>
  </si>
  <si>
    <t>0480-72-1198</t>
  </si>
  <si>
    <t>0480-72-1201</t>
  </si>
  <si>
    <t xml:space="preserve">前川2-10-11 1F </t>
    <rPh sb="0" eb="2">
      <t>マエカワ</t>
    </rPh>
    <phoneticPr fontId="2"/>
  </si>
  <si>
    <t>JR西川口駅東口から国際興業バス綱代橋循環「前川東」下車徒歩2分</t>
    <rPh sb="2" eb="6">
      <t>ニシカワグチエキ</t>
    </rPh>
    <rPh sb="6" eb="7">
      <t>ヒガシ</t>
    </rPh>
    <rPh sb="7" eb="8">
      <t>グチ</t>
    </rPh>
    <rPh sb="10" eb="12">
      <t>コクサイ</t>
    </rPh>
    <rPh sb="12" eb="14">
      <t>コウギョウ</t>
    </rPh>
    <rPh sb="16" eb="17">
      <t>ツナ</t>
    </rPh>
    <rPh sb="17" eb="18">
      <t>ヨ</t>
    </rPh>
    <rPh sb="18" eb="19">
      <t>バシ</t>
    </rPh>
    <rPh sb="19" eb="21">
      <t>ジュンカン</t>
    </rPh>
    <rPh sb="22" eb="24">
      <t>マエカワ</t>
    </rPh>
    <rPh sb="24" eb="25">
      <t>ヒガシ</t>
    </rPh>
    <rPh sb="26" eb="28">
      <t>ゲシャ</t>
    </rPh>
    <rPh sb="28" eb="30">
      <t>トホ</t>
    </rPh>
    <rPh sb="31" eb="32">
      <t>フン</t>
    </rPh>
    <phoneticPr fontId="2"/>
  </si>
  <si>
    <t>(株)ほんわか</t>
  </si>
  <si>
    <t>エイト</t>
  </si>
  <si>
    <t>048-212-2527</t>
  </si>
  <si>
    <t>(福)さくら草</t>
    <rPh sb="1" eb="2">
      <t>フク</t>
    </rPh>
    <rPh sb="6" eb="7">
      <t>ソウ</t>
    </rPh>
    <phoneticPr fontId="2"/>
  </si>
  <si>
    <t>東本郷1259-3</t>
    <rPh sb="0" eb="3">
      <t>ヒガシホンゴウ</t>
    </rPh>
    <phoneticPr fontId="2"/>
  </si>
  <si>
    <t xml:space="preserve">JR川口駅東口から国際興業バス峯八幡宮行き「新郷支所」下車徒歩3分 </t>
    <rPh sb="9" eb="11">
      <t>コクサイ</t>
    </rPh>
    <rPh sb="11" eb="13">
      <t>コウギョウ</t>
    </rPh>
    <rPh sb="29" eb="31">
      <t>トホ</t>
    </rPh>
    <rPh sb="32" eb="33">
      <t>フン</t>
    </rPh>
    <phoneticPr fontId="2"/>
  </si>
  <si>
    <t>デイセンターいぶき</t>
  </si>
  <si>
    <t>334-0063</t>
  </si>
  <si>
    <t>048-497-2317</t>
  </si>
  <si>
    <t>048-497-2219</t>
  </si>
  <si>
    <t>はあもにい</t>
  </si>
  <si>
    <t>(特非)みらい</t>
  </si>
  <si>
    <t>(特非)インスピリット</t>
    <rPh sb="1" eb="2">
      <t>トク</t>
    </rPh>
    <rPh sb="2" eb="3">
      <t>ヒ</t>
    </rPh>
    <phoneticPr fontId="2"/>
  </si>
  <si>
    <t>インスピリット</t>
    <phoneticPr fontId="2"/>
  </si>
  <si>
    <t>341-0035</t>
    <phoneticPr fontId="2"/>
  </si>
  <si>
    <t>○</t>
    <phoneticPr fontId="2"/>
  </si>
  <si>
    <t>三郷駅北口から徒歩20分</t>
    <rPh sb="0" eb="2">
      <t>ミサト</t>
    </rPh>
    <rPh sb="2" eb="3">
      <t>エキ</t>
    </rPh>
    <rPh sb="3" eb="5">
      <t>キタグチ</t>
    </rPh>
    <rPh sb="7" eb="9">
      <t>トホ</t>
    </rPh>
    <rPh sb="11" eb="12">
      <t>フン</t>
    </rPh>
    <phoneticPr fontId="2"/>
  </si>
  <si>
    <t>(福)ふかや精神保健福祉の会まゆだま</t>
    <rPh sb="1" eb="2">
      <t>フク</t>
    </rPh>
    <rPh sb="6" eb="8">
      <t>セイシン</t>
    </rPh>
    <rPh sb="8" eb="10">
      <t>ホケン</t>
    </rPh>
    <rPh sb="10" eb="12">
      <t>フクシ</t>
    </rPh>
    <rPh sb="13" eb="14">
      <t>カイ</t>
    </rPh>
    <phoneticPr fontId="2"/>
  </si>
  <si>
    <t>ジョブサポートはぶたえ</t>
    <phoneticPr fontId="2"/>
  </si>
  <si>
    <t>048-571-3711</t>
    <phoneticPr fontId="2"/>
  </si>
  <si>
    <t>048-598-7705</t>
    <phoneticPr fontId="2"/>
  </si>
  <si>
    <t>フレンドリー</t>
    <phoneticPr fontId="2"/>
  </si>
  <si>
    <t>366-0026</t>
    <phoneticPr fontId="2"/>
  </si>
  <si>
    <t>048-575-2605</t>
    <phoneticPr fontId="2"/>
  </si>
  <si>
    <t>048-577-3584</t>
    <phoneticPr fontId="2"/>
  </si>
  <si>
    <t>○</t>
    <phoneticPr fontId="2"/>
  </si>
  <si>
    <t>高崎線深谷駅下車徒歩6分</t>
    <phoneticPr fontId="2"/>
  </si>
  <si>
    <t>キャリア・サポート・パートナーズ</t>
    <phoneticPr fontId="2"/>
  </si>
  <si>
    <t>344-0067</t>
    <phoneticPr fontId="2"/>
  </si>
  <si>
    <t>048-812-8677</t>
    <phoneticPr fontId="2"/>
  </si>
  <si>
    <t>048-812-8671</t>
    <phoneticPr fontId="2"/>
  </si>
  <si>
    <t>○</t>
    <phoneticPr fontId="2"/>
  </si>
  <si>
    <t>３Ｃ本庄</t>
    <rPh sb="2" eb="4">
      <t>ホンジョウ</t>
    </rPh>
    <phoneticPr fontId="2"/>
  </si>
  <si>
    <t>本庄駅南口から徒歩１２分</t>
    <rPh sb="0" eb="2">
      <t>ホンジョウ</t>
    </rPh>
    <rPh sb="2" eb="3">
      <t>エキ</t>
    </rPh>
    <rPh sb="3" eb="5">
      <t>ミナミグチ</t>
    </rPh>
    <rPh sb="7" eb="9">
      <t>トホ</t>
    </rPh>
    <rPh sb="11" eb="12">
      <t>フン</t>
    </rPh>
    <phoneticPr fontId="2"/>
  </si>
  <si>
    <t>0495-21-2200</t>
    <phoneticPr fontId="2"/>
  </si>
  <si>
    <t>○</t>
    <phoneticPr fontId="2"/>
  </si>
  <si>
    <t>(特非)道の空路</t>
    <rPh sb="4" eb="5">
      <t>ミチ</t>
    </rPh>
    <rPh sb="6" eb="7">
      <t>クウ</t>
    </rPh>
    <rPh sb="7" eb="8">
      <t>ロ</t>
    </rPh>
    <phoneticPr fontId="2"/>
  </si>
  <si>
    <t>花笑之木工房</t>
    <rPh sb="0" eb="1">
      <t>ハナ</t>
    </rPh>
    <rPh sb="1" eb="2">
      <t>ワラ</t>
    </rPh>
    <rPh sb="2" eb="3">
      <t>ノ</t>
    </rPh>
    <rPh sb="3" eb="4">
      <t>キ</t>
    </rPh>
    <rPh sb="4" eb="6">
      <t>コウボウ</t>
    </rPh>
    <phoneticPr fontId="2"/>
  </si>
  <si>
    <t>朝霞市・（福）朝霞地区福祉会</t>
    <rPh sb="0" eb="3">
      <t>アサカシ</t>
    </rPh>
    <rPh sb="5" eb="6">
      <t>フク</t>
    </rPh>
    <rPh sb="7" eb="9">
      <t>アサカ</t>
    </rPh>
    <rPh sb="9" eb="11">
      <t>チク</t>
    </rPh>
    <rPh sb="11" eb="13">
      <t>フクシ</t>
    </rPh>
    <rPh sb="13" eb="14">
      <t>カイ</t>
    </rPh>
    <phoneticPr fontId="2"/>
  </si>
  <si>
    <t>朝光苑障害者短期入所事業所</t>
    <rPh sb="0" eb="1">
      <t>アサ</t>
    </rPh>
    <rPh sb="1" eb="2">
      <t>ヒカリ</t>
    </rPh>
    <rPh sb="2" eb="3">
      <t>エン</t>
    </rPh>
    <rPh sb="3" eb="6">
      <t>ショウガイシャ</t>
    </rPh>
    <rPh sb="6" eb="8">
      <t>タンキ</t>
    </rPh>
    <rPh sb="8" eb="10">
      <t>ニュウショ</t>
    </rPh>
    <rPh sb="10" eb="13">
      <t>ジギョウショ</t>
    </rPh>
    <phoneticPr fontId="2"/>
  </si>
  <si>
    <t>朝霞市</t>
    <rPh sb="0" eb="2">
      <t>アサカ</t>
    </rPh>
    <rPh sb="2" eb="3">
      <t>シ</t>
    </rPh>
    <phoneticPr fontId="2"/>
  </si>
  <si>
    <t>青葉台1-10-32</t>
    <rPh sb="0" eb="3">
      <t>アオバダイ</t>
    </rPh>
    <phoneticPr fontId="2"/>
  </si>
  <si>
    <t>○</t>
    <phoneticPr fontId="2"/>
  </si>
  <si>
    <t>朝霞駅南口から徒歩20分</t>
    <rPh sb="0" eb="2">
      <t>アサカ</t>
    </rPh>
    <rPh sb="2" eb="3">
      <t>エキ</t>
    </rPh>
    <rPh sb="3" eb="5">
      <t>ミナミグチ</t>
    </rPh>
    <rPh sb="7" eb="9">
      <t>トホ</t>
    </rPh>
    <rPh sb="11" eb="12">
      <t>フン</t>
    </rPh>
    <phoneticPr fontId="2"/>
  </si>
  <si>
    <t>(特非)輝</t>
    <rPh sb="4" eb="5">
      <t>カガヤ</t>
    </rPh>
    <phoneticPr fontId="2"/>
  </si>
  <si>
    <t>(有)　あさひ福祉サービス</t>
    <rPh sb="1" eb="2">
      <t>ユウ</t>
    </rPh>
    <rPh sb="7" eb="9">
      <t>フクシ</t>
    </rPh>
    <phoneticPr fontId="5"/>
  </si>
  <si>
    <t>048-789-7551</t>
  </si>
  <si>
    <t>048-789-7552</t>
  </si>
  <si>
    <t>JR武蔵浦和駅徒歩15分</t>
    <phoneticPr fontId="2"/>
  </si>
  <si>
    <t>多機能型事業所　アトリエ・モモ</t>
    <rPh sb="0" eb="4">
      <t>タキノウガタ</t>
    </rPh>
    <rPh sb="4" eb="6">
      <t>ジギョウ</t>
    </rPh>
    <rPh sb="6" eb="7">
      <t>ショ</t>
    </rPh>
    <phoneticPr fontId="2"/>
  </si>
  <si>
    <t>脇田本町16-20　森田ビル5階</t>
    <rPh sb="0" eb="4">
      <t>ワキタホンチョウ</t>
    </rPh>
    <rPh sb="10" eb="12">
      <t>モリタ</t>
    </rPh>
    <rPh sb="15" eb="16">
      <t>カイ</t>
    </rPh>
    <phoneticPr fontId="2"/>
  </si>
  <si>
    <t>350-1123</t>
    <phoneticPr fontId="2"/>
  </si>
  <si>
    <t>049-257-4213</t>
    <phoneticPr fontId="2"/>
  </si>
  <si>
    <t>049-257-4214</t>
    <phoneticPr fontId="2"/>
  </si>
  <si>
    <t>川越駅から徒歩2分</t>
    <rPh sb="0" eb="2">
      <t>カワゴエ</t>
    </rPh>
    <rPh sb="2" eb="3">
      <t>エキ</t>
    </rPh>
    <rPh sb="5" eb="7">
      <t>トホ</t>
    </rPh>
    <rPh sb="8" eb="9">
      <t>フン</t>
    </rPh>
    <phoneticPr fontId="2"/>
  </si>
  <si>
    <t>新川町2-45-1</t>
    <rPh sb="0" eb="3">
      <t>シンカワチョウ</t>
    </rPh>
    <phoneticPr fontId="2"/>
  </si>
  <si>
    <t>東武伊勢崎線新越谷駅から車10分</t>
    <rPh sb="0" eb="2">
      <t>トウブ</t>
    </rPh>
    <rPh sb="6" eb="7">
      <t>シン</t>
    </rPh>
    <rPh sb="7" eb="9">
      <t>コシガヤ</t>
    </rPh>
    <rPh sb="12" eb="13">
      <t>クルマ</t>
    </rPh>
    <phoneticPr fontId="2"/>
  </si>
  <si>
    <t>ソレイユ</t>
  </si>
  <si>
    <t>343-0852</t>
  </si>
  <si>
    <t>048-971-8883</t>
  </si>
  <si>
    <t>048-971-8894</t>
  </si>
  <si>
    <t>朝霞市</t>
    <phoneticPr fontId="2"/>
  </si>
  <si>
    <t>048-486-2481</t>
    <phoneticPr fontId="2"/>
  </si>
  <si>
    <t>048-486-2412</t>
    <phoneticPr fontId="2"/>
  </si>
  <si>
    <t>○</t>
    <phoneticPr fontId="2"/>
  </si>
  <si>
    <t>早稲田4-13-6</t>
    <rPh sb="0" eb="3">
      <t>ワセダ</t>
    </rPh>
    <phoneticPr fontId="2"/>
  </si>
  <si>
    <t>0480-43-3456</t>
    <phoneticPr fontId="2"/>
  </si>
  <si>
    <t>○</t>
    <phoneticPr fontId="2"/>
  </si>
  <si>
    <t>はあとぴあ福祉作業所</t>
    <rPh sb="5" eb="7">
      <t>フクシ</t>
    </rPh>
    <rPh sb="7" eb="9">
      <t>サギョウ</t>
    </rPh>
    <rPh sb="9" eb="10">
      <t>ショ</t>
    </rPh>
    <phoneticPr fontId="2"/>
  </si>
  <si>
    <t>めぐみの里</t>
    <rPh sb="4" eb="5">
      <t>サト</t>
    </rPh>
    <phoneticPr fontId="2"/>
  </si>
  <si>
    <t>下大崎1274-1</t>
    <rPh sb="0" eb="1">
      <t>シタ</t>
    </rPh>
    <rPh sb="1" eb="3">
      <t>オオサキ</t>
    </rPh>
    <phoneticPr fontId="2"/>
  </si>
  <si>
    <t>宇都宮線白岡駅下車タクシー15分</t>
    <rPh sb="0" eb="3">
      <t>ウツノミヤ</t>
    </rPh>
    <rPh sb="3" eb="4">
      <t>セン</t>
    </rPh>
    <rPh sb="4" eb="6">
      <t>シラオカ</t>
    </rPh>
    <rPh sb="6" eb="7">
      <t>エキ</t>
    </rPh>
    <rPh sb="7" eb="9">
      <t>ゲシャ</t>
    </rPh>
    <phoneticPr fontId="2"/>
  </si>
  <si>
    <t>（一社）Ciel</t>
    <rPh sb="1" eb="3">
      <t>イッシャ</t>
    </rPh>
    <phoneticPr fontId="2"/>
  </si>
  <si>
    <t>川越市</t>
    <rPh sb="0" eb="3">
      <t>カワゴエシ</t>
    </rPh>
    <phoneticPr fontId="2"/>
  </si>
  <si>
    <t>049-293-2528</t>
  </si>
  <si>
    <t>川越駅下車徒歩15分</t>
    <rPh sb="0" eb="2">
      <t>カワゴエ</t>
    </rPh>
    <rPh sb="2" eb="3">
      <t>エキ</t>
    </rPh>
    <rPh sb="3" eb="5">
      <t>ゲシャ</t>
    </rPh>
    <rPh sb="5" eb="7">
      <t>トホ</t>
    </rPh>
    <rPh sb="9" eb="10">
      <t>フン</t>
    </rPh>
    <phoneticPr fontId="2"/>
  </si>
  <si>
    <t>サルース</t>
  </si>
  <si>
    <t>049-277-3428</t>
  </si>
  <si>
    <t>049-277-3464</t>
  </si>
  <si>
    <t>○</t>
    <phoneticPr fontId="2"/>
  </si>
  <si>
    <t>東武伊勢崎線大袋駅から徒歩1分</t>
    <rPh sb="0" eb="2">
      <t>トウブ</t>
    </rPh>
    <rPh sb="6" eb="8">
      <t>オオブクロ</t>
    </rPh>
    <rPh sb="8" eb="9">
      <t>エキ</t>
    </rPh>
    <rPh sb="11" eb="13">
      <t>トホ</t>
    </rPh>
    <phoneticPr fontId="2"/>
  </si>
  <si>
    <t>るりえ</t>
  </si>
  <si>
    <t>343-0032</t>
  </si>
  <si>
    <t>048-940-2942</t>
  </si>
  <si>
    <t>048-940-2946</t>
  </si>
  <si>
    <t>(一社)さいたま修養会</t>
    <rPh sb="8" eb="10">
      <t>シュウヨウ</t>
    </rPh>
    <rPh sb="10" eb="11">
      <t>カイ</t>
    </rPh>
    <phoneticPr fontId="2"/>
  </si>
  <si>
    <t>袋山2045-1　光ビル4F</t>
    <rPh sb="0" eb="2">
      <t>フクロヤマ</t>
    </rPh>
    <rPh sb="9" eb="10">
      <t>ヒカリ</t>
    </rPh>
    <phoneticPr fontId="2"/>
  </si>
  <si>
    <t>クオ・ヴァディス</t>
  </si>
  <si>
    <t>048-788-3976</t>
  </si>
  <si>
    <t>048-669-8000</t>
  </si>
  <si>
    <t>048-669-8001</t>
  </si>
  <si>
    <t>グランシティ</t>
  </si>
  <si>
    <t>048-762-6557</t>
  </si>
  <si>
    <t>048-762-6523</t>
  </si>
  <si>
    <t>夢工房　大宮東口</t>
    <rPh sb="0" eb="1">
      <t>ユメ</t>
    </rPh>
    <rPh sb="1" eb="3">
      <t>コウボウ</t>
    </rPh>
    <rPh sb="4" eb="6">
      <t>オオミヤ</t>
    </rPh>
    <rPh sb="6" eb="7">
      <t>ヒガシ</t>
    </rPh>
    <rPh sb="7" eb="8">
      <t>クチ</t>
    </rPh>
    <phoneticPr fontId="5"/>
  </si>
  <si>
    <t>048-657-6777</t>
  </si>
  <si>
    <t>048-657-6778</t>
  </si>
  <si>
    <t>（一社）空想庭園</t>
    <rPh sb="4" eb="6">
      <t>クウソウ</t>
    </rPh>
    <rPh sb="6" eb="8">
      <t>テイエン</t>
    </rPh>
    <phoneticPr fontId="5"/>
  </si>
  <si>
    <t>（同）ドリーム</t>
    <phoneticPr fontId="5"/>
  </si>
  <si>
    <t>さいたま市</t>
  </si>
  <si>
    <t>北区盆栽町514-10</t>
    <rPh sb="0" eb="2">
      <t>キタク</t>
    </rPh>
    <rPh sb="2" eb="5">
      <t>ボンサイチョウ</t>
    </rPh>
    <phoneticPr fontId="5"/>
  </si>
  <si>
    <t>北区吉野町2-189-14</t>
    <rPh sb="0" eb="2">
      <t>キタク</t>
    </rPh>
    <rPh sb="2" eb="4">
      <t>ヨシノ</t>
    </rPh>
    <rPh sb="4" eb="5">
      <t>マチ</t>
    </rPh>
    <phoneticPr fontId="5"/>
  </si>
  <si>
    <t>南区太田窪5-28-28</t>
    <rPh sb="0" eb="2">
      <t>ミナミク</t>
    </rPh>
    <rPh sb="2" eb="5">
      <t>ダイタクボ</t>
    </rPh>
    <phoneticPr fontId="5"/>
  </si>
  <si>
    <t>大宮区宮町1-17　飯田ビル2Ｆ</t>
    <rPh sb="0" eb="2">
      <t>オオミヤ</t>
    </rPh>
    <rPh sb="2" eb="3">
      <t>ク</t>
    </rPh>
    <rPh sb="3" eb="5">
      <t>ミヤチョウ</t>
    </rPh>
    <rPh sb="10" eb="12">
      <t>イイダ</t>
    </rPh>
    <phoneticPr fontId="5"/>
  </si>
  <si>
    <t>331-0805</t>
    <phoneticPr fontId="2"/>
  </si>
  <si>
    <t>331-0811</t>
    <phoneticPr fontId="2"/>
  </si>
  <si>
    <t>336-0015</t>
    <phoneticPr fontId="2"/>
  </si>
  <si>
    <t>330-0802</t>
    <phoneticPr fontId="2"/>
  </si>
  <si>
    <t>土呂駅徒歩５分</t>
    <rPh sb="0" eb="3">
      <t>トロエキ</t>
    </rPh>
    <rPh sb="3" eb="5">
      <t>トホ</t>
    </rPh>
    <rPh sb="6" eb="7">
      <t>フン</t>
    </rPh>
    <phoneticPr fontId="2"/>
  </si>
  <si>
    <t>ＪＲ宮原駅から東武バス「鈴木」駅下車徒歩１分</t>
    <rPh sb="2" eb="5">
      <t>ミヤハラエキ</t>
    </rPh>
    <rPh sb="7" eb="9">
      <t>トウブ</t>
    </rPh>
    <rPh sb="12" eb="14">
      <t>スズキ</t>
    </rPh>
    <rPh sb="15" eb="16">
      <t>エキ</t>
    </rPh>
    <rPh sb="16" eb="18">
      <t>ゲシャ</t>
    </rPh>
    <rPh sb="18" eb="20">
      <t>トホ</t>
    </rPh>
    <rPh sb="21" eb="22">
      <t>フン</t>
    </rPh>
    <phoneticPr fontId="2"/>
  </si>
  <si>
    <t>ＪＲ南浦和駅から国際航業バス「大谷場東小学校」下車</t>
    <rPh sb="2" eb="3">
      <t>ミナミ</t>
    </rPh>
    <rPh sb="3" eb="5">
      <t>ウラワ</t>
    </rPh>
    <rPh sb="5" eb="6">
      <t>エキ</t>
    </rPh>
    <rPh sb="8" eb="10">
      <t>コクサイ</t>
    </rPh>
    <rPh sb="10" eb="12">
      <t>コウギョウ</t>
    </rPh>
    <rPh sb="15" eb="18">
      <t>オオヤバ</t>
    </rPh>
    <rPh sb="18" eb="19">
      <t>ヒガシ</t>
    </rPh>
    <rPh sb="19" eb="22">
      <t>ショウガッコウ</t>
    </rPh>
    <rPh sb="23" eb="25">
      <t>ゲシャ</t>
    </rPh>
    <phoneticPr fontId="2"/>
  </si>
  <si>
    <t>大宮駅東口から徒歩２分</t>
    <rPh sb="0" eb="3">
      <t>オオミヤエキ</t>
    </rPh>
    <rPh sb="3" eb="4">
      <t>ヒガシ</t>
    </rPh>
    <rPh sb="4" eb="5">
      <t>クチ</t>
    </rPh>
    <rPh sb="7" eb="9">
      <t>トホ</t>
    </rPh>
    <rPh sb="10" eb="11">
      <t>フン</t>
    </rPh>
    <phoneticPr fontId="2"/>
  </si>
  <si>
    <t>042-978-9705</t>
  </si>
  <si>
    <t>042-978-9706</t>
  </si>
  <si>
    <t>（特非）リスイッチ</t>
    <rPh sb="1" eb="2">
      <t>トク</t>
    </rPh>
    <rPh sb="2" eb="3">
      <t>ヒ</t>
    </rPh>
    <phoneticPr fontId="2"/>
  </si>
  <si>
    <t>リロード</t>
    <phoneticPr fontId="2"/>
  </si>
  <si>
    <t>朝霞市</t>
    <phoneticPr fontId="2"/>
  </si>
  <si>
    <t>幸町2-1-1 2F</t>
    <rPh sb="0" eb="1">
      <t>サチ</t>
    </rPh>
    <rPh sb="1" eb="2">
      <t>マチ</t>
    </rPh>
    <phoneticPr fontId="2"/>
  </si>
  <si>
    <t>○</t>
    <phoneticPr fontId="2"/>
  </si>
  <si>
    <t>東武東上線朝霞駅から徒歩17分</t>
    <rPh sb="0" eb="2">
      <t>トウブ</t>
    </rPh>
    <rPh sb="2" eb="4">
      <t>トウジョウ</t>
    </rPh>
    <rPh sb="4" eb="5">
      <t>セン</t>
    </rPh>
    <rPh sb="5" eb="7">
      <t>アサカ</t>
    </rPh>
    <rPh sb="7" eb="8">
      <t>エキ</t>
    </rPh>
    <rPh sb="10" eb="12">
      <t>トホ</t>
    </rPh>
    <rPh sb="14" eb="15">
      <t>プン</t>
    </rPh>
    <phoneticPr fontId="2"/>
  </si>
  <si>
    <t>(特非)彩花</t>
    <rPh sb="1" eb="2">
      <t>トク</t>
    </rPh>
    <rPh sb="2" eb="3">
      <t>ヒ</t>
    </rPh>
    <rPh sb="4" eb="5">
      <t>サイ</t>
    </rPh>
    <rPh sb="5" eb="6">
      <t>ハナ</t>
    </rPh>
    <phoneticPr fontId="2"/>
  </si>
  <si>
    <t>（特非）ライフサポート</t>
    <rPh sb="1" eb="2">
      <t>トク</t>
    </rPh>
    <rPh sb="2" eb="3">
      <t>ヒ</t>
    </rPh>
    <phoneticPr fontId="2"/>
  </si>
  <si>
    <t>嘉美立野南1545-2</t>
    <rPh sb="0" eb="1">
      <t>カ</t>
    </rPh>
    <rPh sb="1" eb="2">
      <t>ミ</t>
    </rPh>
    <rPh sb="2" eb="4">
      <t>タテノ</t>
    </rPh>
    <rPh sb="4" eb="5">
      <t>ミナミ</t>
    </rPh>
    <phoneticPr fontId="2"/>
  </si>
  <si>
    <t>（一社）キャリカ</t>
    <rPh sb="1" eb="2">
      <t>イチ</t>
    </rPh>
    <rPh sb="2" eb="3">
      <t>シャ</t>
    </rPh>
    <phoneticPr fontId="2"/>
  </si>
  <si>
    <t>中央1-1-12
松ロイヤルビル４階</t>
    <rPh sb="0" eb="2">
      <t>チュウオウ</t>
    </rPh>
    <rPh sb="9" eb="10">
      <t>マツ</t>
    </rPh>
    <rPh sb="17" eb="18">
      <t>カイ</t>
    </rPh>
    <phoneticPr fontId="2"/>
  </si>
  <si>
    <t>340-0016</t>
    <phoneticPr fontId="2"/>
  </si>
  <si>
    <t>048-954-7670</t>
    <phoneticPr fontId="2"/>
  </si>
  <si>
    <t>048-954-7672</t>
    <phoneticPr fontId="2"/>
  </si>
  <si>
    <t>東武伊勢崎線草加駅東口から徒歩5分</t>
    <rPh sb="0" eb="2">
      <t>トウブ</t>
    </rPh>
    <rPh sb="2" eb="5">
      <t>イセザキ</t>
    </rPh>
    <rPh sb="5" eb="6">
      <t>セン</t>
    </rPh>
    <rPh sb="6" eb="8">
      <t>ソウカ</t>
    </rPh>
    <rPh sb="8" eb="9">
      <t>エキ</t>
    </rPh>
    <rPh sb="9" eb="11">
      <t>ヒガシグチ</t>
    </rPh>
    <rPh sb="13" eb="15">
      <t>トホ</t>
    </rPh>
    <rPh sb="16" eb="17">
      <t>フン</t>
    </rPh>
    <phoneticPr fontId="2"/>
  </si>
  <si>
    <t>(福)羽搏会</t>
    <rPh sb="3" eb="4">
      <t>ハネ</t>
    </rPh>
    <rPh sb="4" eb="5">
      <t>ハク</t>
    </rPh>
    <rPh sb="5" eb="6">
      <t>カイ</t>
    </rPh>
    <phoneticPr fontId="2"/>
  </si>
  <si>
    <t>フラミンゴ</t>
    <phoneticPr fontId="2"/>
  </si>
  <si>
    <t>小谷田705-1</t>
    <rPh sb="0" eb="3">
      <t>コヤタ</t>
    </rPh>
    <phoneticPr fontId="2"/>
  </si>
  <si>
    <t>04-2946-7750</t>
    <phoneticPr fontId="2"/>
  </si>
  <si>
    <t>04-2946-7710</t>
    <phoneticPr fontId="2"/>
  </si>
  <si>
    <t>○</t>
    <phoneticPr fontId="2"/>
  </si>
  <si>
    <t>西武池袋線入間市駅から西武バス河辺駅北口行「桂橋」下車徒歩10分</t>
    <rPh sb="0" eb="5">
      <t>セイブイケブクロセン</t>
    </rPh>
    <rPh sb="5" eb="9">
      <t>イルマシエキ</t>
    </rPh>
    <rPh sb="11" eb="13">
      <t>セイブ</t>
    </rPh>
    <rPh sb="15" eb="17">
      <t>カワベ</t>
    </rPh>
    <rPh sb="17" eb="18">
      <t>エキ</t>
    </rPh>
    <rPh sb="18" eb="20">
      <t>キタグチ</t>
    </rPh>
    <rPh sb="20" eb="21">
      <t>イ</t>
    </rPh>
    <rPh sb="22" eb="23">
      <t>カツラ</t>
    </rPh>
    <rPh sb="23" eb="24">
      <t>ハシ</t>
    </rPh>
    <rPh sb="25" eb="27">
      <t>ゲシャ</t>
    </rPh>
    <rPh sb="27" eb="29">
      <t>トホ</t>
    </rPh>
    <rPh sb="31" eb="32">
      <t>フン</t>
    </rPh>
    <phoneticPr fontId="2"/>
  </si>
  <si>
    <t>(株）アネスティ</t>
    <rPh sb="1" eb="2">
      <t>カブ</t>
    </rPh>
    <phoneticPr fontId="2"/>
  </si>
  <si>
    <t>あすか川島工房</t>
    <rPh sb="3" eb="5">
      <t>カワシマ</t>
    </rPh>
    <rPh sb="5" eb="7">
      <t>コウボウ</t>
    </rPh>
    <phoneticPr fontId="2"/>
  </si>
  <si>
    <t>中山1347-1</t>
    <rPh sb="0" eb="2">
      <t>ナカヤマ</t>
    </rPh>
    <phoneticPr fontId="2"/>
  </si>
  <si>
    <t>049-236-3159</t>
    <phoneticPr fontId="2"/>
  </si>
  <si>
    <t>049-236-3142</t>
    <phoneticPr fontId="2"/>
  </si>
  <si>
    <t>東武東上線若葉駅から東武バス八幡団地行き「南戸守」下車から徒歩６分</t>
    <rPh sb="0" eb="2">
      <t>トウブ</t>
    </rPh>
    <rPh sb="2" eb="4">
      <t>トウジョウ</t>
    </rPh>
    <rPh sb="4" eb="5">
      <t>セン</t>
    </rPh>
    <rPh sb="5" eb="8">
      <t>ワカバエキ</t>
    </rPh>
    <rPh sb="10" eb="12">
      <t>トウブ</t>
    </rPh>
    <rPh sb="14" eb="16">
      <t>ヤワタ</t>
    </rPh>
    <rPh sb="16" eb="18">
      <t>ダンチ</t>
    </rPh>
    <rPh sb="18" eb="19">
      <t>イ</t>
    </rPh>
    <rPh sb="21" eb="22">
      <t>ミナミ</t>
    </rPh>
    <rPh sb="22" eb="23">
      <t>ト</t>
    </rPh>
    <rPh sb="23" eb="24">
      <t>マモ</t>
    </rPh>
    <rPh sb="25" eb="27">
      <t>ゲシャ</t>
    </rPh>
    <rPh sb="29" eb="31">
      <t>トホ</t>
    </rPh>
    <rPh sb="32" eb="33">
      <t>フン</t>
    </rPh>
    <phoneticPr fontId="2"/>
  </si>
  <si>
    <t>(福)草加市社会福祉事業団</t>
    <rPh sb="1" eb="2">
      <t>フク</t>
    </rPh>
    <rPh sb="3" eb="6">
      <t>ソウカシ</t>
    </rPh>
    <rPh sb="6" eb="8">
      <t>シャカイ</t>
    </rPh>
    <rPh sb="8" eb="10">
      <t>フクシ</t>
    </rPh>
    <rPh sb="10" eb="13">
      <t>ジギョウダン</t>
    </rPh>
    <phoneticPr fontId="2"/>
  </si>
  <si>
    <t>生活介護事業所そよかぜの森</t>
    <rPh sb="0" eb="2">
      <t>セイカツ</t>
    </rPh>
    <rPh sb="2" eb="4">
      <t>カイゴ</t>
    </rPh>
    <rPh sb="4" eb="7">
      <t>ジギョウショ</t>
    </rPh>
    <rPh sb="12" eb="13">
      <t>モリ</t>
    </rPh>
    <phoneticPr fontId="2"/>
  </si>
  <si>
    <t>柿木町1213-1</t>
    <rPh sb="0" eb="1">
      <t>カキ</t>
    </rPh>
    <rPh sb="1" eb="2">
      <t>キ</t>
    </rPh>
    <rPh sb="2" eb="3">
      <t>マチ</t>
    </rPh>
    <phoneticPr fontId="2"/>
  </si>
  <si>
    <t>（福）新座市障害者を守る会</t>
    <rPh sb="1" eb="2">
      <t>フク</t>
    </rPh>
    <rPh sb="3" eb="6">
      <t>ニイザシ</t>
    </rPh>
    <rPh sb="6" eb="9">
      <t>ショウガイシャ</t>
    </rPh>
    <rPh sb="10" eb="11">
      <t>マモ</t>
    </rPh>
    <rPh sb="12" eb="13">
      <t>カイ</t>
    </rPh>
    <phoneticPr fontId="2"/>
  </si>
  <si>
    <t>かなで</t>
    <phoneticPr fontId="2"/>
  </si>
  <si>
    <t>堀ノ内1-3-10</t>
    <rPh sb="0" eb="1">
      <t>ホリ</t>
    </rPh>
    <rPh sb="2" eb="3">
      <t>ウチ</t>
    </rPh>
    <phoneticPr fontId="2"/>
  </si>
  <si>
    <t>048-480-4800</t>
    <phoneticPr fontId="2"/>
  </si>
  <si>
    <t>048-480-4801</t>
    <phoneticPr fontId="2"/>
  </si>
  <si>
    <t>志木駅から西武バスひばりヶ丘駅北口行き「福祉センター入口」下車徒歩３分　※共同生活援助との併設</t>
    <rPh sb="0" eb="2">
      <t>シキ</t>
    </rPh>
    <rPh sb="2" eb="3">
      <t>エキ</t>
    </rPh>
    <rPh sb="5" eb="7">
      <t>セイブ</t>
    </rPh>
    <rPh sb="13" eb="14">
      <t>オカ</t>
    </rPh>
    <rPh sb="14" eb="15">
      <t>エキ</t>
    </rPh>
    <rPh sb="15" eb="17">
      <t>キタグチ</t>
    </rPh>
    <rPh sb="17" eb="18">
      <t>イキ</t>
    </rPh>
    <rPh sb="20" eb="22">
      <t>フクシ</t>
    </rPh>
    <rPh sb="26" eb="28">
      <t>イリグチ</t>
    </rPh>
    <rPh sb="29" eb="31">
      <t>ゲシャ</t>
    </rPh>
    <rPh sb="31" eb="33">
      <t>トホ</t>
    </rPh>
    <rPh sb="34" eb="35">
      <t>フン</t>
    </rPh>
    <phoneticPr fontId="2"/>
  </si>
  <si>
    <t>ふりぃ座</t>
    <rPh sb="3" eb="4">
      <t>ザ</t>
    </rPh>
    <phoneticPr fontId="2"/>
  </si>
  <si>
    <t>レイクタウン6-22-9</t>
    <phoneticPr fontId="2"/>
  </si>
  <si>
    <t>343-0022</t>
    <phoneticPr fontId="2"/>
  </si>
  <si>
    <t>○</t>
    <phoneticPr fontId="2"/>
  </si>
  <si>
    <t>JR武蔵野線越谷レイクタウン駅から徒歩10分</t>
    <rPh sb="2" eb="6">
      <t>ムサシノセン</t>
    </rPh>
    <rPh sb="6" eb="8">
      <t>コシガヤ</t>
    </rPh>
    <rPh sb="14" eb="15">
      <t>エキ</t>
    </rPh>
    <rPh sb="17" eb="19">
      <t>トホ</t>
    </rPh>
    <phoneticPr fontId="2"/>
  </si>
  <si>
    <t>（特非）ワーカーズコープ</t>
    <phoneticPr fontId="3"/>
  </si>
  <si>
    <t>（特非）結</t>
    <rPh sb="1" eb="2">
      <t>トク</t>
    </rPh>
    <rPh sb="2" eb="3">
      <t>ヒ</t>
    </rPh>
    <rPh sb="4" eb="5">
      <t>ユ</t>
    </rPh>
    <phoneticPr fontId="2"/>
  </si>
  <si>
    <t>しびらき通り商店街</t>
    <rPh sb="4" eb="5">
      <t>トオ</t>
    </rPh>
    <rPh sb="6" eb="9">
      <t>ショウテンガイ</t>
    </rPh>
    <phoneticPr fontId="3"/>
  </si>
  <si>
    <t>(福)邑元会</t>
    <rPh sb="1" eb="2">
      <t>フク</t>
    </rPh>
    <rPh sb="3" eb="4">
      <t>ユウ</t>
    </rPh>
    <rPh sb="4" eb="5">
      <t>ゲン</t>
    </rPh>
    <rPh sb="5" eb="6">
      <t>カイ</t>
    </rPh>
    <phoneticPr fontId="3"/>
  </si>
  <si>
    <t>さいたま市</t>
    <phoneticPr fontId="2"/>
  </si>
  <si>
    <t>桜区新開1-4-13</t>
    <phoneticPr fontId="2"/>
  </si>
  <si>
    <t>338-0834</t>
    <phoneticPr fontId="2"/>
  </si>
  <si>
    <t>ピアハウス</t>
    <phoneticPr fontId="2"/>
  </si>
  <si>
    <t>久保島1680-1</t>
    <rPh sb="0" eb="2">
      <t>クボ</t>
    </rPh>
    <rPh sb="2" eb="3">
      <t>シマ</t>
    </rPh>
    <phoneticPr fontId="2"/>
  </si>
  <si>
    <t>360-0831</t>
    <phoneticPr fontId="2"/>
  </si>
  <si>
    <t>048-598-6223</t>
    <phoneticPr fontId="2"/>
  </si>
  <si>
    <t>ＪＲ籠原駅から熊谷ゆうゆうバス「久保島自治会館」下車徒歩１分
※共同生活援助との併設</t>
    <rPh sb="2" eb="5">
      <t>カゴハラエキ</t>
    </rPh>
    <rPh sb="7" eb="9">
      <t>クマガヤ</t>
    </rPh>
    <rPh sb="16" eb="19">
      <t>クボジマ</t>
    </rPh>
    <rPh sb="19" eb="21">
      <t>ジチ</t>
    </rPh>
    <rPh sb="21" eb="23">
      <t>カイカン</t>
    </rPh>
    <rPh sb="24" eb="26">
      <t>ゲシャ</t>
    </rPh>
    <rPh sb="26" eb="28">
      <t>トホ</t>
    </rPh>
    <rPh sb="29" eb="30">
      <t>フン</t>
    </rPh>
    <phoneticPr fontId="2"/>
  </si>
  <si>
    <t>048-584-3848</t>
    <phoneticPr fontId="2"/>
  </si>
  <si>
    <t>048-580-3313</t>
    <phoneticPr fontId="2"/>
  </si>
  <si>
    <t>○</t>
    <phoneticPr fontId="2"/>
  </si>
  <si>
    <t>（福）啓和会</t>
    <rPh sb="1" eb="2">
      <t>フク</t>
    </rPh>
    <rPh sb="3" eb="4">
      <t>ケイ</t>
    </rPh>
    <rPh sb="4" eb="5">
      <t>ワ</t>
    </rPh>
    <rPh sb="5" eb="6">
      <t>カイ</t>
    </rPh>
    <phoneticPr fontId="2"/>
  </si>
  <si>
    <t>ワークハウス　コムラード</t>
    <phoneticPr fontId="2"/>
  </si>
  <si>
    <t>下早見1769-6</t>
    <rPh sb="0" eb="1">
      <t>シタ</t>
    </rPh>
    <rPh sb="1" eb="3">
      <t>ハヤミ</t>
    </rPh>
    <phoneticPr fontId="2"/>
  </si>
  <si>
    <t>346-0022</t>
    <phoneticPr fontId="2"/>
  </si>
  <si>
    <t>0480-23-8000</t>
    <phoneticPr fontId="2"/>
  </si>
  <si>
    <t>0480-23-8255</t>
    <phoneticPr fontId="2"/>
  </si>
  <si>
    <t>○</t>
    <phoneticPr fontId="2"/>
  </si>
  <si>
    <t>久喜駅から除掘・所久喜循環バス「久喜の里」下車徒歩３分</t>
    <rPh sb="0" eb="2">
      <t>クキ</t>
    </rPh>
    <rPh sb="2" eb="3">
      <t>エキ</t>
    </rPh>
    <rPh sb="5" eb="6">
      <t>ノゾ</t>
    </rPh>
    <rPh sb="6" eb="7">
      <t>ホ</t>
    </rPh>
    <rPh sb="8" eb="9">
      <t>トコロ</t>
    </rPh>
    <rPh sb="9" eb="11">
      <t>クキ</t>
    </rPh>
    <rPh sb="11" eb="13">
      <t>ジュンカン</t>
    </rPh>
    <rPh sb="16" eb="18">
      <t>クキ</t>
    </rPh>
    <rPh sb="19" eb="20">
      <t>サト</t>
    </rPh>
    <rPh sb="21" eb="23">
      <t>ゲシャ</t>
    </rPh>
    <rPh sb="23" eb="25">
      <t>トホ</t>
    </rPh>
    <rPh sb="26" eb="27">
      <t>プン</t>
    </rPh>
    <phoneticPr fontId="2"/>
  </si>
  <si>
    <t>（福）高栄会</t>
    <rPh sb="1" eb="2">
      <t>フク</t>
    </rPh>
    <rPh sb="3" eb="4">
      <t>コウ</t>
    </rPh>
    <rPh sb="4" eb="5">
      <t>エイ</t>
    </rPh>
    <rPh sb="5" eb="6">
      <t>カイ</t>
    </rPh>
    <phoneticPr fontId="2"/>
  </si>
  <si>
    <t>ひまわり工房</t>
    <rPh sb="4" eb="6">
      <t>コウボウ</t>
    </rPh>
    <phoneticPr fontId="2"/>
  </si>
  <si>
    <t>宮戸17</t>
    <rPh sb="0" eb="2">
      <t>ミヤト</t>
    </rPh>
    <phoneticPr fontId="2"/>
  </si>
  <si>
    <t>北朝霞駅から東武バス朝霞駅行き「内間木支所前」下車徒歩２分</t>
    <rPh sb="0" eb="3">
      <t>キタアサカ</t>
    </rPh>
    <rPh sb="3" eb="4">
      <t>エキ</t>
    </rPh>
    <rPh sb="6" eb="8">
      <t>トウブ</t>
    </rPh>
    <rPh sb="10" eb="12">
      <t>アサカ</t>
    </rPh>
    <rPh sb="12" eb="13">
      <t>エキ</t>
    </rPh>
    <rPh sb="13" eb="14">
      <t>イ</t>
    </rPh>
    <rPh sb="16" eb="18">
      <t>ウチマ</t>
    </rPh>
    <rPh sb="18" eb="19">
      <t>キ</t>
    </rPh>
    <rPh sb="19" eb="21">
      <t>シショ</t>
    </rPh>
    <rPh sb="21" eb="22">
      <t>マエ</t>
    </rPh>
    <rPh sb="23" eb="25">
      <t>ゲシャ</t>
    </rPh>
    <rPh sb="25" eb="27">
      <t>トホ</t>
    </rPh>
    <rPh sb="28" eb="29">
      <t>フン</t>
    </rPh>
    <phoneticPr fontId="2"/>
  </si>
  <si>
    <t>スローステップ</t>
    <phoneticPr fontId="2"/>
  </si>
  <si>
    <t>内牧字大道4011-20</t>
    <rPh sb="0" eb="1">
      <t>ウチ</t>
    </rPh>
    <rPh sb="1" eb="2">
      <t>マキ</t>
    </rPh>
    <rPh sb="2" eb="3">
      <t>ジ</t>
    </rPh>
    <rPh sb="3" eb="5">
      <t>オオミチ</t>
    </rPh>
    <phoneticPr fontId="2"/>
  </si>
  <si>
    <t>048-797-6317</t>
    <phoneticPr fontId="2"/>
  </si>
  <si>
    <t>048-797-6113</t>
    <phoneticPr fontId="2"/>
  </si>
  <si>
    <t>東武スカイツリーライン春日部駅西口から朝日バス「共栄大学入口」下車徒歩10分</t>
    <rPh sb="0" eb="2">
      <t>トウブ</t>
    </rPh>
    <rPh sb="11" eb="14">
      <t>カスカベ</t>
    </rPh>
    <rPh sb="14" eb="15">
      <t>エキ</t>
    </rPh>
    <rPh sb="15" eb="17">
      <t>ニシグチ</t>
    </rPh>
    <rPh sb="19" eb="21">
      <t>アサヒ</t>
    </rPh>
    <rPh sb="24" eb="26">
      <t>キョウエイ</t>
    </rPh>
    <rPh sb="26" eb="28">
      <t>ダイガク</t>
    </rPh>
    <rPh sb="28" eb="30">
      <t>イリグチ</t>
    </rPh>
    <rPh sb="31" eb="33">
      <t>ゲシャ</t>
    </rPh>
    <rPh sb="33" eb="35">
      <t>トホ</t>
    </rPh>
    <rPh sb="37" eb="38">
      <t>フン</t>
    </rPh>
    <phoneticPr fontId="2"/>
  </si>
  <si>
    <t>(一社)和みの羽</t>
    <rPh sb="1" eb="2">
      <t>イチ</t>
    </rPh>
    <rPh sb="2" eb="3">
      <t>シャ</t>
    </rPh>
    <rPh sb="4" eb="5">
      <t>ナゴ</t>
    </rPh>
    <rPh sb="7" eb="8">
      <t>ハネ</t>
    </rPh>
    <phoneticPr fontId="2"/>
  </si>
  <si>
    <t>障害者生活介護事業所みなかみ</t>
    <rPh sb="0" eb="3">
      <t>ショウガイシャ</t>
    </rPh>
    <rPh sb="3" eb="10">
      <t>セイカツカイゴジギョウショ</t>
    </rPh>
    <phoneticPr fontId="2"/>
  </si>
  <si>
    <t>中居30 プリミティージュ飯能101</t>
    <rPh sb="0" eb="2">
      <t>ナカイ</t>
    </rPh>
    <rPh sb="13" eb="15">
      <t>ハンノウ</t>
    </rPh>
    <phoneticPr fontId="2"/>
  </si>
  <si>
    <t>357-0002</t>
    <phoneticPr fontId="2"/>
  </si>
  <si>
    <t>042-978-9417</t>
    <phoneticPr fontId="2"/>
  </si>
  <si>
    <t>042-978-9419</t>
    <phoneticPr fontId="2"/>
  </si>
  <si>
    <t>東武東上線東飯能駅西口から徒歩10分</t>
    <rPh sb="0" eb="1">
      <t>ヒガシ</t>
    </rPh>
    <rPh sb="1" eb="2">
      <t>タケ</t>
    </rPh>
    <rPh sb="2" eb="5">
      <t>トウジョウセン</t>
    </rPh>
    <rPh sb="5" eb="9">
      <t>ヒガシハンノウエキ</t>
    </rPh>
    <rPh sb="9" eb="11">
      <t>ニシグチ</t>
    </rPh>
    <rPh sb="13" eb="15">
      <t>トホ</t>
    </rPh>
    <rPh sb="17" eb="18">
      <t>フン</t>
    </rPh>
    <phoneticPr fontId="2"/>
  </si>
  <si>
    <t>（一社）彩の国共生福祉会</t>
    <rPh sb="1" eb="2">
      <t>イチ</t>
    </rPh>
    <rPh sb="2" eb="3">
      <t>シャ</t>
    </rPh>
    <rPh sb="4" eb="5">
      <t>サイ</t>
    </rPh>
    <rPh sb="6" eb="7">
      <t>クニ</t>
    </rPh>
    <rPh sb="7" eb="9">
      <t>キョウセイ</t>
    </rPh>
    <rPh sb="9" eb="11">
      <t>フクシ</t>
    </rPh>
    <rPh sb="11" eb="12">
      <t>カイ</t>
    </rPh>
    <phoneticPr fontId="2"/>
  </si>
  <si>
    <t>スカイノート本庄</t>
    <rPh sb="6" eb="8">
      <t>ホンジョウ</t>
    </rPh>
    <phoneticPr fontId="2"/>
  </si>
  <si>
    <t>見福3-11-16</t>
    <rPh sb="0" eb="1">
      <t>ミ</t>
    </rPh>
    <rPh sb="1" eb="2">
      <t>フク</t>
    </rPh>
    <phoneticPr fontId="2"/>
  </si>
  <si>
    <t>0495-71-8048</t>
    <phoneticPr fontId="2"/>
  </si>
  <si>
    <t>0495-71-8049</t>
    <phoneticPr fontId="2"/>
  </si>
  <si>
    <t>本庄駅南口から徒歩12分</t>
    <rPh sb="0" eb="2">
      <t>ホンジョウ</t>
    </rPh>
    <rPh sb="2" eb="3">
      <t>エキ</t>
    </rPh>
    <rPh sb="3" eb="5">
      <t>ミナミグチ</t>
    </rPh>
    <rPh sb="7" eb="9">
      <t>トホ</t>
    </rPh>
    <rPh sb="11" eb="12">
      <t>フン</t>
    </rPh>
    <phoneticPr fontId="2"/>
  </si>
  <si>
    <t>(特非)ＣＩＬひこうせん</t>
    <phoneticPr fontId="2"/>
  </si>
  <si>
    <t>こころ</t>
    <phoneticPr fontId="2"/>
  </si>
  <si>
    <t>グランディール</t>
    <phoneticPr fontId="2"/>
  </si>
  <si>
    <t>361-0075</t>
    <phoneticPr fontId="2"/>
  </si>
  <si>
    <t>048-555-1100</t>
    <phoneticPr fontId="2"/>
  </si>
  <si>
    <t>秩父鉄道行田駅から行田市市内循環バス観光拠点コース「向町バス停」下車徒歩10分</t>
    <rPh sb="0" eb="2">
      <t>チチブ</t>
    </rPh>
    <rPh sb="2" eb="4">
      <t>テツドウ</t>
    </rPh>
    <rPh sb="4" eb="6">
      <t>ギョウダ</t>
    </rPh>
    <rPh sb="6" eb="7">
      <t>エキ</t>
    </rPh>
    <rPh sb="9" eb="12">
      <t>ギョウダシ</t>
    </rPh>
    <rPh sb="12" eb="14">
      <t>シナイ</t>
    </rPh>
    <rPh sb="14" eb="16">
      <t>ジュンカン</t>
    </rPh>
    <rPh sb="18" eb="20">
      <t>カンコウ</t>
    </rPh>
    <rPh sb="20" eb="22">
      <t>キョテン</t>
    </rPh>
    <rPh sb="26" eb="27">
      <t>ム</t>
    </rPh>
    <rPh sb="27" eb="28">
      <t>マチ</t>
    </rPh>
    <rPh sb="30" eb="31">
      <t>テイ</t>
    </rPh>
    <rPh sb="32" eb="34">
      <t>ゲシャ</t>
    </rPh>
    <rPh sb="34" eb="36">
      <t>トホ</t>
    </rPh>
    <rPh sb="38" eb="39">
      <t>プン</t>
    </rPh>
    <phoneticPr fontId="2"/>
  </si>
  <si>
    <t>大宮区大成町2-188 安田第五マンション2F</t>
    <rPh sb="0" eb="2">
      <t>オオミヤ</t>
    </rPh>
    <rPh sb="2" eb="3">
      <t>ク</t>
    </rPh>
    <rPh sb="3" eb="5">
      <t>オオナリ</t>
    </rPh>
    <rPh sb="5" eb="6">
      <t>マチ</t>
    </rPh>
    <rPh sb="12" eb="13">
      <t>ヤス</t>
    </rPh>
    <rPh sb="13" eb="14">
      <t>ダ</t>
    </rPh>
    <rPh sb="14" eb="16">
      <t>ダイゴ</t>
    </rPh>
    <phoneticPr fontId="2"/>
  </si>
  <si>
    <t>330-0852</t>
    <phoneticPr fontId="2"/>
  </si>
  <si>
    <t>カルディアこしがや駅前</t>
    <rPh sb="9" eb="11">
      <t>エキマエ</t>
    </rPh>
    <phoneticPr fontId="2"/>
  </si>
  <si>
    <t>343-0808</t>
    <phoneticPr fontId="2"/>
  </si>
  <si>
    <t>048-999-6946</t>
    <phoneticPr fontId="2"/>
  </si>
  <si>
    <t>048-999-6947</t>
    <phoneticPr fontId="2"/>
  </si>
  <si>
    <t>（株）タップ</t>
    <rPh sb="1" eb="2">
      <t>カブ</t>
    </rPh>
    <phoneticPr fontId="2"/>
  </si>
  <si>
    <t>大曽根2056-5</t>
    <rPh sb="0" eb="3">
      <t>オオソネ</t>
    </rPh>
    <phoneticPr fontId="2"/>
  </si>
  <si>
    <t>（株）ライフサポート</t>
    <rPh sb="1" eb="2">
      <t>カブ</t>
    </rPh>
    <phoneticPr fontId="2"/>
  </si>
  <si>
    <t>すまいる</t>
    <phoneticPr fontId="2"/>
  </si>
  <si>
    <t>針ヶ谷591-3</t>
    <rPh sb="0" eb="3">
      <t>ハリガヤ</t>
    </rPh>
    <phoneticPr fontId="2"/>
  </si>
  <si>
    <t>369-0213</t>
    <phoneticPr fontId="2"/>
  </si>
  <si>
    <t>048-598-7963</t>
    <phoneticPr fontId="2"/>
  </si>
  <si>
    <t>048-598-7965</t>
    <phoneticPr fontId="2"/>
  </si>
  <si>
    <t>○</t>
    <phoneticPr fontId="2"/>
  </si>
  <si>
    <t>高崎線岡部駅から徒歩25分（車で7分）</t>
    <rPh sb="0" eb="3">
      <t>タカサキセン</t>
    </rPh>
    <rPh sb="3" eb="5">
      <t>オカベ</t>
    </rPh>
    <rPh sb="5" eb="6">
      <t>エキ</t>
    </rPh>
    <rPh sb="8" eb="10">
      <t>トホ</t>
    </rPh>
    <rPh sb="12" eb="13">
      <t>フン</t>
    </rPh>
    <rPh sb="14" eb="15">
      <t>クルマ</t>
    </rPh>
    <rPh sb="17" eb="18">
      <t>フン</t>
    </rPh>
    <phoneticPr fontId="2"/>
  </si>
  <si>
    <t>(株)モードファイブ</t>
    <rPh sb="1" eb="2">
      <t>カブ</t>
    </rPh>
    <phoneticPr fontId="2"/>
  </si>
  <si>
    <t>大樹の丘</t>
    <rPh sb="0" eb="2">
      <t>タイジュ</t>
    </rPh>
    <rPh sb="3" eb="4">
      <t>オカ</t>
    </rPh>
    <phoneticPr fontId="2"/>
  </si>
  <si>
    <t>04-2968-3243</t>
    <phoneticPr fontId="2"/>
  </si>
  <si>
    <t>西武池袋線新所沢駅東口から西武バス所沢ニュータウン行「花園」下車徒歩15分</t>
    <rPh sb="0" eb="5">
      <t>セイブイケブクロセン</t>
    </rPh>
    <rPh sb="5" eb="6">
      <t>シン</t>
    </rPh>
    <rPh sb="6" eb="8">
      <t>トコロザワ</t>
    </rPh>
    <rPh sb="8" eb="9">
      <t>エキ</t>
    </rPh>
    <rPh sb="9" eb="11">
      <t>ヒガシグチ</t>
    </rPh>
    <rPh sb="13" eb="15">
      <t>セイブ</t>
    </rPh>
    <rPh sb="17" eb="19">
      <t>トコロザワ</t>
    </rPh>
    <rPh sb="25" eb="26">
      <t>イ</t>
    </rPh>
    <rPh sb="27" eb="29">
      <t>ハナゾノ</t>
    </rPh>
    <rPh sb="30" eb="32">
      <t>ゲシャ</t>
    </rPh>
    <rPh sb="32" eb="34">
      <t>トホ</t>
    </rPh>
    <rPh sb="36" eb="37">
      <t>フン</t>
    </rPh>
    <phoneticPr fontId="2"/>
  </si>
  <si>
    <t>（有）たんぽぽ介護サービス</t>
    <rPh sb="1" eb="2">
      <t>ユウ</t>
    </rPh>
    <rPh sb="7" eb="9">
      <t>カイゴ</t>
    </rPh>
    <phoneticPr fontId="2"/>
  </si>
  <si>
    <t>たんぽぽ介護サービス差間</t>
    <rPh sb="4" eb="6">
      <t>カイゴ</t>
    </rPh>
    <rPh sb="10" eb="12">
      <t>サシマ</t>
    </rPh>
    <phoneticPr fontId="2"/>
  </si>
  <si>
    <t>川口市</t>
    <rPh sb="0" eb="2">
      <t>カワグチ</t>
    </rPh>
    <phoneticPr fontId="2"/>
  </si>
  <si>
    <t>差間83-1</t>
    <rPh sb="0" eb="2">
      <t>サシマ</t>
    </rPh>
    <phoneticPr fontId="2"/>
  </si>
  <si>
    <t>048-229-8825</t>
    <phoneticPr fontId="2"/>
  </si>
  <si>
    <t>048-229-8644</t>
    <phoneticPr fontId="2"/>
  </si>
  <si>
    <t>○</t>
    <phoneticPr fontId="2"/>
  </si>
  <si>
    <t>星の宮2-3-35</t>
    <rPh sb="0" eb="1">
      <t>ホシ</t>
    </rPh>
    <rPh sb="2" eb="3">
      <t>ミヤ</t>
    </rPh>
    <phoneticPr fontId="2"/>
  </si>
  <si>
    <t>西武新宿線西所沢駅西口から徒歩12分</t>
    <rPh sb="0" eb="2">
      <t>セイブ</t>
    </rPh>
    <rPh sb="2" eb="4">
      <t>シンジュク</t>
    </rPh>
    <rPh sb="4" eb="5">
      <t>セン</t>
    </rPh>
    <rPh sb="5" eb="8">
      <t>ニシトコロザワ</t>
    </rPh>
    <rPh sb="8" eb="9">
      <t>エキ</t>
    </rPh>
    <rPh sb="9" eb="11">
      <t>ニシグチ</t>
    </rPh>
    <rPh sb="13" eb="15">
      <t>トホ</t>
    </rPh>
    <rPh sb="17" eb="18">
      <t>フン</t>
    </rPh>
    <phoneticPr fontId="2"/>
  </si>
  <si>
    <t>東川口駅南口から国際興業バス川口駅東口行き「差間南」下車徒歩3分</t>
    <rPh sb="0" eb="1">
      <t>ヒガシ</t>
    </rPh>
    <rPh sb="1" eb="4">
      <t>カワグチエキ</t>
    </rPh>
    <rPh sb="4" eb="6">
      <t>ミナミグチ</t>
    </rPh>
    <rPh sb="8" eb="10">
      <t>コクサイ</t>
    </rPh>
    <rPh sb="10" eb="12">
      <t>コウギョウ</t>
    </rPh>
    <rPh sb="14" eb="16">
      <t>カワグチ</t>
    </rPh>
    <rPh sb="16" eb="17">
      <t>エキ</t>
    </rPh>
    <rPh sb="17" eb="19">
      <t>ヒガシグチ</t>
    </rPh>
    <rPh sb="19" eb="20">
      <t>イ</t>
    </rPh>
    <rPh sb="22" eb="24">
      <t>サシマ</t>
    </rPh>
    <rPh sb="24" eb="25">
      <t>ミナミ</t>
    </rPh>
    <rPh sb="26" eb="28">
      <t>ゲシャ</t>
    </rPh>
    <rPh sb="28" eb="30">
      <t>トホ</t>
    </rPh>
    <rPh sb="31" eb="32">
      <t>フン</t>
    </rPh>
    <phoneticPr fontId="2"/>
  </si>
  <si>
    <t>中新田自立スクエア</t>
    <phoneticPr fontId="2"/>
  </si>
  <si>
    <t>狭山市</t>
    <phoneticPr fontId="2"/>
  </si>
  <si>
    <t>中新田73-3</t>
    <phoneticPr fontId="2"/>
  </si>
  <si>
    <t>04-2958-7832</t>
    <phoneticPr fontId="2"/>
  </si>
  <si>
    <t>04-2958-7839</t>
    <phoneticPr fontId="2"/>
  </si>
  <si>
    <t>瀬南176</t>
    <rPh sb="0" eb="2">
      <t>セナミ</t>
    </rPh>
    <phoneticPr fontId="2"/>
  </si>
  <si>
    <t>048-522-7210</t>
    <phoneticPr fontId="2"/>
  </si>
  <si>
    <t xml:space="preserve">京浜東北線与野駅下車徒歩20分 </t>
    <rPh sb="0" eb="2">
      <t>ケイヒン</t>
    </rPh>
    <rPh sb="2" eb="4">
      <t>トウホク</t>
    </rPh>
    <rPh sb="4" eb="5">
      <t>セン</t>
    </rPh>
    <rPh sb="5" eb="7">
      <t>ヨノ</t>
    </rPh>
    <phoneticPr fontId="2"/>
  </si>
  <si>
    <t>JR浦和駅から国際興業バス「浦和パークハイツ」下車 徒歩10分</t>
    <phoneticPr fontId="2"/>
  </si>
  <si>
    <t>048-711－8251</t>
  </si>
  <si>
    <t>331-0815</t>
    <phoneticPr fontId="2"/>
  </si>
  <si>
    <t>(特非)みんなのいえ</t>
    <rPh sb="1" eb="2">
      <t>トク</t>
    </rPh>
    <rPh sb="2" eb="3">
      <t>ヒ</t>
    </rPh>
    <phoneticPr fontId="2"/>
  </si>
  <si>
    <t>デイケアハウス　みんなのまち</t>
    <phoneticPr fontId="2"/>
  </si>
  <si>
    <t>新井1095</t>
    <rPh sb="0" eb="2">
      <t>アライ</t>
    </rPh>
    <phoneticPr fontId="2"/>
  </si>
  <si>
    <t>048-579-5772</t>
    <phoneticPr fontId="2"/>
  </si>
  <si>
    <t>深谷駅からコミュニティバス北コース東循環・西循環「新井郵便局前」下車徒歩7分</t>
    <rPh sb="0" eb="2">
      <t>フカヤ</t>
    </rPh>
    <rPh sb="2" eb="3">
      <t>エキ</t>
    </rPh>
    <rPh sb="13" eb="14">
      <t>キタ</t>
    </rPh>
    <rPh sb="17" eb="18">
      <t>ヒガシ</t>
    </rPh>
    <rPh sb="18" eb="20">
      <t>ジュンカン</t>
    </rPh>
    <rPh sb="21" eb="22">
      <t>ニシ</t>
    </rPh>
    <rPh sb="22" eb="24">
      <t>ジュンカン</t>
    </rPh>
    <rPh sb="25" eb="27">
      <t>アライ</t>
    </rPh>
    <rPh sb="27" eb="30">
      <t>ユウビンキョク</t>
    </rPh>
    <rPh sb="30" eb="31">
      <t>マエ</t>
    </rPh>
    <rPh sb="32" eb="34">
      <t>ゲシャ</t>
    </rPh>
    <rPh sb="34" eb="36">
      <t>トホ</t>
    </rPh>
    <rPh sb="37" eb="38">
      <t>プン</t>
    </rPh>
    <phoneticPr fontId="2"/>
  </si>
  <si>
    <t>四季彩</t>
    <rPh sb="0" eb="2">
      <t>シキ</t>
    </rPh>
    <rPh sb="2" eb="3">
      <t>サイ</t>
    </rPh>
    <phoneticPr fontId="2"/>
  </si>
  <si>
    <t>猪俣308-1</t>
    <rPh sb="0" eb="2">
      <t>イノマタ</t>
    </rPh>
    <phoneticPr fontId="2"/>
  </si>
  <si>
    <t>367-0115</t>
    <phoneticPr fontId="2"/>
  </si>
  <si>
    <t>ちゃのき</t>
    <phoneticPr fontId="2"/>
  </si>
  <si>
    <t>所沢新町2531-26</t>
    <rPh sb="0" eb="2">
      <t>トコロザワ</t>
    </rPh>
    <rPh sb="2" eb="4">
      <t>シンマチ</t>
    </rPh>
    <phoneticPr fontId="2"/>
  </si>
  <si>
    <t>04-2968-9033</t>
    <phoneticPr fontId="2"/>
  </si>
  <si>
    <t>04-2968-9034</t>
    <phoneticPr fontId="2"/>
  </si>
  <si>
    <t>西武池袋線新所沢駅から西武バス西武フラワーヒル行き「所沢新田」下車徒歩１分</t>
    <rPh sb="0" eb="2">
      <t>セイブ</t>
    </rPh>
    <rPh sb="2" eb="4">
      <t>イケブクロ</t>
    </rPh>
    <rPh sb="4" eb="5">
      <t>セン</t>
    </rPh>
    <rPh sb="5" eb="6">
      <t>シン</t>
    </rPh>
    <rPh sb="6" eb="8">
      <t>トコロザワ</t>
    </rPh>
    <rPh sb="8" eb="9">
      <t>エキ</t>
    </rPh>
    <rPh sb="11" eb="13">
      <t>セイブ</t>
    </rPh>
    <rPh sb="15" eb="17">
      <t>セイブ</t>
    </rPh>
    <rPh sb="23" eb="24">
      <t>イ</t>
    </rPh>
    <rPh sb="26" eb="28">
      <t>トコロザワ</t>
    </rPh>
    <rPh sb="28" eb="30">
      <t>シンデン</t>
    </rPh>
    <rPh sb="31" eb="33">
      <t>ゲシャ</t>
    </rPh>
    <rPh sb="33" eb="35">
      <t>トホ</t>
    </rPh>
    <rPh sb="36" eb="37">
      <t>プン</t>
    </rPh>
    <phoneticPr fontId="2"/>
  </si>
  <si>
    <t>児玉郡美里町</t>
    <rPh sb="0" eb="3">
      <t>コダマグン</t>
    </rPh>
    <rPh sb="3" eb="5">
      <t>ミサト</t>
    </rPh>
    <rPh sb="5" eb="6">
      <t>マチ</t>
    </rPh>
    <phoneticPr fontId="2"/>
  </si>
  <si>
    <t>八高線松久駅から徒歩25分</t>
    <rPh sb="0" eb="3">
      <t>ハチコウセン</t>
    </rPh>
    <rPh sb="3" eb="5">
      <t>マツヒサ</t>
    </rPh>
    <rPh sb="5" eb="6">
      <t>エキ</t>
    </rPh>
    <rPh sb="8" eb="10">
      <t>トホ</t>
    </rPh>
    <rPh sb="12" eb="13">
      <t>フン</t>
    </rPh>
    <phoneticPr fontId="2"/>
  </si>
  <si>
    <t>（一社）大和</t>
    <rPh sb="1" eb="2">
      <t>イチ</t>
    </rPh>
    <rPh sb="2" eb="3">
      <t>シャ</t>
    </rPh>
    <rPh sb="4" eb="6">
      <t>ヤマト</t>
    </rPh>
    <phoneticPr fontId="2"/>
  </si>
  <si>
    <t>○</t>
    <phoneticPr fontId="2"/>
  </si>
  <si>
    <t>中宗岡3-3-41</t>
    <rPh sb="0" eb="1">
      <t>ナカ</t>
    </rPh>
    <rPh sb="1" eb="3">
      <t>ムネオカ</t>
    </rPh>
    <phoneticPr fontId="2"/>
  </si>
  <si>
    <t>みずほコミュニティ</t>
    <phoneticPr fontId="2"/>
  </si>
  <si>
    <t>353-0002</t>
    <phoneticPr fontId="2"/>
  </si>
  <si>
    <t>048-458-0264</t>
    <phoneticPr fontId="2"/>
  </si>
  <si>
    <t>048-458-0265</t>
    <phoneticPr fontId="2"/>
  </si>
  <si>
    <t>○</t>
    <phoneticPr fontId="2"/>
  </si>
  <si>
    <t>LIFE</t>
  </si>
  <si>
    <t>048-711-7013</t>
  </si>
  <si>
    <t>048-711-7613</t>
  </si>
  <si>
    <t>○</t>
    <phoneticPr fontId="2"/>
  </si>
  <si>
    <t>大宮駅から徒歩10分</t>
    <rPh sb="0" eb="2">
      <t>オオミヤ</t>
    </rPh>
    <rPh sb="2" eb="3">
      <t>エキ</t>
    </rPh>
    <rPh sb="5" eb="7">
      <t>トホ</t>
    </rPh>
    <rPh sb="9" eb="10">
      <t>フン</t>
    </rPh>
    <phoneticPr fontId="2"/>
  </si>
  <si>
    <t>見沼区東大宮4-9-3　藤倉ビル1階</t>
    <phoneticPr fontId="2"/>
  </si>
  <si>
    <t>(福)さくら瑞穂会</t>
    <rPh sb="1" eb="2">
      <t>フク</t>
    </rPh>
    <rPh sb="6" eb="8">
      <t>ミズホ</t>
    </rPh>
    <rPh sb="8" eb="9">
      <t>カイ</t>
    </rPh>
    <phoneticPr fontId="2"/>
  </si>
  <si>
    <t>西浦和駅から徒歩20分、国際興業バス新開入口より徒歩10分</t>
    <phoneticPr fontId="2"/>
  </si>
  <si>
    <t>（一社）グロース</t>
    <rPh sb="1" eb="2">
      <t>イチ</t>
    </rPh>
    <rPh sb="2" eb="3">
      <t>シャ</t>
    </rPh>
    <phoneticPr fontId="5"/>
  </si>
  <si>
    <t>048-578-8333</t>
    <phoneticPr fontId="2"/>
  </si>
  <si>
    <t>340-0834</t>
    <phoneticPr fontId="2"/>
  </si>
  <si>
    <t>048-951-5277</t>
    <phoneticPr fontId="2"/>
  </si>
  <si>
    <t>048-951-5278</t>
    <phoneticPr fontId="2"/>
  </si>
  <si>
    <t>○</t>
    <phoneticPr fontId="2"/>
  </si>
  <si>
    <t>(一社)だんだんｗｉｎ</t>
    <rPh sb="1" eb="2">
      <t>イチ</t>
    </rPh>
    <rPh sb="2" eb="3">
      <t>シャ</t>
    </rPh>
    <phoneticPr fontId="2"/>
  </si>
  <si>
    <t>生活介護いろは</t>
    <rPh sb="0" eb="2">
      <t>セイカツ</t>
    </rPh>
    <rPh sb="2" eb="4">
      <t>カイゴ</t>
    </rPh>
    <phoneticPr fontId="2"/>
  </si>
  <si>
    <t>北葛飾郡松伏町</t>
  </si>
  <si>
    <t>ゆめみ野東1-2-16</t>
    <rPh sb="3" eb="4">
      <t>ノ</t>
    </rPh>
    <rPh sb="4" eb="5">
      <t>ヒガシ</t>
    </rPh>
    <phoneticPr fontId="2"/>
  </si>
  <si>
    <t>343-0114</t>
    <phoneticPr fontId="2"/>
  </si>
  <si>
    <t>048-940-8532</t>
    <phoneticPr fontId="2"/>
  </si>
  <si>
    <t>048-940-8533</t>
    <phoneticPr fontId="2"/>
  </si>
  <si>
    <t>（株）テルヴェ</t>
    <rPh sb="1" eb="2">
      <t>カブ</t>
    </rPh>
    <phoneticPr fontId="2"/>
  </si>
  <si>
    <t>チャオ上尾</t>
    <rPh sb="3" eb="5">
      <t>アゲオ</t>
    </rPh>
    <phoneticPr fontId="2"/>
  </si>
  <si>
    <t>上町1-5-5青木ビル3階</t>
    <rPh sb="0" eb="2">
      <t>カミマチ</t>
    </rPh>
    <rPh sb="7" eb="9">
      <t>アオキ</t>
    </rPh>
    <rPh sb="12" eb="13">
      <t>カイ</t>
    </rPh>
    <phoneticPr fontId="2"/>
  </si>
  <si>
    <t>362-0021</t>
    <phoneticPr fontId="2"/>
  </si>
  <si>
    <t>048-788-5511</t>
    <phoneticPr fontId="2"/>
  </si>
  <si>
    <t>048-788-7711</t>
    <phoneticPr fontId="2"/>
  </si>
  <si>
    <t>上尾駅東口より徒歩2分</t>
    <rPh sb="0" eb="2">
      <t>アゲオ</t>
    </rPh>
    <rPh sb="2" eb="3">
      <t>エキ</t>
    </rPh>
    <rPh sb="3" eb="5">
      <t>ヒガシグチ</t>
    </rPh>
    <rPh sb="7" eb="9">
      <t>トホ</t>
    </rPh>
    <rPh sb="10" eb="11">
      <t>フン</t>
    </rPh>
    <phoneticPr fontId="2"/>
  </si>
  <si>
    <t>（一社）あるかでぃあ</t>
    <rPh sb="1" eb="3">
      <t>イッシャ</t>
    </rPh>
    <phoneticPr fontId="2"/>
  </si>
  <si>
    <t>ケアハウスしゃんぐりら</t>
    <phoneticPr fontId="2"/>
  </si>
  <si>
    <t>見沼区染谷3-420-2</t>
    <phoneticPr fontId="2"/>
  </si>
  <si>
    <t>見沼区南中野78-6</t>
    <rPh sb="3" eb="4">
      <t>ミナミ</t>
    </rPh>
    <rPh sb="4" eb="6">
      <t>ナカノ</t>
    </rPh>
    <phoneticPr fontId="2"/>
  </si>
  <si>
    <t>048-812-5884</t>
    <phoneticPr fontId="2"/>
  </si>
  <si>
    <t>048-812-5894</t>
    <phoneticPr fontId="2"/>
  </si>
  <si>
    <t>大宮駅から国際興業バス「南中野」下車 徒歩7分
※共同生活援助との併設</t>
    <rPh sb="12" eb="13">
      <t>ミナミ</t>
    </rPh>
    <rPh sb="13" eb="15">
      <t>ナカノ</t>
    </rPh>
    <phoneticPr fontId="2"/>
  </si>
  <si>
    <t>351-0016</t>
    <phoneticPr fontId="2"/>
  </si>
  <si>
    <t>048-465-3255</t>
    <phoneticPr fontId="2"/>
  </si>
  <si>
    <t>048-465-3779</t>
    <phoneticPr fontId="2"/>
  </si>
  <si>
    <t>川越市</t>
  </si>
  <si>
    <t>川口市</t>
  </si>
  <si>
    <t>行田市</t>
  </si>
  <si>
    <t>秩父市</t>
  </si>
  <si>
    <t>所沢市</t>
  </si>
  <si>
    <t>飯能市</t>
  </si>
  <si>
    <t>加須市</t>
  </si>
  <si>
    <t>本庄市</t>
  </si>
  <si>
    <t>東松山市</t>
  </si>
  <si>
    <t>春日部市</t>
  </si>
  <si>
    <t>狭山市</t>
  </si>
  <si>
    <t>深谷市</t>
  </si>
  <si>
    <t>草加市</t>
  </si>
  <si>
    <t>蕨市</t>
  </si>
  <si>
    <t>戸田市</t>
  </si>
  <si>
    <t>入間市</t>
  </si>
  <si>
    <t>朝霞市</t>
  </si>
  <si>
    <t>志木市</t>
  </si>
  <si>
    <t>和光市</t>
  </si>
  <si>
    <t>新座市</t>
  </si>
  <si>
    <t>桶川市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</si>
  <si>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</si>
  <si>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</si>
  <si>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</si>
  <si>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</si>
  <si>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</si>
  <si>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</si>
  <si>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</si>
  <si>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</si>
  <si>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</si>
  <si>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</si>
  <si>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</si>
  <si>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</si>
  <si>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</si>
  <si>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</si>
  <si>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</si>
  <si>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</si>
  <si>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</si>
  <si>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</si>
  <si>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</si>
  <si>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</si>
  <si>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</si>
  <si>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</si>
  <si>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</si>
  <si>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長瀞町</t>
  </si>
  <si>
    <t>小鹿野町</t>
  </si>
  <si>
    <t>美里町</t>
  </si>
  <si>
    <t>神川町</t>
  </si>
  <si>
    <t>寄居町</t>
  </si>
  <si>
    <t>宮代町</t>
  </si>
  <si>
    <t>杉戸町</t>
  </si>
  <si>
    <t>松伏町</t>
  </si>
  <si>
    <t>横瀬町</t>
  </si>
  <si>
    <t>皆野町</t>
  </si>
  <si>
    <t>東秩父村</t>
  </si>
  <si>
    <t>上里町</t>
  </si>
  <si>
    <t>市町村別障害者の入所施設・通所事業所の整備状況</t>
    <rPh sb="4" eb="6">
      <t>ショウガイ</t>
    </rPh>
    <rPh sb="6" eb="7">
      <t>シャ</t>
    </rPh>
    <rPh sb="8" eb="10">
      <t>ニュウショ</t>
    </rPh>
    <rPh sb="10" eb="12">
      <t>シセツ</t>
    </rPh>
    <rPh sb="13" eb="15">
      <t>ツウショ</t>
    </rPh>
    <rPh sb="15" eb="18">
      <t>ジギョウショ</t>
    </rPh>
    <rPh sb="19" eb="21">
      <t>セイビ</t>
    </rPh>
    <rPh sb="21" eb="23">
      <t>ジョウキョウ</t>
    </rPh>
    <phoneticPr fontId="2"/>
  </si>
  <si>
    <t>No</t>
    <phoneticPr fontId="2"/>
  </si>
  <si>
    <t>地域</t>
    <rPh sb="0" eb="2">
      <t>チイキ</t>
    </rPh>
    <phoneticPr fontId="2"/>
  </si>
  <si>
    <t>市町村名</t>
  </si>
  <si>
    <t>施設入所支援</t>
    <rPh sb="0" eb="2">
      <t>シセツ</t>
    </rPh>
    <rPh sb="2" eb="4">
      <t>ニュウショ</t>
    </rPh>
    <rPh sb="4" eb="6">
      <t>シエン</t>
    </rPh>
    <phoneticPr fontId="2"/>
  </si>
  <si>
    <t>療養介護</t>
    <rPh sb="0" eb="2">
      <t>リョウヨウ</t>
    </rPh>
    <rPh sb="2" eb="4">
      <t>カイゴ</t>
    </rPh>
    <phoneticPr fontId="2"/>
  </si>
  <si>
    <t xml:space="preserve"> 自立訓練
（機能訓練）</t>
    <phoneticPr fontId="2"/>
  </si>
  <si>
    <t>自立訓練
（生活訓練）</t>
    <phoneticPr fontId="2"/>
  </si>
  <si>
    <t>宿泊型
自立訓練</t>
    <phoneticPr fontId="2"/>
  </si>
  <si>
    <t>就労移行支援</t>
    <phoneticPr fontId="2"/>
  </si>
  <si>
    <t>就労継続支援
Ａ型</t>
    <phoneticPr fontId="2"/>
  </si>
  <si>
    <t>就労継続支援
Ｂ型</t>
    <phoneticPr fontId="2"/>
  </si>
  <si>
    <t>施設数</t>
    <rPh sb="0" eb="3">
      <t>シセツスウ</t>
    </rPh>
    <phoneticPr fontId="2"/>
  </si>
  <si>
    <t>定員数</t>
    <rPh sb="0" eb="3">
      <t>テイインスウ</t>
    </rPh>
    <phoneticPr fontId="2"/>
  </si>
  <si>
    <t>事業所数</t>
    <rPh sb="0" eb="3">
      <t>ジギョウショ</t>
    </rPh>
    <rPh sb="3" eb="4">
      <t>スウ</t>
    </rPh>
    <phoneticPr fontId="2"/>
  </si>
  <si>
    <t>さいたま</t>
    <phoneticPr fontId="2"/>
  </si>
  <si>
    <t>川越比企</t>
    <rPh sb="0" eb="2">
      <t>カワゴエ</t>
    </rPh>
    <rPh sb="2" eb="4">
      <t>ヒキ</t>
    </rPh>
    <phoneticPr fontId="2"/>
  </si>
  <si>
    <t>利根</t>
    <rPh sb="0" eb="2">
      <t>トネ</t>
    </rPh>
    <phoneticPr fontId="2"/>
  </si>
  <si>
    <t>(株)ＴｈｒｅｅＱｕａｒｔｅｒ</t>
    <rPh sb="0" eb="3">
      <t>カブ</t>
    </rPh>
    <phoneticPr fontId="2"/>
  </si>
  <si>
    <t>なかよしホーム</t>
    <phoneticPr fontId="2"/>
  </si>
  <si>
    <t>差間４５１－１</t>
    <rPh sb="0" eb="2">
      <t>サシマ</t>
    </rPh>
    <phoneticPr fontId="2"/>
  </si>
  <si>
    <t>333-0816</t>
    <phoneticPr fontId="2"/>
  </si>
  <si>
    <t>048-437-3747</t>
    <phoneticPr fontId="2"/>
  </si>
  <si>
    <t>○</t>
    <phoneticPr fontId="2"/>
  </si>
  <si>
    <t>東川口駅から国際興業バス川口駅行き「差間北」下車徒歩3分
※共同生活援助との併設</t>
    <rPh sb="0" eb="1">
      <t>ヒガシ</t>
    </rPh>
    <rPh sb="1" eb="3">
      <t>カワグチ</t>
    </rPh>
    <rPh sb="3" eb="4">
      <t>エキ</t>
    </rPh>
    <rPh sb="6" eb="8">
      <t>コクサイ</t>
    </rPh>
    <rPh sb="8" eb="10">
      <t>コウギョウ</t>
    </rPh>
    <rPh sb="12" eb="15">
      <t>カワグチエキ</t>
    </rPh>
    <rPh sb="15" eb="16">
      <t>イキ</t>
    </rPh>
    <rPh sb="18" eb="20">
      <t>サシマ</t>
    </rPh>
    <rPh sb="20" eb="21">
      <t>キタ</t>
    </rPh>
    <rPh sb="22" eb="24">
      <t>ゲシャ</t>
    </rPh>
    <rPh sb="24" eb="26">
      <t>トホ</t>
    </rPh>
    <rPh sb="27" eb="28">
      <t>フン</t>
    </rPh>
    <phoneticPr fontId="2"/>
  </si>
  <si>
    <t>(特非)ともす</t>
    <rPh sb="0" eb="4">
      <t>トクヒ</t>
    </rPh>
    <phoneticPr fontId="2"/>
  </si>
  <si>
    <t>生活介護ともす</t>
    <rPh sb="0" eb="2">
      <t>セイカツ</t>
    </rPh>
    <rPh sb="2" eb="4">
      <t>カイゴ</t>
    </rPh>
    <phoneticPr fontId="2"/>
  </si>
  <si>
    <t>松葉町2-10-27 1F</t>
    <rPh sb="0" eb="2">
      <t>マツバ</t>
    </rPh>
    <rPh sb="2" eb="3">
      <t>マチ</t>
    </rPh>
    <phoneticPr fontId="2"/>
  </si>
  <si>
    <t>0493-81-7195</t>
    <phoneticPr fontId="2"/>
  </si>
  <si>
    <t>0493-81-7196</t>
    <phoneticPr fontId="2"/>
  </si>
  <si>
    <t>○</t>
    <phoneticPr fontId="2"/>
  </si>
  <si>
    <t>大和田4-13-10</t>
    <rPh sb="0" eb="3">
      <t>オオワダ</t>
    </rPh>
    <phoneticPr fontId="2"/>
  </si>
  <si>
    <t>048-479-7703</t>
    <phoneticPr fontId="2"/>
  </si>
  <si>
    <t>048-483-5012</t>
    <phoneticPr fontId="2"/>
  </si>
  <si>
    <t>○</t>
    <phoneticPr fontId="2"/>
  </si>
  <si>
    <t>04-2935-4863</t>
    <phoneticPr fontId="2"/>
  </si>
  <si>
    <t>04-2935-4893</t>
    <phoneticPr fontId="2"/>
  </si>
  <si>
    <t>神米金500-1</t>
    <rPh sb="0" eb="1">
      <t>カミ</t>
    </rPh>
    <rPh sb="1" eb="2">
      <t>コメ</t>
    </rPh>
    <rPh sb="2" eb="3">
      <t>カネ</t>
    </rPh>
    <phoneticPr fontId="2"/>
  </si>
  <si>
    <t>(株)百合舎</t>
    <rPh sb="0" eb="3">
      <t>カブ</t>
    </rPh>
    <rPh sb="3" eb="5">
      <t>ユリ</t>
    </rPh>
    <rPh sb="5" eb="6">
      <t>シャ</t>
    </rPh>
    <phoneticPr fontId="2"/>
  </si>
  <si>
    <t>アトリエ・ユリシス・ステイ</t>
    <phoneticPr fontId="2"/>
  </si>
  <si>
    <t>333-0866</t>
    <phoneticPr fontId="2"/>
  </si>
  <si>
    <t>048-423-6484</t>
    <phoneticPr fontId="2"/>
  </si>
  <si>
    <t>048-269-4555</t>
    <phoneticPr fontId="2"/>
  </si>
  <si>
    <t>JR南浦和駅から国際興業バス「円正寺」下車徒歩5分</t>
    <rPh sb="2" eb="6">
      <t>ミナミウラワエキ</t>
    </rPh>
    <rPh sb="8" eb="10">
      <t>コクサイ</t>
    </rPh>
    <rPh sb="10" eb="12">
      <t>コウギョウ</t>
    </rPh>
    <rPh sb="15" eb="18">
      <t>エンショウジ</t>
    </rPh>
    <rPh sb="19" eb="21">
      <t>ゲシャ</t>
    </rPh>
    <rPh sb="21" eb="23">
      <t>トホ</t>
    </rPh>
    <rPh sb="24" eb="25">
      <t>フン</t>
    </rPh>
    <phoneticPr fontId="2"/>
  </si>
  <si>
    <t>芝4583-6　105号</t>
    <rPh sb="0" eb="1">
      <t>シバ</t>
    </rPh>
    <rPh sb="11" eb="12">
      <t>ゴウ</t>
    </rPh>
    <phoneticPr fontId="2"/>
  </si>
  <si>
    <t>東武東上線東松山駅東口から徒歩15分</t>
    <rPh sb="0" eb="2">
      <t>トウブ</t>
    </rPh>
    <rPh sb="2" eb="4">
      <t>トウジョウ</t>
    </rPh>
    <rPh sb="4" eb="5">
      <t>セン</t>
    </rPh>
    <rPh sb="5" eb="9">
      <t>ヒガシマツヤマエキ</t>
    </rPh>
    <rPh sb="9" eb="11">
      <t>ヒガシグチ</t>
    </rPh>
    <rPh sb="13" eb="15">
      <t>トホ</t>
    </rPh>
    <rPh sb="17" eb="18">
      <t>フン</t>
    </rPh>
    <phoneticPr fontId="2"/>
  </si>
  <si>
    <t>生活介護とさき</t>
    <rPh sb="0" eb="2">
      <t>セイカツ</t>
    </rPh>
    <rPh sb="2" eb="4">
      <t>カイゴ</t>
    </rPh>
    <phoneticPr fontId="2"/>
  </si>
  <si>
    <t>アポロ１号</t>
    <rPh sb="4" eb="5">
      <t>ゴウ</t>
    </rPh>
    <phoneticPr fontId="2"/>
  </si>
  <si>
    <t>東大沢5-6-3　リバーサイド越谷1-E</t>
    <rPh sb="0" eb="1">
      <t>ヒガシ</t>
    </rPh>
    <rPh sb="1" eb="3">
      <t>オオサワ</t>
    </rPh>
    <rPh sb="15" eb="17">
      <t>コシガヤ</t>
    </rPh>
    <phoneticPr fontId="2"/>
  </si>
  <si>
    <t>048-973-7591</t>
    <phoneticPr fontId="2"/>
  </si>
  <si>
    <t>048-973-7592</t>
    <phoneticPr fontId="2"/>
  </si>
  <si>
    <t>048-711-7467</t>
    <phoneticPr fontId="2"/>
  </si>
  <si>
    <t>048-711-7468</t>
    <phoneticPr fontId="2"/>
  </si>
  <si>
    <t>(福)銀杏会</t>
    <rPh sb="1" eb="2">
      <t>フク</t>
    </rPh>
    <rPh sb="3" eb="5">
      <t>イチョウ</t>
    </rPh>
    <rPh sb="5" eb="6">
      <t>カイ</t>
    </rPh>
    <phoneticPr fontId="2"/>
  </si>
  <si>
    <t>いずみ</t>
    <phoneticPr fontId="2"/>
  </si>
  <si>
    <t>築比地字番匠435-3</t>
    <rPh sb="0" eb="1">
      <t>チク</t>
    </rPh>
    <rPh sb="1" eb="2">
      <t>ヒ</t>
    </rPh>
    <rPh sb="2" eb="3">
      <t>チ</t>
    </rPh>
    <rPh sb="3" eb="4">
      <t>アザ</t>
    </rPh>
    <rPh sb="4" eb="5">
      <t>バン</t>
    </rPh>
    <rPh sb="5" eb="6">
      <t>タクミ</t>
    </rPh>
    <phoneticPr fontId="2"/>
  </si>
  <si>
    <t>048-940-2811</t>
    <phoneticPr fontId="2"/>
  </si>
  <si>
    <t>048-940-5623</t>
    <phoneticPr fontId="2"/>
  </si>
  <si>
    <t>○</t>
    <phoneticPr fontId="2"/>
  </si>
  <si>
    <t>はじめの一歩</t>
    <rPh sb="4" eb="6">
      <t>イッポ</t>
    </rPh>
    <phoneticPr fontId="2"/>
  </si>
  <si>
    <t>東方4294-6</t>
    <rPh sb="0" eb="2">
      <t>ヒガシカタ</t>
    </rPh>
    <phoneticPr fontId="2"/>
  </si>
  <si>
    <t>366-0041</t>
    <phoneticPr fontId="2"/>
  </si>
  <si>
    <t>高崎線籠原駅から国際十王交通バス深谷日赤行き「籠原小学校」下車徒歩9分</t>
    <rPh sb="0" eb="3">
      <t>タカサキセン</t>
    </rPh>
    <rPh sb="3" eb="6">
      <t>カゴハラエキ</t>
    </rPh>
    <rPh sb="8" eb="10">
      <t>コクサイ</t>
    </rPh>
    <rPh sb="10" eb="12">
      <t>ジュウオウ</t>
    </rPh>
    <rPh sb="12" eb="14">
      <t>コウツウ</t>
    </rPh>
    <rPh sb="16" eb="18">
      <t>フカヤ</t>
    </rPh>
    <rPh sb="18" eb="20">
      <t>ニッセキ</t>
    </rPh>
    <rPh sb="20" eb="21">
      <t>イ</t>
    </rPh>
    <rPh sb="23" eb="25">
      <t>カゴハラ</t>
    </rPh>
    <rPh sb="25" eb="28">
      <t>ショウガッコウ</t>
    </rPh>
    <rPh sb="29" eb="31">
      <t>ゲシャ</t>
    </rPh>
    <rPh sb="31" eb="33">
      <t>トホ</t>
    </rPh>
    <rPh sb="34" eb="35">
      <t>フン</t>
    </rPh>
    <phoneticPr fontId="2"/>
  </si>
  <si>
    <t>カルディアみさと</t>
    <phoneticPr fontId="2"/>
  </si>
  <si>
    <t>341-0024</t>
    <phoneticPr fontId="2"/>
  </si>
  <si>
    <t>048-949-6605</t>
    <phoneticPr fontId="2"/>
  </si>
  <si>
    <t>048-949-6606</t>
    <phoneticPr fontId="2"/>
  </si>
  <si>
    <t>JR武蔵野線三郷駅西口から徒歩1分</t>
    <rPh sb="2" eb="6">
      <t>ムサシノセン</t>
    </rPh>
    <rPh sb="6" eb="9">
      <t>ミサトエキ</t>
    </rPh>
    <rPh sb="9" eb="11">
      <t>ニシグチ</t>
    </rPh>
    <rPh sb="13" eb="15">
      <t>トホ</t>
    </rPh>
    <rPh sb="16" eb="17">
      <t>フン</t>
    </rPh>
    <phoneticPr fontId="2"/>
  </si>
  <si>
    <t>(株）トレパル</t>
    <rPh sb="1" eb="2">
      <t>カブ</t>
    </rPh>
    <phoneticPr fontId="2"/>
  </si>
  <si>
    <t>torepal就労移行支援事業所</t>
    <rPh sb="7" eb="9">
      <t>シュウロウ</t>
    </rPh>
    <rPh sb="9" eb="11">
      <t>イコウ</t>
    </rPh>
    <rPh sb="11" eb="13">
      <t>シエン</t>
    </rPh>
    <rPh sb="13" eb="16">
      <t>ジギョウショ</t>
    </rPh>
    <phoneticPr fontId="2"/>
  </si>
  <si>
    <t>上宗岡2-14-10 2F</t>
    <rPh sb="0" eb="1">
      <t>カミ</t>
    </rPh>
    <rPh sb="1" eb="3">
      <t>ムネオカ</t>
    </rPh>
    <phoneticPr fontId="2"/>
  </si>
  <si>
    <t>353-0001</t>
    <phoneticPr fontId="2"/>
  </si>
  <si>
    <t>048-473-6780</t>
    <phoneticPr fontId="2"/>
  </si>
  <si>
    <t>048-473-6771</t>
    <phoneticPr fontId="2"/>
  </si>
  <si>
    <t>東武東上線志木駅東口から国際興業バス南与野駅西口行き「宿」下車徒歩5分</t>
    <rPh sb="0" eb="5">
      <t>トウブトウジョウセン</t>
    </rPh>
    <rPh sb="5" eb="8">
      <t>シキエキ</t>
    </rPh>
    <rPh sb="8" eb="10">
      <t>ヒガシグチ</t>
    </rPh>
    <rPh sb="12" eb="14">
      <t>コクサイ</t>
    </rPh>
    <rPh sb="14" eb="16">
      <t>コウギョウ</t>
    </rPh>
    <rPh sb="18" eb="21">
      <t>ミナミヨノ</t>
    </rPh>
    <rPh sb="21" eb="22">
      <t>エキ</t>
    </rPh>
    <rPh sb="22" eb="24">
      <t>ニシグチ</t>
    </rPh>
    <rPh sb="24" eb="25">
      <t>イキ</t>
    </rPh>
    <rPh sb="27" eb="28">
      <t>シュク</t>
    </rPh>
    <rPh sb="29" eb="31">
      <t>ゲシャ</t>
    </rPh>
    <rPh sb="31" eb="33">
      <t>トホ</t>
    </rPh>
    <rPh sb="34" eb="35">
      <t>フン</t>
    </rPh>
    <phoneticPr fontId="2"/>
  </si>
  <si>
    <t>(株）日本クリード</t>
    <rPh sb="1" eb="2">
      <t>カブ</t>
    </rPh>
    <rPh sb="3" eb="5">
      <t>ニホン</t>
    </rPh>
    <phoneticPr fontId="2"/>
  </si>
  <si>
    <t>宇都宮線東鷲宮駅から徒歩12分</t>
    <rPh sb="0" eb="3">
      <t>ウツノミヤ</t>
    </rPh>
    <rPh sb="3" eb="4">
      <t>セン</t>
    </rPh>
    <rPh sb="4" eb="5">
      <t>ヒガシ</t>
    </rPh>
    <rPh sb="5" eb="7">
      <t>ワシミヤ</t>
    </rPh>
    <rPh sb="7" eb="8">
      <t>エキ</t>
    </rPh>
    <rPh sb="10" eb="12">
      <t>トホ</t>
    </rPh>
    <rPh sb="14" eb="15">
      <t>フン</t>
    </rPh>
    <phoneticPr fontId="2"/>
  </si>
  <si>
    <t>東武スカイツリーライン新越谷駅から朝日バス草加東高校行き「草加高校バス停」下車徒歩３分</t>
    <rPh sb="0" eb="2">
      <t>トウブ</t>
    </rPh>
    <rPh sb="11" eb="15">
      <t>シンコシガヤエキ</t>
    </rPh>
    <rPh sb="17" eb="19">
      <t>アサヒ</t>
    </rPh>
    <rPh sb="21" eb="23">
      <t>ソウカ</t>
    </rPh>
    <rPh sb="23" eb="24">
      <t>ヒガシ</t>
    </rPh>
    <rPh sb="24" eb="26">
      <t>コウコウ</t>
    </rPh>
    <rPh sb="26" eb="27">
      <t>イ</t>
    </rPh>
    <rPh sb="29" eb="31">
      <t>ソウカ</t>
    </rPh>
    <rPh sb="31" eb="33">
      <t>コウコウ</t>
    </rPh>
    <rPh sb="35" eb="36">
      <t>テイ</t>
    </rPh>
    <rPh sb="37" eb="39">
      <t>ゲシャ</t>
    </rPh>
    <rPh sb="39" eb="41">
      <t>トホ</t>
    </rPh>
    <rPh sb="42" eb="43">
      <t>フン</t>
    </rPh>
    <phoneticPr fontId="2"/>
  </si>
  <si>
    <t>東武スカイツリーラインせんげん台駅東口から茨城急行バス大正大学入口行き「前原」下車徒歩3分</t>
    <rPh sb="0" eb="2">
      <t>トウブ</t>
    </rPh>
    <rPh sb="15" eb="17">
      <t>ダイエキ</t>
    </rPh>
    <rPh sb="17" eb="19">
      <t>ヒガシグチ</t>
    </rPh>
    <rPh sb="21" eb="23">
      <t>イバラキ</t>
    </rPh>
    <rPh sb="23" eb="25">
      <t>キュウコウ</t>
    </rPh>
    <rPh sb="33" eb="34">
      <t>イ</t>
    </rPh>
    <rPh sb="36" eb="38">
      <t>マエハラ</t>
    </rPh>
    <rPh sb="39" eb="41">
      <t>ゲシャ</t>
    </rPh>
    <rPh sb="41" eb="43">
      <t>トホ</t>
    </rPh>
    <rPh sb="44" eb="45">
      <t>フン</t>
    </rPh>
    <phoneticPr fontId="2"/>
  </si>
  <si>
    <t>東武線北越谷駅より茨城急行バスエローラ行「ゆめみ野東」下車徒歩8分</t>
    <rPh sb="0" eb="3">
      <t>トウブセン</t>
    </rPh>
    <rPh sb="3" eb="6">
      <t>キタコシガヤ</t>
    </rPh>
    <rPh sb="4" eb="5">
      <t>トウホク</t>
    </rPh>
    <rPh sb="6" eb="7">
      <t>エキ</t>
    </rPh>
    <rPh sb="9" eb="11">
      <t>イバラキ</t>
    </rPh>
    <rPh sb="11" eb="13">
      <t>キュウコウ</t>
    </rPh>
    <rPh sb="19" eb="20">
      <t>ユ</t>
    </rPh>
    <rPh sb="24" eb="25">
      <t>ノ</t>
    </rPh>
    <rPh sb="25" eb="26">
      <t>ヒガシ</t>
    </rPh>
    <rPh sb="27" eb="29">
      <t>ゲシャ</t>
    </rPh>
    <rPh sb="29" eb="31">
      <t>トホ</t>
    </rPh>
    <rPh sb="32" eb="33">
      <t>フン</t>
    </rPh>
    <phoneticPr fontId="2"/>
  </si>
  <si>
    <t>東武線北越谷駅もしくは武蔵野線吉川駅から茨城急行バスエローラ行終点下車徒歩1分</t>
    <rPh sb="0" eb="2">
      <t>トウブ</t>
    </rPh>
    <rPh sb="2" eb="3">
      <t>セン</t>
    </rPh>
    <rPh sb="3" eb="7">
      <t>キタコシガヤエキ</t>
    </rPh>
    <rPh sb="11" eb="15">
      <t>ムサシノセン</t>
    </rPh>
    <rPh sb="15" eb="17">
      <t>ヨシカワ</t>
    </rPh>
    <rPh sb="17" eb="18">
      <t>エキ</t>
    </rPh>
    <rPh sb="20" eb="22">
      <t>イバラキ</t>
    </rPh>
    <rPh sb="22" eb="24">
      <t>キュウコウ</t>
    </rPh>
    <rPh sb="31" eb="33">
      <t>シュウテン</t>
    </rPh>
    <rPh sb="33" eb="35">
      <t>ゲシャ</t>
    </rPh>
    <rPh sb="35" eb="37">
      <t>トホ</t>
    </rPh>
    <rPh sb="38" eb="39">
      <t>プン</t>
    </rPh>
    <phoneticPr fontId="2"/>
  </si>
  <si>
    <t>三郷2-2-3 岡田ビル4F</t>
    <rPh sb="0" eb="2">
      <t>ミサト</t>
    </rPh>
    <rPh sb="8" eb="10">
      <t>オカダ</t>
    </rPh>
    <phoneticPr fontId="2"/>
  </si>
  <si>
    <t>048-951-5890</t>
    <phoneticPr fontId="2"/>
  </si>
  <si>
    <t>048-951-5898</t>
    <phoneticPr fontId="2"/>
  </si>
  <si>
    <t>○</t>
    <phoneticPr fontId="2"/>
  </si>
  <si>
    <t>(株)千真</t>
    <rPh sb="0" eb="3">
      <t>カブ</t>
    </rPh>
    <rPh sb="3" eb="4">
      <t>セン</t>
    </rPh>
    <rPh sb="4" eb="5">
      <t>シン</t>
    </rPh>
    <phoneticPr fontId="2"/>
  </si>
  <si>
    <t>スタークリエイト</t>
    <phoneticPr fontId="2"/>
  </si>
  <si>
    <t>さいたま市</t>
    <phoneticPr fontId="2"/>
  </si>
  <si>
    <t>岩槻区本町3-4-19 第一鈴木ビル201</t>
    <rPh sb="0" eb="2">
      <t>イワツキ</t>
    </rPh>
    <rPh sb="2" eb="3">
      <t>ク</t>
    </rPh>
    <rPh sb="3" eb="5">
      <t>ホンマチ</t>
    </rPh>
    <rPh sb="12" eb="14">
      <t>ダイイチ</t>
    </rPh>
    <rPh sb="14" eb="16">
      <t>スズキ</t>
    </rPh>
    <phoneticPr fontId="2"/>
  </si>
  <si>
    <t>339-0057</t>
    <phoneticPr fontId="2"/>
  </si>
  <si>
    <t>048-797-9602</t>
    <phoneticPr fontId="2"/>
  </si>
  <si>
    <t>048-797-9603</t>
    <phoneticPr fontId="2"/>
  </si>
  <si>
    <t>○</t>
    <phoneticPr fontId="2"/>
  </si>
  <si>
    <t>岩槻駅から徒歩4分</t>
    <rPh sb="0" eb="2">
      <t>イワツキ</t>
    </rPh>
    <rPh sb="2" eb="3">
      <t>エキ</t>
    </rPh>
    <rPh sb="5" eb="7">
      <t>トホ</t>
    </rPh>
    <rPh sb="8" eb="9">
      <t>フン</t>
    </rPh>
    <phoneticPr fontId="2"/>
  </si>
  <si>
    <t>Caféにじさんぽ</t>
  </si>
  <si>
    <t>（特非）にじさんぽ</t>
    <phoneticPr fontId="2"/>
  </si>
  <si>
    <t>343-0025</t>
    <phoneticPr fontId="2"/>
  </si>
  <si>
    <t>048-947-7791</t>
  </si>
  <si>
    <t>048-918-3545</t>
  </si>
  <si>
    <t>東武スカイツリーラン越谷駅から徒歩1分</t>
    <rPh sb="0" eb="2">
      <t>トウブ</t>
    </rPh>
    <rPh sb="10" eb="13">
      <t>コシガヤエキ</t>
    </rPh>
    <rPh sb="15" eb="17">
      <t>トホ</t>
    </rPh>
    <rPh sb="18" eb="19">
      <t>フン</t>
    </rPh>
    <phoneticPr fontId="2"/>
  </si>
  <si>
    <t>東武スカイツリーラン北越谷駅東口から徒歩11分</t>
    <rPh sb="10" eb="13">
      <t>キタコシガヤ</t>
    </rPh>
    <rPh sb="14" eb="16">
      <t>ヒガシグチ</t>
    </rPh>
    <phoneticPr fontId="2"/>
  </si>
  <si>
    <t>赤山本町8-14　第一ＪＭビル２Ｆ</t>
    <rPh sb="0" eb="2">
      <t>アカヤマ</t>
    </rPh>
    <rPh sb="2" eb="3">
      <t>ホン</t>
    </rPh>
    <rPh sb="3" eb="4">
      <t>マチ</t>
    </rPh>
    <rPh sb="9" eb="11">
      <t>ダイイチ</t>
    </rPh>
    <phoneticPr fontId="2"/>
  </si>
  <si>
    <t>大沢4-2-13 2F</t>
    <rPh sb="0" eb="2">
      <t>オオサワ</t>
    </rPh>
    <phoneticPr fontId="2"/>
  </si>
  <si>
    <t>(株)東和瓦建材</t>
    <rPh sb="1" eb="2">
      <t>カブ</t>
    </rPh>
    <rPh sb="3" eb="5">
      <t>トウワ</t>
    </rPh>
    <rPh sb="5" eb="6">
      <t>カワラ</t>
    </rPh>
    <rPh sb="6" eb="8">
      <t>ケンザイ</t>
    </rPh>
    <phoneticPr fontId="2"/>
  </si>
  <si>
    <t>穂の里</t>
    <rPh sb="0" eb="1">
      <t>ホ</t>
    </rPh>
    <rPh sb="2" eb="3">
      <t>サト</t>
    </rPh>
    <phoneticPr fontId="2"/>
  </si>
  <si>
    <t>上原422-1</t>
    <rPh sb="0" eb="2">
      <t>ウエハラ</t>
    </rPh>
    <phoneticPr fontId="2"/>
  </si>
  <si>
    <t>369-1109</t>
    <phoneticPr fontId="2"/>
  </si>
  <si>
    <t>048-578-8435</t>
    <phoneticPr fontId="2"/>
  </si>
  <si>
    <t>○</t>
    <phoneticPr fontId="2"/>
  </si>
  <si>
    <t>東武東上線志木駅東口から国際興業バス浦和駅西口行「宗岡公民館」下車徒歩1分</t>
    <rPh sb="0" eb="5">
      <t>トウブトウジョウセン</t>
    </rPh>
    <rPh sb="5" eb="8">
      <t>シキエキ</t>
    </rPh>
    <rPh sb="8" eb="10">
      <t>ヒガシグチ</t>
    </rPh>
    <rPh sb="12" eb="14">
      <t>コクサイ</t>
    </rPh>
    <rPh sb="14" eb="16">
      <t>コウギョウ</t>
    </rPh>
    <rPh sb="18" eb="21">
      <t>ウラワエキ</t>
    </rPh>
    <rPh sb="21" eb="23">
      <t>ニシグチ</t>
    </rPh>
    <rPh sb="23" eb="24">
      <t>イキ</t>
    </rPh>
    <rPh sb="25" eb="27">
      <t>ムネオカ</t>
    </rPh>
    <rPh sb="27" eb="30">
      <t>コウミンカン</t>
    </rPh>
    <rPh sb="31" eb="33">
      <t>ゲシャ</t>
    </rPh>
    <rPh sb="33" eb="35">
      <t>トホ</t>
    </rPh>
    <rPh sb="36" eb="37">
      <t>プン</t>
    </rPh>
    <phoneticPr fontId="2"/>
  </si>
  <si>
    <t>秩父鉄道武川駅から徒歩12分</t>
    <rPh sb="0" eb="2">
      <t>チチブ</t>
    </rPh>
    <rPh sb="2" eb="4">
      <t>テツドウ</t>
    </rPh>
    <rPh sb="4" eb="6">
      <t>タケカワ</t>
    </rPh>
    <rPh sb="6" eb="7">
      <t>エキ</t>
    </rPh>
    <rPh sb="9" eb="11">
      <t>トホ</t>
    </rPh>
    <rPh sb="13" eb="14">
      <t>フン</t>
    </rPh>
    <phoneticPr fontId="2"/>
  </si>
  <si>
    <t>オハナ</t>
    <phoneticPr fontId="2"/>
  </si>
  <si>
    <t>048-734-0601</t>
    <phoneticPr fontId="2"/>
  </si>
  <si>
    <t>048-734-0602</t>
    <phoneticPr fontId="2"/>
  </si>
  <si>
    <t>○</t>
    <phoneticPr fontId="2"/>
  </si>
  <si>
    <t>グースサポート</t>
    <phoneticPr fontId="2"/>
  </si>
  <si>
    <t>354-0018</t>
    <phoneticPr fontId="2"/>
  </si>
  <si>
    <t>049-293-7184</t>
    <phoneticPr fontId="2"/>
  </si>
  <si>
    <t>049-293-7185</t>
    <phoneticPr fontId="2"/>
  </si>
  <si>
    <t>349-0103</t>
    <phoneticPr fontId="2"/>
  </si>
  <si>
    <t>048-792-0696</t>
    <phoneticPr fontId="2"/>
  </si>
  <si>
    <t>048-792-0697</t>
    <phoneticPr fontId="2"/>
  </si>
  <si>
    <t>346-0011</t>
    <phoneticPr fontId="2"/>
  </si>
  <si>
    <t>0480-44-8532</t>
    <phoneticPr fontId="2"/>
  </si>
  <si>
    <t>○</t>
    <phoneticPr fontId="2"/>
  </si>
  <si>
    <t>ワークステーション風</t>
    <rPh sb="9" eb="10">
      <t>カゼ</t>
    </rPh>
    <phoneticPr fontId="2"/>
  </si>
  <si>
    <t>青毛2-10-32</t>
    <rPh sb="0" eb="2">
      <t>アオゲ</t>
    </rPh>
    <phoneticPr fontId="2"/>
  </si>
  <si>
    <t>JR、東部伊勢崎線久喜駅から朝日バス青葉団地循環等「青毛バス停」下車徒歩3分</t>
    <rPh sb="3" eb="5">
      <t>トウブ</t>
    </rPh>
    <rPh sb="5" eb="8">
      <t>イセサキ</t>
    </rPh>
    <rPh sb="8" eb="9">
      <t>セン</t>
    </rPh>
    <rPh sb="9" eb="11">
      <t>クキ</t>
    </rPh>
    <rPh sb="11" eb="12">
      <t>エキ</t>
    </rPh>
    <rPh sb="14" eb="16">
      <t>アサヒ</t>
    </rPh>
    <rPh sb="18" eb="20">
      <t>アオバ</t>
    </rPh>
    <rPh sb="20" eb="22">
      <t>ダンチ</t>
    </rPh>
    <rPh sb="22" eb="24">
      <t>ジュンカン</t>
    </rPh>
    <rPh sb="24" eb="25">
      <t>トウ</t>
    </rPh>
    <rPh sb="26" eb="28">
      <t>アオゲ</t>
    </rPh>
    <rPh sb="30" eb="31">
      <t>テイ</t>
    </rPh>
    <rPh sb="32" eb="34">
      <t>ゲシャ</t>
    </rPh>
    <rPh sb="34" eb="36">
      <t>トホ</t>
    </rPh>
    <rPh sb="37" eb="38">
      <t>プン</t>
    </rPh>
    <phoneticPr fontId="2"/>
  </si>
  <si>
    <t>(特非)とさき</t>
    <rPh sb="1" eb="2">
      <t>トク</t>
    </rPh>
    <rPh sb="2" eb="3">
      <t>ヒ</t>
    </rPh>
    <phoneticPr fontId="2"/>
  </si>
  <si>
    <t>（福）ゆうき福祉会</t>
    <rPh sb="1" eb="2">
      <t>フク</t>
    </rPh>
    <rPh sb="6" eb="8">
      <t>フクシ</t>
    </rPh>
    <rPh sb="8" eb="9">
      <t>カイ</t>
    </rPh>
    <phoneticPr fontId="2"/>
  </si>
  <si>
    <t>Work &amp; life Sta. 志木すだち</t>
    <rPh sb="17" eb="19">
      <t>シキ</t>
    </rPh>
    <phoneticPr fontId="2"/>
  </si>
  <si>
    <t>中宗岡1-18-23</t>
    <rPh sb="0" eb="1">
      <t>ナカ</t>
    </rPh>
    <rPh sb="1" eb="3">
      <t>ムネオカ</t>
    </rPh>
    <phoneticPr fontId="2"/>
  </si>
  <si>
    <t>048-423-2738</t>
    <phoneticPr fontId="2"/>
  </si>
  <si>
    <t>048-423-2739</t>
    <phoneticPr fontId="2"/>
  </si>
  <si>
    <t>（一社）MeRise</t>
    <rPh sb="1" eb="2">
      <t>イチ</t>
    </rPh>
    <rPh sb="2" eb="3">
      <t>シャ</t>
    </rPh>
    <phoneticPr fontId="2"/>
  </si>
  <si>
    <t>所沢みらい図</t>
    <rPh sb="0" eb="2">
      <t>トコロザワ</t>
    </rPh>
    <rPh sb="5" eb="6">
      <t>ズ</t>
    </rPh>
    <phoneticPr fontId="2"/>
  </si>
  <si>
    <t>04-2968-7724</t>
    <phoneticPr fontId="2"/>
  </si>
  <si>
    <t>04-2968-7752</t>
    <phoneticPr fontId="2"/>
  </si>
  <si>
    <t>（特非）ぽてとto地域福祉の会</t>
    <rPh sb="1" eb="2">
      <t>トク</t>
    </rPh>
    <rPh sb="2" eb="3">
      <t>ヒ</t>
    </rPh>
    <rPh sb="9" eb="11">
      <t>チイキ</t>
    </rPh>
    <rPh sb="11" eb="13">
      <t>フクシ</t>
    </rPh>
    <rPh sb="14" eb="15">
      <t>カイ</t>
    </rPh>
    <phoneticPr fontId="2"/>
  </si>
  <si>
    <t>ぽてと工房</t>
    <rPh sb="3" eb="5">
      <t>コウボウ</t>
    </rPh>
    <phoneticPr fontId="2"/>
  </si>
  <si>
    <t>千代田4-6-33</t>
    <rPh sb="0" eb="3">
      <t>チヨダ</t>
    </rPh>
    <phoneticPr fontId="2"/>
  </si>
  <si>
    <t>東武東上線若葉駅から徒歩15分</t>
    <rPh sb="0" eb="2">
      <t>トウブ</t>
    </rPh>
    <rPh sb="2" eb="4">
      <t>トウジョウ</t>
    </rPh>
    <rPh sb="4" eb="5">
      <t>セン</t>
    </rPh>
    <rPh sb="5" eb="8">
      <t>ワカバエキ</t>
    </rPh>
    <rPh sb="10" eb="12">
      <t>トホ</t>
    </rPh>
    <rPh sb="14" eb="15">
      <t>フン</t>
    </rPh>
    <phoneticPr fontId="2"/>
  </si>
  <si>
    <t>東武東上線志木駅から国際興業バス「宗岡小学校」下車徒歩9分</t>
    <rPh sb="0" eb="5">
      <t>トウブトウジョウセン</t>
    </rPh>
    <rPh sb="5" eb="8">
      <t>シキエキ</t>
    </rPh>
    <rPh sb="10" eb="12">
      <t>コクサイ</t>
    </rPh>
    <rPh sb="12" eb="14">
      <t>コウギョウ</t>
    </rPh>
    <rPh sb="17" eb="19">
      <t>ムネオカ</t>
    </rPh>
    <rPh sb="19" eb="22">
      <t>ショウガッコウ</t>
    </rPh>
    <rPh sb="23" eb="25">
      <t>ゲシャ</t>
    </rPh>
    <rPh sb="25" eb="27">
      <t>トホ</t>
    </rPh>
    <rPh sb="28" eb="29">
      <t>フン</t>
    </rPh>
    <phoneticPr fontId="2"/>
  </si>
  <si>
    <t>○</t>
    <phoneticPr fontId="2"/>
  </si>
  <si>
    <t>(特非)きらきら星</t>
    <rPh sb="8" eb="9">
      <t>ホシ</t>
    </rPh>
    <phoneticPr fontId="2"/>
  </si>
  <si>
    <t>多機能型支援事業所きらきら</t>
    <rPh sb="4" eb="6">
      <t>シエン</t>
    </rPh>
    <rPh sb="6" eb="9">
      <t>ジギョウショ</t>
    </rPh>
    <phoneticPr fontId="2"/>
  </si>
  <si>
    <t>うれし野2-15-7</t>
    <rPh sb="3" eb="4">
      <t>ノ</t>
    </rPh>
    <phoneticPr fontId="2"/>
  </si>
  <si>
    <t>356-0056</t>
    <phoneticPr fontId="2"/>
  </si>
  <si>
    <t>049-293-1934</t>
    <phoneticPr fontId="2"/>
  </si>
  <si>
    <t>東武東上線ふじみ野駅西口から徒歩10分
※放課後等デイサービスとの多機能</t>
    <rPh sb="8" eb="9">
      <t>ノ</t>
    </rPh>
    <rPh sb="9" eb="10">
      <t>エキ</t>
    </rPh>
    <rPh sb="10" eb="12">
      <t>ニシグチ</t>
    </rPh>
    <rPh sb="14" eb="16">
      <t>トホ</t>
    </rPh>
    <rPh sb="18" eb="19">
      <t>フン</t>
    </rPh>
    <rPh sb="33" eb="36">
      <t>タキノウ</t>
    </rPh>
    <phoneticPr fontId="2"/>
  </si>
  <si>
    <t>ライフエール(株)</t>
    <rPh sb="6" eb="9">
      <t>カブ</t>
    </rPh>
    <phoneticPr fontId="2"/>
  </si>
  <si>
    <t>ほーぷ</t>
    <phoneticPr fontId="2"/>
  </si>
  <si>
    <t>小島南3-1-16 1-A</t>
    <rPh sb="0" eb="2">
      <t>コジマ</t>
    </rPh>
    <rPh sb="2" eb="3">
      <t>ミナミ</t>
    </rPh>
    <phoneticPr fontId="2"/>
  </si>
  <si>
    <t>367-0062</t>
    <phoneticPr fontId="2"/>
  </si>
  <si>
    <t>0495-25-7222</t>
    <phoneticPr fontId="2"/>
  </si>
  <si>
    <t>0495-25-7555</t>
    <phoneticPr fontId="2"/>
  </si>
  <si>
    <t>JR高崎線本庄駅から はにぽん号（本庄南）「池田レディースクリニック前」下車徒歩1分</t>
    <rPh sb="2" eb="5">
      <t>タカサキセン</t>
    </rPh>
    <rPh sb="5" eb="8">
      <t>ホンジョウエキ</t>
    </rPh>
    <rPh sb="15" eb="16">
      <t>ゴウ</t>
    </rPh>
    <rPh sb="17" eb="19">
      <t>ホンジョウ</t>
    </rPh>
    <rPh sb="19" eb="20">
      <t>ミナミ</t>
    </rPh>
    <rPh sb="22" eb="24">
      <t>イケダ</t>
    </rPh>
    <rPh sb="34" eb="35">
      <t>マエ</t>
    </rPh>
    <rPh sb="36" eb="38">
      <t>ゲシャ</t>
    </rPh>
    <rPh sb="38" eb="40">
      <t>トホ</t>
    </rPh>
    <rPh sb="41" eb="42">
      <t>プン</t>
    </rPh>
    <phoneticPr fontId="2"/>
  </si>
  <si>
    <t>多機能型事業所　え～る</t>
    <phoneticPr fontId="2"/>
  </si>
  <si>
    <t>354-0017</t>
    <phoneticPr fontId="2"/>
  </si>
  <si>
    <t>049-257-6768</t>
    <phoneticPr fontId="2"/>
  </si>
  <si>
    <t>049-257-6786</t>
    <phoneticPr fontId="2"/>
  </si>
  <si>
    <t>東武東上線みずほ台駅下車徒歩10分</t>
    <phoneticPr fontId="2"/>
  </si>
  <si>
    <t>アルト・ボラルあおぞら</t>
    <phoneticPr fontId="2"/>
  </si>
  <si>
    <t>○</t>
    <phoneticPr fontId="2"/>
  </si>
  <si>
    <t>(特非)くき愛結みの会</t>
    <rPh sb="1" eb="2">
      <t>トク</t>
    </rPh>
    <rPh sb="2" eb="3">
      <t>ヒ</t>
    </rPh>
    <rPh sb="6" eb="7">
      <t>アイ</t>
    </rPh>
    <rPh sb="7" eb="8">
      <t>ユ</t>
    </rPh>
    <rPh sb="10" eb="11">
      <t>カイ</t>
    </rPh>
    <phoneticPr fontId="2"/>
  </si>
  <si>
    <t>障がい者福祉施設　夢・みらい</t>
  </si>
  <si>
    <t>北青柳1302-3</t>
    <rPh sb="0" eb="1">
      <t>キタ</t>
    </rPh>
    <rPh sb="1" eb="3">
      <t>アオヤナギ</t>
    </rPh>
    <phoneticPr fontId="2"/>
  </si>
  <si>
    <t>346-0024</t>
    <phoneticPr fontId="2"/>
  </si>
  <si>
    <t>JR宇都宮線久喜駅から徐堀・所久喜循環バス「すみれ保育園前」下車徒歩3分</t>
    <rPh sb="2" eb="5">
      <t>ウツノミヤ</t>
    </rPh>
    <rPh sb="5" eb="6">
      <t>セン</t>
    </rPh>
    <rPh sb="6" eb="8">
      <t>クキ</t>
    </rPh>
    <rPh sb="8" eb="9">
      <t>エキ</t>
    </rPh>
    <rPh sb="11" eb="12">
      <t>ジョ</t>
    </rPh>
    <rPh sb="12" eb="13">
      <t>ホリ</t>
    </rPh>
    <rPh sb="14" eb="15">
      <t>トコロ</t>
    </rPh>
    <rPh sb="15" eb="17">
      <t>クキ</t>
    </rPh>
    <rPh sb="17" eb="19">
      <t>ジュンカン</t>
    </rPh>
    <rPh sb="25" eb="28">
      <t>ホイクエン</t>
    </rPh>
    <rPh sb="28" eb="29">
      <t>マエ</t>
    </rPh>
    <rPh sb="30" eb="32">
      <t>ゲシャ</t>
    </rPh>
    <rPh sb="32" eb="34">
      <t>トホ</t>
    </rPh>
    <rPh sb="35" eb="36">
      <t>フン</t>
    </rPh>
    <phoneticPr fontId="2"/>
  </si>
  <si>
    <t>(特非)なかよしねっと</t>
    <rPh sb="1" eb="2">
      <t>トク</t>
    </rPh>
    <rPh sb="2" eb="3">
      <t>ヒ</t>
    </rPh>
    <phoneticPr fontId="2"/>
  </si>
  <si>
    <t>なかよしかふぇ</t>
    <phoneticPr fontId="2"/>
  </si>
  <si>
    <t>朝志ヶ丘1-2-6-108</t>
    <rPh sb="0" eb="1">
      <t>アサ</t>
    </rPh>
    <rPh sb="1" eb="2">
      <t>ココロザシ</t>
    </rPh>
    <rPh sb="3" eb="4">
      <t>オカ</t>
    </rPh>
    <phoneticPr fontId="2"/>
  </si>
  <si>
    <t>351-0035</t>
    <phoneticPr fontId="2"/>
  </si>
  <si>
    <t>048-476-6386</t>
    <phoneticPr fontId="2"/>
  </si>
  <si>
    <t>○</t>
    <phoneticPr fontId="2"/>
  </si>
  <si>
    <t>武蔵野線北朝霞駅から市内循環バス宮戸線「北朝霞公民館前」下車徒歩1分</t>
    <rPh sb="0" eb="3">
      <t>ムサシノ</t>
    </rPh>
    <rPh sb="3" eb="4">
      <t>セン</t>
    </rPh>
    <rPh sb="4" eb="8">
      <t>キタアサカエキ</t>
    </rPh>
    <rPh sb="10" eb="12">
      <t>シナイ</t>
    </rPh>
    <rPh sb="12" eb="14">
      <t>ジュンカン</t>
    </rPh>
    <rPh sb="16" eb="18">
      <t>ミヤド</t>
    </rPh>
    <rPh sb="18" eb="19">
      <t>セン</t>
    </rPh>
    <rPh sb="20" eb="23">
      <t>キタアサカ</t>
    </rPh>
    <rPh sb="23" eb="26">
      <t>コウミンカン</t>
    </rPh>
    <rPh sb="26" eb="27">
      <t>マエ</t>
    </rPh>
    <rPh sb="28" eb="30">
      <t>ゲシャ</t>
    </rPh>
    <rPh sb="30" eb="32">
      <t>トホ</t>
    </rPh>
    <rPh sb="33" eb="34">
      <t>プン</t>
    </rPh>
    <phoneticPr fontId="2"/>
  </si>
  <si>
    <t>（福）橙</t>
    <rPh sb="1" eb="2">
      <t>フク</t>
    </rPh>
    <rPh sb="3" eb="4">
      <t>ダイダイ</t>
    </rPh>
    <phoneticPr fontId="2"/>
  </si>
  <si>
    <t>明日葉</t>
    <rPh sb="0" eb="3">
      <t>アシタバ</t>
    </rPh>
    <phoneticPr fontId="2"/>
  </si>
  <si>
    <t>大字須加1742-1</t>
    <rPh sb="0" eb="2">
      <t>オオアザ</t>
    </rPh>
    <rPh sb="2" eb="4">
      <t>スカ</t>
    </rPh>
    <phoneticPr fontId="2"/>
  </si>
  <si>
    <t>048-563-6010</t>
    <phoneticPr fontId="2"/>
  </si>
  <si>
    <t>048-550-6011</t>
    <phoneticPr fontId="2"/>
  </si>
  <si>
    <t>秩父鉄道「東行田駅」から北東循環バス「須加公民館」下車徒歩3分</t>
    <rPh sb="0" eb="2">
      <t>チチブ</t>
    </rPh>
    <rPh sb="2" eb="4">
      <t>テツドウ</t>
    </rPh>
    <rPh sb="5" eb="6">
      <t>ヒガシ</t>
    </rPh>
    <rPh sb="6" eb="8">
      <t>ギョウダ</t>
    </rPh>
    <rPh sb="8" eb="9">
      <t>エキ</t>
    </rPh>
    <rPh sb="12" eb="14">
      <t>ホクトウ</t>
    </rPh>
    <rPh sb="14" eb="16">
      <t>ジュンカン</t>
    </rPh>
    <rPh sb="19" eb="21">
      <t>スカ</t>
    </rPh>
    <rPh sb="21" eb="24">
      <t>コウミンカン</t>
    </rPh>
    <rPh sb="25" eb="27">
      <t>ゲシャ</t>
    </rPh>
    <rPh sb="27" eb="29">
      <t>トホ</t>
    </rPh>
    <rPh sb="30" eb="31">
      <t>プン</t>
    </rPh>
    <phoneticPr fontId="2"/>
  </si>
  <si>
    <t>(福）宮代町社会福祉協議会</t>
    <rPh sb="1" eb="2">
      <t>フク</t>
    </rPh>
    <rPh sb="3" eb="5">
      <t>ミヤシロ</t>
    </rPh>
    <rPh sb="5" eb="6">
      <t>マチ</t>
    </rPh>
    <rPh sb="6" eb="8">
      <t>シャカイ</t>
    </rPh>
    <rPh sb="8" eb="10">
      <t>フクシ</t>
    </rPh>
    <rPh sb="10" eb="13">
      <t>キョウギカイ</t>
    </rPh>
    <phoneticPr fontId="2"/>
  </si>
  <si>
    <t>宮代ひまわりの家</t>
    <rPh sb="0" eb="2">
      <t>ミヤシロ</t>
    </rPh>
    <rPh sb="7" eb="8">
      <t>イエ</t>
    </rPh>
    <phoneticPr fontId="2"/>
  </si>
  <si>
    <t>（福）彩凜会</t>
    <rPh sb="1" eb="2">
      <t>フク</t>
    </rPh>
    <rPh sb="3" eb="4">
      <t>イロドリ</t>
    </rPh>
    <rPh sb="4" eb="5">
      <t>リン</t>
    </rPh>
    <rPh sb="5" eb="6">
      <t>カイ</t>
    </rPh>
    <phoneticPr fontId="2"/>
  </si>
  <si>
    <t>大字川藤14-1</t>
    <rPh sb="0" eb="2">
      <t>オオアザ</t>
    </rPh>
    <rPh sb="2" eb="3">
      <t>カワ</t>
    </rPh>
    <rPh sb="3" eb="4">
      <t>フジ</t>
    </rPh>
    <phoneticPr fontId="2"/>
  </si>
  <si>
    <t>JR吉川駅北口から茨城急行バス エローラ・ゆめみ野行き「川野集会所」下車徒歩6分</t>
    <rPh sb="2" eb="4">
      <t>ヨシカワ</t>
    </rPh>
    <rPh sb="4" eb="5">
      <t>エキ</t>
    </rPh>
    <rPh sb="5" eb="7">
      <t>キタグチ</t>
    </rPh>
    <rPh sb="9" eb="11">
      <t>イバラキ</t>
    </rPh>
    <rPh sb="11" eb="13">
      <t>キュウコウ</t>
    </rPh>
    <rPh sb="24" eb="25">
      <t>ノ</t>
    </rPh>
    <rPh sb="25" eb="26">
      <t>イキ</t>
    </rPh>
    <rPh sb="28" eb="30">
      <t>カワノ</t>
    </rPh>
    <rPh sb="30" eb="33">
      <t>シュウカイジョ</t>
    </rPh>
    <rPh sb="34" eb="36">
      <t>ゲシャ</t>
    </rPh>
    <rPh sb="36" eb="38">
      <t>トホ</t>
    </rPh>
    <rPh sb="39" eb="40">
      <t>プン</t>
    </rPh>
    <phoneticPr fontId="2"/>
  </si>
  <si>
    <t>(福)埼玉県社会福祉事業団</t>
    <phoneticPr fontId="2"/>
  </si>
  <si>
    <t>048-584-2506</t>
    <phoneticPr fontId="2"/>
  </si>
  <si>
    <t>048-584-5081</t>
    <phoneticPr fontId="2"/>
  </si>
  <si>
    <t>○</t>
    <phoneticPr fontId="2"/>
  </si>
  <si>
    <t>花園</t>
    <phoneticPr fontId="2"/>
  </si>
  <si>
    <t>深谷市</t>
    <phoneticPr fontId="2"/>
  </si>
  <si>
    <t>小前田2691</t>
    <phoneticPr fontId="2"/>
  </si>
  <si>
    <t>349-1154</t>
    <phoneticPr fontId="2"/>
  </si>
  <si>
    <t>0480-72-6281</t>
    <phoneticPr fontId="2"/>
  </si>
  <si>
    <t>0480-72-6298</t>
    <phoneticPr fontId="2"/>
  </si>
  <si>
    <t>(有)かねまた</t>
    <rPh sb="1" eb="2">
      <t>アリ</t>
    </rPh>
    <phoneticPr fontId="2"/>
  </si>
  <si>
    <t>フレンドリー小川</t>
    <rPh sb="6" eb="8">
      <t>オガワ</t>
    </rPh>
    <phoneticPr fontId="2"/>
  </si>
  <si>
    <t>増尾129-1</t>
    <rPh sb="0" eb="2">
      <t>マスオ</t>
    </rPh>
    <phoneticPr fontId="2"/>
  </si>
  <si>
    <t>355-0332</t>
    <phoneticPr fontId="2"/>
  </si>
  <si>
    <t>0493-53-6006</t>
    <phoneticPr fontId="2"/>
  </si>
  <si>
    <t>0493-53-6621</t>
    <phoneticPr fontId="2"/>
  </si>
  <si>
    <t>東武東上線小川町駅から徒歩20分</t>
    <rPh sb="0" eb="2">
      <t>トウブ</t>
    </rPh>
    <rPh sb="2" eb="4">
      <t>トウジョウ</t>
    </rPh>
    <rPh sb="4" eb="5">
      <t>セン</t>
    </rPh>
    <rPh sb="5" eb="8">
      <t>オガワマチ</t>
    </rPh>
    <rPh sb="8" eb="9">
      <t>エキ</t>
    </rPh>
    <rPh sb="11" eb="13">
      <t>トホ</t>
    </rPh>
    <rPh sb="15" eb="16">
      <t>フン</t>
    </rPh>
    <phoneticPr fontId="2"/>
  </si>
  <si>
    <t>南町2-21-2
蕨市交流プラザ1F</t>
    <rPh sb="0" eb="2">
      <t>ミナミマチ</t>
    </rPh>
    <rPh sb="9" eb="11">
      <t>ワラビシ</t>
    </rPh>
    <rPh sb="11" eb="13">
      <t>コウリュウ</t>
    </rPh>
    <phoneticPr fontId="2"/>
  </si>
  <si>
    <t>335-0003</t>
    <phoneticPr fontId="2"/>
  </si>
  <si>
    <t>048-432-0002</t>
    <phoneticPr fontId="2"/>
  </si>
  <si>
    <t>京浜東北線蕨駅から徒歩14分</t>
    <rPh sb="0" eb="2">
      <t>ケイヒン</t>
    </rPh>
    <rPh sb="2" eb="5">
      <t>トウホクセン</t>
    </rPh>
    <rPh sb="5" eb="7">
      <t>ワラビエキ</t>
    </rPh>
    <rPh sb="9" eb="11">
      <t>トホ</t>
    </rPh>
    <rPh sb="13" eb="14">
      <t>フン</t>
    </rPh>
    <phoneticPr fontId="2"/>
  </si>
  <si>
    <t>（株）ヤマショウ・テクノロジー</t>
    <rPh sb="1" eb="2">
      <t>カブ</t>
    </rPh>
    <phoneticPr fontId="2"/>
  </si>
  <si>
    <t>いづみ</t>
    <phoneticPr fontId="2"/>
  </si>
  <si>
    <t>南峯1-1-4</t>
    <rPh sb="0" eb="1">
      <t>ミナミ</t>
    </rPh>
    <rPh sb="1" eb="2">
      <t>ミネ</t>
    </rPh>
    <phoneticPr fontId="2"/>
  </si>
  <si>
    <t>358-0046</t>
    <phoneticPr fontId="2"/>
  </si>
  <si>
    <t>04-2937-3137</t>
    <phoneticPr fontId="2"/>
  </si>
  <si>
    <t>04-2937-3326</t>
    <phoneticPr fontId="2"/>
  </si>
  <si>
    <t>JR八高線金子駅下車徒歩12分</t>
    <rPh sb="2" eb="5">
      <t>ハチコウセン</t>
    </rPh>
    <rPh sb="5" eb="7">
      <t>カネコ</t>
    </rPh>
    <rPh sb="7" eb="8">
      <t>エキ</t>
    </rPh>
    <rPh sb="8" eb="10">
      <t>ゲシャ</t>
    </rPh>
    <rPh sb="10" eb="12">
      <t>トホ</t>
    </rPh>
    <rPh sb="14" eb="15">
      <t>フン</t>
    </rPh>
    <phoneticPr fontId="2"/>
  </si>
  <si>
    <t>小手指町1-43-3 ジョイパレス小手指102</t>
    <rPh sb="0" eb="3">
      <t>コテサシ</t>
    </rPh>
    <rPh sb="3" eb="4">
      <t>マチ</t>
    </rPh>
    <rPh sb="17" eb="20">
      <t>コテサシ</t>
    </rPh>
    <phoneticPr fontId="2"/>
  </si>
  <si>
    <t>西武池袋線小手指駅北口下車徒歩8分</t>
    <rPh sb="0" eb="2">
      <t>セイブ</t>
    </rPh>
    <rPh sb="2" eb="4">
      <t>イケブクロ</t>
    </rPh>
    <rPh sb="4" eb="5">
      <t>セン</t>
    </rPh>
    <rPh sb="5" eb="8">
      <t>コテサシ</t>
    </rPh>
    <rPh sb="8" eb="9">
      <t>エキ</t>
    </rPh>
    <rPh sb="9" eb="11">
      <t>キタグチ</t>
    </rPh>
    <rPh sb="11" eb="13">
      <t>ゲシャ</t>
    </rPh>
    <rPh sb="13" eb="15">
      <t>トホ</t>
    </rPh>
    <rPh sb="16" eb="17">
      <t>フン</t>
    </rPh>
    <phoneticPr fontId="2"/>
  </si>
  <si>
    <t>(特非)believe</t>
    <rPh sb="1" eb="2">
      <t>トク</t>
    </rPh>
    <rPh sb="2" eb="3">
      <t>ヒ</t>
    </rPh>
    <phoneticPr fontId="2"/>
  </si>
  <si>
    <t>cafe＆farm Lento</t>
    <phoneticPr fontId="2"/>
  </si>
  <si>
    <t>柳島町字榎戸584-2</t>
    <rPh sb="0" eb="2">
      <t>ヤナギシマ</t>
    </rPh>
    <rPh sb="2" eb="3">
      <t>マチ</t>
    </rPh>
    <rPh sb="3" eb="4">
      <t>ジ</t>
    </rPh>
    <rPh sb="4" eb="5">
      <t>エノキ</t>
    </rPh>
    <rPh sb="5" eb="6">
      <t>ト</t>
    </rPh>
    <phoneticPr fontId="2"/>
  </si>
  <si>
    <t>048-916-6417</t>
    <phoneticPr fontId="2"/>
  </si>
  <si>
    <t>048-916-4486</t>
    <phoneticPr fontId="2"/>
  </si>
  <si>
    <t>東武伊勢崎線草加駅から東武バス「上柳島」下車徒歩2分</t>
    <rPh sb="0" eb="2">
      <t>トウブ</t>
    </rPh>
    <rPh sb="2" eb="5">
      <t>イセサキ</t>
    </rPh>
    <rPh sb="5" eb="6">
      <t>セン</t>
    </rPh>
    <rPh sb="6" eb="8">
      <t>ソウカ</t>
    </rPh>
    <rPh sb="8" eb="9">
      <t>エキ</t>
    </rPh>
    <rPh sb="9" eb="10">
      <t>シンエキ</t>
    </rPh>
    <rPh sb="11" eb="13">
      <t>トウブ</t>
    </rPh>
    <rPh sb="16" eb="17">
      <t>ウエ</t>
    </rPh>
    <rPh sb="17" eb="18">
      <t>ヤナギ</t>
    </rPh>
    <rPh sb="18" eb="19">
      <t>シマ</t>
    </rPh>
    <rPh sb="20" eb="22">
      <t>ゲシャ</t>
    </rPh>
    <rPh sb="22" eb="24">
      <t>トホ</t>
    </rPh>
    <rPh sb="25" eb="26">
      <t>フン</t>
    </rPh>
    <phoneticPr fontId="2"/>
  </si>
  <si>
    <t>(福)あかぼり福祉会</t>
    <rPh sb="1" eb="2">
      <t>フク</t>
    </rPh>
    <rPh sb="7" eb="9">
      <t>フクシ</t>
    </rPh>
    <rPh sb="9" eb="10">
      <t>カイ</t>
    </rPh>
    <phoneticPr fontId="2"/>
  </si>
  <si>
    <t>あさひ福祉作業所</t>
    <rPh sb="3" eb="5">
      <t>フクシ</t>
    </rPh>
    <rPh sb="5" eb="8">
      <t>サギョウショ</t>
    </rPh>
    <phoneticPr fontId="2"/>
  </si>
  <si>
    <t>南鳩ヶ谷5-34-19</t>
    <rPh sb="0" eb="1">
      <t>ミナミ</t>
    </rPh>
    <rPh sb="1" eb="4">
      <t>ハトガヤ</t>
    </rPh>
    <phoneticPr fontId="2"/>
  </si>
  <si>
    <t>朝日2-3-18</t>
    <rPh sb="0" eb="2">
      <t>アサヒ</t>
    </rPh>
    <phoneticPr fontId="2"/>
  </si>
  <si>
    <t>048-299-2027</t>
    <phoneticPr fontId="2"/>
  </si>
  <si>
    <t>048-299-2037</t>
    <phoneticPr fontId="2"/>
  </si>
  <si>
    <t>埼玉高速鉄道南鳩ヶ谷駅から徒歩10分</t>
    <rPh sb="0" eb="2">
      <t>サイタマ</t>
    </rPh>
    <rPh sb="2" eb="4">
      <t>コウソク</t>
    </rPh>
    <rPh sb="4" eb="6">
      <t>テツドウ</t>
    </rPh>
    <rPh sb="6" eb="7">
      <t>ミナミ</t>
    </rPh>
    <rPh sb="7" eb="10">
      <t>ハトガヤ</t>
    </rPh>
    <rPh sb="10" eb="11">
      <t>エキ</t>
    </rPh>
    <rPh sb="13" eb="15">
      <t>トホ</t>
    </rPh>
    <rPh sb="17" eb="18">
      <t>フン</t>
    </rPh>
    <phoneticPr fontId="2"/>
  </si>
  <si>
    <t>（一社）社会福祉相談センター</t>
    <rPh sb="1" eb="2">
      <t>イチ</t>
    </rPh>
    <rPh sb="2" eb="3">
      <t>シャ</t>
    </rPh>
    <rPh sb="4" eb="6">
      <t>シャカイ</t>
    </rPh>
    <rPh sb="6" eb="8">
      <t>フクシ</t>
    </rPh>
    <rPh sb="8" eb="10">
      <t>ソウダン</t>
    </rPh>
    <phoneticPr fontId="2"/>
  </si>
  <si>
    <t>あじさい</t>
    <phoneticPr fontId="2"/>
  </si>
  <si>
    <t>幸町10-4</t>
    <rPh sb="0" eb="1">
      <t>サチ</t>
    </rPh>
    <rPh sb="1" eb="2">
      <t>マチ</t>
    </rPh>
    <phoneticPr fontId="2"/>
  </si>
  <si>
    <t>355-0025</t>
    <phoneticPr fontId="2"/>
  </si>
  <si>
    <t>090-3144-1365</t>
    <phoneticPr fontId="2"/>
  </si>
  <si>
    <t>0493-21-4881</t>
    <phoneticPr fontId="2"/>
  </si>
  <si>
    <t>○</t>
    <phoneticPr fontId="2"/>
  </si>
  <si>
    <t>東武東上線東松山駅から徒歩8分</t>
    <rPh sb="0" eb="5">
      <t>トウブトウジョウセン</t>
    </rPh>
    <rPh sb="5" eb="6">
      <t>ヒガシ</t>
    </rPh>
    <rPh sb="6" eb="8">
      <t>マツヤマ</t>
    </rPh>
    <rPh sb="8" eb="9">
      <t>エキ</t>
    </rPh>
    <rPh sb="11" eb="13">
      <t>トホ</t>
    </rPh>
    <rPh sb="14" eb="15">
      <t>フン</t>
    </rPh>
    <phoneticPr fontId="2"/>
  </si>
  <si>
    <t>○</t>
    <phoneticPr fontId="2"/>
  </si>
  <si>
    <t>048-584-5487</t>
    <phoneticPr fontId="2"/>
  </si>
  <si>
    <t>048-282-7092</t>
    <phoneticPr fontId="2"/>
  </si>
  <si>
    <t>埼玉高速鉄道南鳩ヶ谷駅から徒歩15分</t>
    <rPh sb="0" eb="2">
      <t>サイタマ</t>
    </rPh>
    <rPh sb="2" eb="4">
      <t>コウソク</t>
    </rPh>
    <rPh sb="4" eb="6">
      <t>テツドウ</t>
    </rPh>
    <rPh sb="6" eb="7">
      <t>ミナミ</t>
    </rPh>
    <rPh sb="7" eb="10">
      <t>ハトガヤ</t>
    </rPh>
    <rPh sb="10" eb="11">
      <t>エキ</t>
    </rPh>
    <rPh sb="13" eb="15">
      <t>トホ</t>
    </rPh>
    <rPh sb="17" eb="18">
      <t>フン</t>
    </rPh>
    <phoneticPr fontId="2"/>
  </si>
  <si>
    <t>千間台西3-1-16</t>
    <rPh sb="0" eb="1">
      <t>セン</t>
    </rPh>
    <rPh sb="1" eb="2">
      <t>アイダ</t>
    </rPh>
    <rPh sb="2" eb="3">
      <t>ダイ</t>
    </rPh>
    <rPh sb="3" eb="4">
      <t>ニシ</t>
    </rPh>
    <phoneticPr fontId="2"/>
  </si>
  <si>
    <t>東武スカイツリーライン　せんげん台駅西口徒歩6分</t>
    <rPh sb="0" eb="2">
      <t>トウブ</t>
    </rPh>
    <rPh sb="16" eb="17">
      <t>ダイ</t>
    </rPh>
    <rPh sb="17" eb="18">
      <t>エキ</t>
    </rPh>
    <rPh sb="18" eb="20">
      <t>ニシグチ</t>
    </rPh>
    <rPh sb="20" eb="22">
      <t>トホ</t>
    </rPh>
    <rPh sb="23" eb="24">
      <t>フン</t>
    </rPh>
    <phoneticPr fontId="2"/>
  </si>
  <si>
    <t>343-0041</t>
  </si>
  <si>
    <t>048-971-8038</t>
  </si>
  <si>
    <t>（特非）障害者の職場参加をすすめる会</t>
    <rPh sb="4" eb="7">
      <t>ショウガイシャ</t>
    </rPh>
    <rPh sb="8" eb="10">
      <t>ショクバ</t>
    </rPh>
    <rPh sb="10" eb="12">
      <t>サンカ</t>
    </rPh>
    <rPh sb="17" eb="18">
      <t>カイ</t>
    </rPh>
    <phoneticPr fontId="2"/>
  </si>
  <si>
    <t>けやき</t>
  </si>
  <si>
    <t>338-0837</t>
  </si>
  <si>
    <t>048-762-8300</t>
  </si>
  <si>
    <t>ＪＲ西浦和駅徒歩15分</t>
    <rPh sb="2" eb="5">
      <t>ニシウラワ</t>
    </rPh>
    <rPh sb="5" eb="6">
      <t>エキ</t>
    </rPh>
    <rPh sb="6" eb="8">
      <t>トホ</t>
    </rPh>
    <rPh sb="10" eb="11">
      <t>フン</t>
    </rPh>
    <phoneticPr fontId="2"/>
  </si>
  <si>
    <t>330-0074</t>
  </si>
  <si>
    <t>339-0055</t>
  </si>
  <si>
    <t>048-872-7529</t>
  </si>
  <si>
    <t>048-872-7429</t>
  </si>
  <si>
    <t>岩槻駅東口から徒歩15分</t>
    <rPh sb="0" eb="3">
      <t>イワツキエキ</t>
    </rPh>
    <rPh sb="3" eb="5">
      <t>ヒガシグチ</t>
    </rPh>
    <rPh sb="7" eb="9">
      <t>トホ</t>
    </rPh>
    <rPh sb="11" eb="12">
      <t>フン</t>
    </rPh>
    <phoneticPr fontId="2"/>
  </si>
  <si>
    <t>グランワークス</t>
  </si>
  <si>
    <t>337-0033</t>
  </si>
  <si>
    <t>048-872-6630</t>
  </si>
  <si>
    <t>短期入所事業所　パンプキン</t>
    <rPh sb="0" eb="2">
      <t>タンキ</t>
    </rPh>
    <rPh sb="2" eb="4">
      <t>ニュウショ</t>
    </rPh>
    <rPh sb="4" eb="7">
      <t>ジギョウショ</t>
    </rPh>
    <phoneticPr fontId="5"/>
  </si>
  <si>
    <t>339-0023</t>
  </si>
  <si>
    <t>048-798-9506</t>
  </si>
  <si>
    <t>ひかりホーム</t>
  </si>
  <si>
    <t>048-779-8865</t>
  </si>
  <si>
    <t>(福)南桜会</t>
    <rPh sb="1" eb="2">
      <t>フク</t>
    </rPh>
    <rPh sb="3" eb="4">
      <t>ミナミ</t>
    </rPh>
    <rPh sb="4" eb="5">
      <t>サクラ</t>
    </rPh>
    <rPh sb="5" eb="6">
      <t>カイ</t>
    </rPh>
    <phoneticPr fontId="7"/>
  </si>
  <si>
    <t>さいたま福祉会(株)</t>
    <rPh sb="4" eb="6">
      <t>フクシ</t>
    </rPh>
    <rPh sb="6" eb="7">
      <t>カイ</t>
    </rPh>
    <rPh sb="7" eb="10">
      <t>カブ</t>
    </rPh>
    <phoneticPr fontId="15"/>
  </si>
  <si>
    <t>桜区田島7-19-11</t>
    <rPh sb="0" eb="1">
      <t>サクラ</t>
    </rPh>
    <rPh sb="1" eb="2">
      <t>ク</t>
    </rPh>
    <rPh sb="2" eb="4">
      <t>タジマ</t>
    </rPh>
    <phoneticPr fontId="7"/>
  </si>
  <si>
    <t>岩槻区東町2-7-5</t>
    <rPh sb="0" eb="2">
      <t>イワツキ</t>
    </rPh>
    <rPh sb="2" eb="3">
      <t>ク</t>
    </rPh>
    <rPh sb="3" eb="4">
      <t>ヒガシ</t>
    </rPh>
    <rPh sb="4" eb="5">
      <t>マチ</t>
    </rPh>
    <phoneticPr fontId="5"/>
  </si>
  <si>
    <t>見沼区御蔵701-1</t>
    <rPh sb="0" eb="3">
      <t>ミヌマク</t>
    </rPh>
    <rPh sb="3" eb="5">
      <t>ミクラ</t>
    </rPh>
    <phoneticPr fontId="15"/>
  </si>
  <si>
    <t>ふくふく東町作業所</t>
    <rPh sb="4" eb="5">
      <t>ヒガシ</t>
    </rPh>
    <rPh sb="5" eb="6">
      <t>マチ</t>
    </rPh>
    <rPh sb="6" eb="8">
      <t>サギョウ</t>
    </rPh>
    <rPh sb="8" eb="9">
      <t>ショ</t>
    </rPh>
    <phoneticPr fontId="5"/>
  </si>
  <si>
    <t>大宮駅東口国際航業バス「片柳支所」バス停より徒歩6分</t>
    <rPh sb="0" eb="2">
      <t>オオミヤ</t>
    </rPh>
    <rPh sb="2" eb="3">
      <t>エキ</t>
    </rPh>
    <rPh sb="3" eb="5">
      <t>ヒガシグチ</t>
    </rPh>
    <rPh sb="5" eb="7">
      <t>コクサイ</t>
    </rPh>
    <rPh sb="7" eb="9">
      <t>コウギョウ</t>
    </rPh>
    <rPh sb="12" eb="14">
      <t>カタヤナギ</t>
    </rPh>
    <rPh sb="14" eb="16">
      <t>シショ</t>
    </rPh>
    <rPh sb="19" eb="20">
      <t>テイ</t>
    </rPh>
    <rPh sb="22" eb="24">
      <t>トホ</t>
    </rPh>
    <rPh sb="25" eb="26">
      <t>フン</t>
    </rPh>
    <phoneticPr fontId="2"/>
  </si>
  <si>
    <t>(福)さくら草</t>
    <rPh sb="0" eb="1">
      <t>フク</t>
    </rPh>
    <rPh sb="5" eb="6">
      <t>クサ</t>
    </rPh>
    <phoneticPr fontId="2"/>
  </si>
  <si>
    <t>(福)ささの会</t>
    <rPh sb="1" eb="2">
      <t>フク</t>
    </rPh>
    <rPh sb="6" eb="7">
      <t>カイ</t>
    </rPh>
    <phoneticPr fontId="5"/>
  </si>
  <si>
    <t>岩槻駅から朝日バス越谷駅行き末田バス停下車10分</t>
    <rPh sb="0" eb="2">
      <t>イワツキ</t>
    </rPh>
    <rPh sb="2" eb="3">
      <t>エキ</t>
    </rPh>
    <rPh sb="5" eb="7">
      <t>アサヒ</t>
    </rPh>
    <rPh sb="9" eb="12">
      <t>コシガヤエキ</t>
    </rPh>
    <rPh sb="12" eb="13">
      <t>イ</t>
    </rPh>
    <rPh sb="14" eb="16">
      <t>スエダ</t>
    </rPh>
    <rPh sb="18" eb="19">
      <t>テイ</t>
    </rPh>
    <rPh sb="19" eb="21">
      <t>ゲシャ</t>
    </rPh>
    <rPh sb="23" eb="24">
      <t>フン</t>
    </rPh>
    <phoneticPr fontId="2"/>
  </si>
  <si>
    <t>330-0802</t>
  </si>
  <si>
    <t>048-729-6403</t>
  </si>
  <si>
    <t>048-729-6407</t>
  </si>
  <si>
    <t>大宮区宮町2-81　いちご大宮ビル6F</t>
    <rPh sb="0" eb="3">
      <t>オオミヤク</t>
    </rPh>
    <rPh sb="3" eb="5">
      <t>ミヤマチ</t>
    </rPh>
    <rPh sb="13" eb="15">
      <t>オオミヤ</t>
    </rPh>
    <phoneticPr fontId="2"/>
  </si>
  <si>
    <t>大宮駅東口徒歩10分</t>
    <phoneticPr fontId="2"/>
  </si>
  <si>
    <t>デイズ</t>
    <phoneticPr fontId="2"/>
  </si>
  <si>
    <t>ライフベースやしお</t>
    <phoneticPr fontId="2"/>
  </si>
  <si>
    <t>340-0834</t>
    <phoneticPr fontId="2"/>
  </si>
  <si>
    <t>048-951-1173</t>
    <phoneticPr fontId="2"/>
  </si>
  <si>
    <t>048-951-1344</t>
    <phoneticPr fontId="2"/>
  </si>
  <si>
    <t>就労
定着</t>
    <rPh sb="0" eb="2">
      <t>シュウロウ</t>
    </rPh>
    <rPh sb="3" eb="5">
      <t>テイチャク</t>
    </rPh>
    <phoneticPr fontId="2"/>
  </si>
  <si>
    <t>うらわ学園</t>
    <rPh sb="3" eb="5">
      <t>ガクエン</t>
    </rPh>
    <phoneticPr fontId="5"/>
  </si>
  <si>
    <t>330-0072</t>
  </si>
  <si>
    <t>048-886-7210</t>
  </si>
  <si>
    <t>048-886-7963</t>
  </si>
  <si>
    <t>○</t>
    <phoneticPr fontId="2"/>
  </si>
  <si>
    <t>(福)うらわ学園</t>
    <rPh sb="1" eb="2">
      <t>フク</t>
    </rPh>
    <rPh sb="6" eb="8">
      <t>ガクエン</t>
    </rPh>
    <phoneticPr fontId="5"/>
  </si>
  <si>
    <t>浦和区領家1-5-20</t>
    <rPh sb="0" eb="3">
      <t>ウラワク</t>
    </rPh>
    <rPh sb="3" eb="5">
      <t>リョウケ</t>
    </rPh>
    <phoneticPr fontId="5"/>
  </si>
  <si>
    <t>北浦和駅徒歩15分、国際興業バス「さいたま新都心駅東口行」「本太中学校」バス停下車</t>
    <rPh sb="0" eb="4">
      <t>キタウラワエキ</t>
    </rPh>
    <rPh sb="4" eb="6">
      <t>トホ</t>
    </rPh>
    <rPh sb="8" eb="9">
      <t>フン</t>
    </rPh>
    <rPh sb="10" eb="14">
      <t>コクサイコウギョウ</t>
    </rPh>
    <rPh sb="21" eb="24">
      <t>シントシン</t>
    </rPh>
    <rPh sb="24" eb="25">
      <t>エキ</t>
    </rPh>
    <rPh sb="25" eb="26">
      <t>ヒガシ</t>
    </rPh>
    <rPh sb="26" eb="27">
      <t>クチ</t>
    </rPh>
    <rPh sb="27" eb="28">
      <t>イ</t>
    </rPh>
    <rPh sb="30" eb="32">
      <t>モトブト</t>
    </rPh>
    <rPh sb="32" eb="35">
      <t>チュウガッコウ</t>
    </rPh>
    <rPh sb="38" eb="39">
      <t>テイ</t>
    </rPh>
    <rPh sb="39" eb="41">
      <t>ゲシャ</t>
    </rPh>
    <phoneticPr fontId="2"/>
  </si>
  <si>
    <t>048-959-9697</t>
    <phoneticPr fontId="2"/>
  </si>
  <si>
    <t>048-959-9679</t>
    <phoneticPr fontId="2"/>
  </si>
  <si>
    <t>356-0004</t>
    <phoneticPr fontId="2"/>
  </si>
  <si>
    <t>049-264-5497</t>
    <phoneticPr fontId="2"/>
  </si>
  <si>
    <t>○</t>
    <phoneticPr fontId="2"/>
  </si>
  <si>
    <t>ケアセンターかるぽす</t>
    <phoneticPr fontId="2"/>
  </si>
  <si>
    <t>048-547-0121</t>
    <phoneticPr fontId="2"/>
  </si>
  <si>
    <t>048-594-6066</t>
    <phoneticPr fontId="2"/>
  </si>
  <si>
    <t>中央2-207</t>
    <rPh sb="0" eb="2">
      <t>チュウオウ</t>
    </rPh>
    <phoneticPr fontId="2"/>
  </si>
  <si>
    <t>○</t>
    <phoneticPr fontId="2"/>
  </si>
  <si>
    <t>東武伊勢崎線東武動物公園駅西口徒歩2分</t>
    <rPh sb="0" eb="2">
      <t>トウブ</t>
    </rPh>
    <rPh sb="2" eb="5">
      <t>イセサキ</t>
    </rPh>
    <rPh sb="5" eb="6">
      <t>セン</t>
    </rPh>
    <rPh sb="6" eb="8">
      <t>トウブ</t>
    </rPh>
    <rPh sb="8" eb="10">
      <t>ドウブツ</t>
    </rPh>
    <rPh sb="10" eb="12">
      <t>コウエン</t>
    </rPh>
    <rPh sb="12" eb="13">
      <t>エキ</t>
    </rPh>
    <rPh sb="13" eb="15">
      <t>ニシグチ</t>
    </rPh>
    <rPh sb="15" eb="17">
      <t>トホ</t>
    </rPh>
    <rPh sb="18" eb="19">
      <t>フン</t>
    </rPh>
    <phoneticPr fontId="2"/>
  </si>
  <si>
    <t>aloha狭山</t>
    <rPh sb="5" eb="7">
      <t>サヤマ</t>
    </rPh>
    <phoneticPr fontId="2"/>
  </si>
  <si>
    <t>南入曽459-1</t>
    <rPh sb="0" eb="1">
      <t>ミナミ</t>
    </rPh>
    <rPh sb="1" eb="2">
      <t>ハイ</t>
    </rPh>
    <rPh sb="2" eb="3">
      <t>ソ</t>
    </rPh>
    <phoneticPr fontId="2"/>
  </si>
  <si>
    <t>350-1316</t>
    <phoneticPr fontId="2"/>
  </si>
  <si>
    <t>04-2937-4503</t>
    <phoneticPr fontId="2"/>
  </si>
  <si>
    <t>04-2937-4504</t>
    <phoneticPr fontId="2"/>
  </si>
  <si>
    <t>西武新宿線入曽駅徒歩3分</t>
    <rPh sb="0" eb="5">
      <t>セイブシンジュクセン</t>
    </rPh>
    <rPh sb="5" eb="6">
      <t>ハイ</t>
    </rPh>
    <rPh sb="6" eb="7">
      <t>ソ</t>
    </rPh>
    <rPh sb="7" eb="8">
      <t>エキ</t>
    </rPh>
    <rPh sb="8" eb="10">
      <t>トホ</t>
    </rPh>
    <rPh sb="11" eb="12">
      <t>フン</t>
    </rPh>
    <phoneticPr fontId="2"/>
  </si>
  <si>
    <t>ウェルビー所沢プロぺ通りセンター</t>
    <rPh sb="5" eb="7">
      <t>トコロザワ</t>
    </rPh>
    <rPh sb="10" eb="11">
      <t>トオ</t>
    </rPh>
    <phoneticPr fontId="2"/>
  </si>
  <si>
    <t>日吉町8-2
プロぺ所沢ビル2F</t>
    <rPh sb="0" eb="2">
      <t>ヒヨシ</t>
    </rPh>
    <rPh sb="2" eb="3">
      <t>マチ</t>
    </rPh>
    <rPh sb="10" eb="12">
      <t>トコロザワ</t>
    </rPh>
    <phoneticPr fontId="2"/>
  </si>
  <si>
    <t>04-2937-4343</t>
    <phoneticPr fontId="2"/>
  </si>
  <si>
    <t>04-2937-4344</t>
    <phoneticPr fontId="2"/>
  </si>
  <si>
    <t>(特非)Japan Improvement Association</t>
    <rPh sb="1" eb="2">
      <t>トク</t>
    </rPh>
    <rPh sb="2" eb="3">
      <t>ヒ</t>
    </rPh>
    <phoneticPr fontId="2"/>
  </si>
  <si>
    <t>あある</t>
    <phoneticPr fontId="2"/>
  </si>
  <si>
    <t>瀬崎7-11-16</t>
    <rPh sb="0" eb="1">
      <t>セ</t>
    </rPh>
    <rPh sb="1" eb="2">
      <t>サキ</t>
    </rPh>
    <phoneticPr fontId="2"/>
  </si>
  <si>
    <t>340-0022</t>
    <phoneticPr fontId="2"/>
  </si>
  <si>
    <t>048-940-1316</t>
    <phoneticPr fontId="2"/>
  </si>
  <si>
    <t>東武スカイツリー線谷塚駅から東武バス花畑桑袋団地行「山王」下車徒歩3分</t>
    <rPh sb="0" eb="2">
      <t>トウブ</t>
    </rPh>
    <rPh sb="8" eb="9">
      <t>セン</t>
    </rPh>
    <rPh sb="9" eb="12">
      <t>ヤツカエキ</t>
    </rPh>
    <rPh sb="14" eb="16">
      <t>トウブ</t>
    </rPh>
    <rPh sb="18" eb="20">
      <t>ハナバタケ</t>
    </rPh>
    <rPh sb="20" eb="21">
      <t>クワ</t>
    </rPh>
    <rPh sb="21" eb="22">
      <t>ブクロ</t>
    </rPh>
    <rPh sb="22" eb="24">
      <t>ダンチ</t>
    </rPh>
    <rPh sb="24" eb="25">
      <t>ユ</t>
    </rPh>
    <rPh sb="26" eb="28">
      <t>サンオウ</t>
    </rPh>
    <rPh sb="29" eb="31">
      <t>ゲシャ</t>
    </rPh>
    <rPh sb="31" eb="33">
      <t>トホ</t>
    </rPh>
    <rPh sb="34" eb="35">
      <t>プン</t>
    </rPh>
    <phoneticPr fontId="2"/>
  </si>
  <si>
    <t>むつみホーム大間木</t>
    <rPh sb="6" eb="9">
      <t>オオマギ</t>
    </rPh>
    <phoneticPr fontId="5"/>
  </si>
  <si>
    <t>緑区大字大間木４９４番地</t>
  </si>
  <si>
    <t>336-0923</t>
  </si>
  <si>
    <t>048-799-3105</t>
  </si>
  <si>
    <t>048-799-3106</t>
  </si>
  <si>
    <t>JR東浦和駅　徒歩１７分</t>
    <rPh sb="2" eb="6">
      <t>ヒガシウラワエキ</t>
    </rPh>
    <rPh sb="7" eb="9">
      <t>トホ</t>
    </rPh>
    <rPh sb="11" eb="12">
      <t>フン</t>
    </rPh>
    <phoneticPr fontId="2"/>
  </si>
  <si>
    <t>多機能型事業所　来楽大宮</t>
    <rPh sb="0" eb="7">
      <t>タキノウガタジギョウショ</t>
    </rPh>
    <rPh sb="8" eb="9">
      <t>ライ</t>
    </rPh>
    <rPh sb="9" eb="10">
      <t>ラク</t>
    </rPh>
    <rPh sb="10" eb="12">
      <t>オオミヤ</t>
    </rPh>
    <phoneticPr fontId="5"/>
  </si>
  <si>
    <t>大宮区大成町３－４０４－１　LHビル２階</t>
    <rPh sb="0" eb="2">
      <t>オオミヤ</t>
    </rPh>
    <rPh sb="2" eb="3">
      <t>ク</t>
    </rPh>
    <rPh sb="3" eb="6">
      <t>オオナリチョウ</t>
    </rPh>
    <rPh sb="19" eb="20">
      <t>カイ</t>
    </rPh>
    <phoneticPr fontId="5"/>
  </si>
  <si>
    <t>330-0852</t>
  </si>
  <si>
    <t>048-871-5480</t>
  </si>
  <si>
    <t>048-668-3707</t>
  </si>
  <si>
    <t>ニューシャトル鉄道博物館駅徒歩７分</t>
    <rPh sb="7" eb="12">
      <t>テツドウハクブツカン</t>
    </rPh>
    <rPh sb="12" eb="13">
      <t>エキ</t>
    </rPh>
    <rPh sb="13" eb="15">
      <t>トホ</t>
    </rPh>
    <rPh sb="16" eb="17">
      <t>フン</t>
    </rPh>
    <phoneticPr fontId="2"/>
  </si>
  <si>
    <t>リブル</t>
  </si>
  <si>
    <t>岩槻区府内１－７－７１</t>
  </si>
  <si>
    <t>339-0042</t>
  </si>
  <si>
    <t>048-720-8275</t>
  </si>
  <si>
    <t>048-720-8276</t>
  </si>
  <si>
    <t>岩槻駅から朝日バス越谷駅行き「府内」バス停下車３分</t>
    <rPh sb="0" eb="2">
      <t>イワツキ</t>
    </rPh>
    <rPh sb="2" eb="3">
      <t>エキ</t>
    </rPh>
    <rPh sb="5" eb="7">
      <t>アサヒ</t>
    </rPh>
    <rPh sb="9" eb="12">
      <t>コシガヤエキ</t>
    </rPh>
    <rPh sb="12" eb="13">
      <t>イ</t>
    </rPh>
    <rPh sb="15" eb="17">
      <t>フナイ</t>
    </rPh>
    <rPh sb="20" eb="21">
      <t>テイ</t>
    </rPh>
    <rPh sb="21" eb="23">
      <t>ゲシャ</t>
    </rPh>
    <rPh sb="24" eb="25">
      <t>フン</t>
    </rPh>
    <phoneticPr fontId="2"/>
  </si>
  <si>
    <t>048-683-4831</t>
  </si>
  <si>
    <t>048-683-4833</t>
  </si>
  <si>
    <t>見沼区大字山22-1</t>
  </si>
  <si>
    <t>337-0025</t>
  </si>
  <si>
    <t>○</t>
    <phoneticPr fontId="2"/>
  </si>
  <si>
    <t>(特非)恵愛</t>
    <rPh sb="1" eb="2">
      <t>トク</t>
    </rPh>
    <rPh sb="2" eb="3">
      <t>ヒ</t>
    </rPh>
    <rPh sb="4" eb="6">
      <t>ケイアイ</t>
    </rPh>
    <phoneticPr fontId="2"/>
  </si>
  <si>
    <t>生活介護事業所ルピナス</t>
    <rPh sb="0" eb="2">
      <t>セイカツ</t>
    </rPh>
    <rPh sb="2" eb="4">
      <t>カイゴ</t>
    </rPh>
    <rPh sb="4" eb="7">
      <t>ジギョウショ</t>
    </rPh>
    <phoneticPr fontId="2"/>
  </si>
  <si>
    <t>桜町3-10-20</t>
    <rPh sb="0" eb="2">
      <t>サクラマチ</t>
    </rPh>
    <phoneticPr fontId="2"/>
  </si>
  <si>
    <t>361-0022</t>
    <phoneticPr fontId="2"/>
  </si>
  <si>
    <t>048-577-5705</t>
    <phoneticPr fontId="2"/>
  </si>
  <si>
    <t>048-577-5733</t>
    <phoneticPr fontId="2"/>
  </si>
  <si>
    <t>秩父鉄道東行田駅下車徒歩6分</t>
    <rPh sb="0" eb="2">
      <t>チチブ</t>
    </rPh>
    <rPh sb="2" eb="4">
      <t>テツドウ</t>
    </rPh>
    <rPh sb="4" eb="7">
      <t>ヒガシギョウダ</t>
    </rPh>
    <rPh sb="7" eb="8">
      <t>エキ</t>
    </rPh>
    <rPh sb="8" eb="10">
      <t>ゲシャ</t>
    </rPh>
    <rPh sb="10" eb="12">
      <t>トホ</t>
    </rPh>
    <rPh sb="13" eb="14">
      <t>フン</t>
    </rPh>
    <phoneticPr fontId="2"/>
  </si>
  <si>
    <t>(特非)ぶどうの樹</t>
    <rPh sb="1" eb="2">
      <t>トク</t>
    </rPh>
    <rPh sb="2" eb="3">
      <t>ヒ</t>
    </rPh>
    <rPh sb="8" eb="9">
      <t>キ</t>
    </rPh>
    <phoneticPr fontId="2"/>
  </si>
  <si>
    <t>高萩1841-2</t>
    <rPh sb="0" eb="2">
      <t>タカハギ</t>
    </rPh>
    <phoneticPr fontId="2"/>
  </si>
  <si>
    <t>350-1213</t>
    <phoneticPr fontId="2"/>
  </si>
  <si>
    <t>042-985-7105</t>
    <phoneticPr fontId="2"/>
  </si>
  <si>
    <t>042-980-6199</t>
    <phoneticPr fontId="2"/>
  </si>
  <si>
    <t>JR川越線武蔵高萩駅下車徒歩20分</t>
    <rPh sb="2" eb="5">
      <t>カワゴエセン</t>
    </rPh>
    <rPh sb="5" eb="7">
      <t>ムサシ</t>
    </rPh>
    <rPh sb="7" eb="9">
      <t>タカハギ</t>
    </rPh>
    <rPh sb="9" eb="10">
      <t>エキ</t>
    </rPh>
    <rPh sb="10" eb="12">
      <t>ゲシャ</t>
    </rPh>
    <rPh sb="12" eb="14">
      <t>トホ</t>
    </rPh>
    <rPh sb="16" eb="17">
      <t>フン</t>
    </rPh>
    <phoneticPr fontId="2"/>
  </si>
  <si>
    <t>菅原町20番地25シンザン2階</t>
    <rPh sb="0" eb="3">
      <t>スガワラマチ</t>
    </rPh>
    <rPh sb="5" eb="7">
      <t>バンチ</t>
    </rPh>
    <rPh sb="14" eb="15">
      <t>カイ</t>
    </rPh>
    <phoneticPr fontId="2"/>
  </si>
  <si>
    <t>350-0046</t>
    <phoneticPr fontId="2"/>
  </si>
  <si>
    <t>049-298-5623</t>
    <phoneticPr fontId="2"/>
  </si>
  <si>
    <t>049-298-5624</t>
    <phoneticPr fontId="2"/>
  </si>
  <si>
    <t>川越駅東口徒歩2分</t>
    <rPh sb="0" eb="2">
      <t>カワゴエ</t>
    </rPh>
    <rPh sb="2" eb="3">
      <t>エキ</t>
    </rPh>
    <rPh sb="3" eb="5">
      <t>ヒガシグチ</t>
    </rPh>
    <rPh sb="5" eb="7">
      <t>トホ</t>
    </rPh>
    <rPh sb="8" eb="9">
      <t>フン</t>
    </rPh>
    <phoneticPr fontId="2"/>
  </si>
  <si>
    <t>久喜中央1-7-9
セントラルハイツ21　1F</t>
    <rPh sb="0" eb="2">
      <t>クキ</t>
    </rPh>
    <rPh sb="2" eb="4">
      <t>チュウオウ</t>
    </rPh>
    <phoneticPr fontId="2"/>
  </si>
  <si>
    <t>0480-35-6005</t>
    <phoneticPr fontId="2"/>
  </si>
  <si>
    <t>宇都宮線久喜駅徒歩5分</t>
    <rPh sb="0" eb="3">
      <t>ウツノミヤ</t>
    </rPh>
    <rPh sb="3" eb="4">
      <t>セン</t>
    </rPh>
    <rPh sb="4" eb="6">
      <t>クキ</t>
    </rPh>
    <rPh sb="6" eb="7">
      <t>エキ</t>
    </rPh>
    <rPh sb="7" eb="9">
      <t>トホ</t>
    </rPh>
    <rPh sb="10" eb="11">
      <t>フン</t>
    </rPh>
    <phoneticPr fontId="2"/>
  </si>
  <si>
    <t>(福)ゆいの里福祉会</t>
    <rPh sb="1" eb="2">
      <t>フク</t>
    </rPh>
    <rPh sb="6" eb="7">
      <t>サト</t>
    </rPh>
    <rPh sb="7" eb="9">
      <t>フクシ</t>
    </rPh>
    <rPh sb="9" eb="10">
      <t>カイ</t>
    </rPh>
    <phoneticPr fontId="2"/>
  </si>
  <si>
    <t>工房ゆい</t>
    <rPh sb="0" eb="2">
      <t>コウボウ</t>
    </rPh>
    <phoneticPr fontId="2"/>
  </si>
  <si>
    <t>みどり野南1-78</t>
    <rPh sb="3" eb="4">
      <t>ノ</t>
    </rPh>
    <rPh sb="4" eb="5">
      <t>ミナミ</t>
    </rPh>
    <phoneticPr fontId="2"/>
  </si>
  <si>
    <t>354-0007</t>
    <phoneticPr fontId="2"/>
  </si>
  <si>
    <t>049-268-5656</t>
    <phoneticPr fontId="2"/>
  </si>
  <si>
    <t>049-268-5654</t>
    <phoneticPr fontId="2"/>
  </si>
  <si>
    <t>東武東上線志木駅から東部バス富士見高校行き終点下車徒歩5分</t>
    <rPh sb="0" eb="5">
      <t>トウブトウジョウセン</t>
    </rPh>
    <rPh sb="5" eb="8">
      <t>シキエキ</t>
    </rPh>
    <rPh sb="10" eb="12">
      <t>トウブ</t>
    </rPh>
    <rPh sb="14" eb="17">
      <t>フジミ</t>
    </rPh>
    <rPh sb="17" eb="19">
      <t>コウコウ</t>
    </rPh>
    <rPh sb="19" eb="20">
      <t>イ</t>
    </rPh>
    <rPh sb="21" eb="23">
      <t>シュウテン</t>
    </rPh>
    <rPh sb="23" eb="25">
      <t>ゲシャ</t>
    </rPh>
    <rPh sb="25" eb="27">
      <t>トホ</t>
    </rPh>
    <rPh sb="28" eb="29">
      <t>フン</t>
    </rPh>
    <phoneticPr fontId="2"/>
  </si>
  <si>
    <t>○</t>
    <phoneticPr fontId="2"/>
  </si>
  <si>
    <t>坂戸市・(同)ラボリ</t>
    <rPh sb="0" eb="3">
      <t>サカドシ</t>
    </rPh>
    <rPh sb="5" eb="6">
      <t>ドウ</t>
    </rPh>
    <phoneticPr fontId="2"/>
  </si>
  <si>
    <t>ディーキャリア　大宮オフィス</t>
    <rPh sb="8" eb="10">
      <t>オオミヤ</t>
    </rPh>
    <phoneticPr fontId="5"/>
  </si>
  <si>
    <t>中央区上落合８－１５－３　三進ビル３階</t>
    <phoneticPr fontId="2"/>
  </si>
  <si>
    <t>338-0001</t>
  </si>
  <si>
    <t>048-749-1758</t>
  </si>
  <si>
    <t>048-749-1759</t>
  </si>
  <si>
    <t>JR大宮駅から徒歩１０分</t>
    <rPh sb="2" eb="5">
      <t>オオミヤエキ</t>
    </rPh>
    <rPh sb="7" eb="9">
      <t>トホ</t>
    </rPh>
    <rPh sb="11" eb="12">
      <t>フン</t>
    </rPh>
    <phoneticPr fontId="2"/>
  </si>
  <si>
    <t>どうかん</t>
  </si>
  <si>
    <t>048-798-7071</t>
  </si>
  <si>
    <t>048-797-3322</t>
  </si>
  <si>
    <t>つばさ共同作業所</t>
  </si>
  <si>
    <t>中央区上峰2-10-20</t>
  </si>
  <si>
    <t>048-854-8000</t>
  </si>
  <si>
    <t>048-854-3538</t>
  </si>
  <si>
    <t>（一社）onehand</t>
    <rPh sb="1" eb="2">
      <t>イチ</t>
    </rPh>
    <rPh sb="2" eb="3">
      <t>シャ</t>
    </rPh>
    <phoneticPr fontId="2"/>
  </si>
  <si>
    <t>onehand</t>
    <phoneticPr fontId="2"/>
  </si>
  <si>
    <t>048-708-0681</t>
    <phoneticPr fontId="2"/>
  </si>
  <si>
    <t>338-0004</t>
    <phoneticPr fontId="2"/>
  </si>
  <si>
    <t>緑4-197</t>
    <rPh sb="0" eb="1">
      <t>ミドリ</t>
    </rPh>
    <phoneticPr fontId="2"/>
  </si>
  <si>
    <t>大宮駅からバス「氷川神社前」下車徒歩２分</t>
    <rPh sb="8" eb="10">
      <t>ヒカワ</t>
    </rPh>
    <rPh sb="10" eb="12">
      <t>ジンジャ</t>
    </rPh>
    <rPh sb="12" eb="13">
      <t>マエ</t>
    </rPh>
    <rPh sb="14" eb="16">
      <t>ゲシャ</t>
    </rPh>
    <rPh sb="16" eb="18">
      <t>トホ</t>
    </rPh>
    <rPh sb="19" eb="20">
      <t>フン</t>
    </rPh>
    <phoneticPr fontId="2"/>
  </si>
  <si>
    <t>こすもす</t>
    <phoneticPr fontId="2"/>
  </si>
  <si>
    <t>中央2-31-17</t>
    <rPh sb="0" eb="2">
      <t>チュウオウ</t>
    </rPh>
    <phoneticPr fontId="2"/>
  </si>
  <si>
    <t>340-0816</t>
    <phoneticPr fontId="2"/>
  </si>
  <si>
    <t>048-951-5277</t>
    <phoneticPr fontId="2"/>
  </si>
  <si>
    <t>048-951-5278</t>
    <phoneticPr fontId="2"/>
  </si>
  <si>
    <t>○</t>
    <phoneticPr fontId="2"/>
  </si>
  <si>
    <t>つくばエクスプレス八潮駅徒歩21分</t>
    <rPh sb="9" eb="11">
      <t>ヤシオ</t>
    </rPh>
    <rPh sb="11" eb="12">
      <t>エキ</t>
    </rPh>
    <rPh sb="12" eb="14">
      <t>トホ</t>
    </rPh>
    <rPh sb="16" eb="17">
      <t>フン</t>
    </rPh>
    <phoneticPr fontId="2"/>
  </si>
  <si>
    <t>048-733-6871</t>
    <phoneticPr fontId="2"/>
  </si>
  <si>
    <t>048-733-6873</t>
    <phoneticPr fontId="2"/>
  </si>
  <si>
    <t>048-553-3102</t>
    <phoneticPr fontId="2"/>
  </si>
  <si>
    <t>048-553-3178</t>
    <phoneticPr fontId="2"/>
  </si>
  <si>
    <t>くじら雲</t>
    <rPh sb="3" eb="4">
      <t>グモ</t>
    </rPh>
    <phoneticPr fontId="2"/>
  </si>
  <si>
    <t>北本市</t>
    <rPh sb="0" eb="2">
      <t>キタモト</t>
    </rPh>
    <rPh sb="2" eb="3">
      <t>シ</t>
    </rPh>
    <phoneticPr fontId="2"/>
  </si>
  <si>
    <t>石戸5-287-1</t>
    <rPh sb="0" eb="2">
      <t>イシド</t>
    </rPh>
    <phoneticPr fontId="2"/>
  </si>
  <si>
    <t>364-0024</t>
    <phoneticPr fontId="2"/>
  </si>
  <si>
    <t>048-580-6120</t>
    <phoneticPr fontId="2"/>
  </si>
  <si>
    <t>JR高崎線北本駅から川越観光バス北里メディカルセンター行き「チサン第３団地」下車徒歩5分</t>
    <rPh sb="2" eb="5">
      <t>タカサキセン</t>
    </rPh>
    <rPh sb="5" eb="7">
      <t>キタモト</t>
    </rPh>
    <rPh sb="7" eb="8">
      <t>エキ</t>
    </rPh>
    <rPh sb="10" eb="12">
      <t>カワゴエ</t>
    </rPh>
    <rPh sb="12" eb="14">
      <t>カンコウ</t>
    </rPh>
    <rPh sb="16" eb="18">
      <t>キタサト</t>
    </rPh>
    <rPh sb="27" eb="28">
      <t>ユ</t>
    </rPh>
    <rPh sb="33" eb="34">
      <t>ダイ</t>
    </rPh>
    <rPh sb="35" eb="37">
      <t>ダンチ</t>
    </rPh>
    <rPh sb="38" eb="40">
      <t>ゲシャ</t>
    </rPh>
    <rPh sb="40" eb="42">
      <t>トホ</t>
    </rPh>
    <rPh sb="43" eb="44">
      <t>フン</t>
    </rPh>
    <phoneticPr fontId="2"/>
  </si>
  <si>
    <t>○</t>
    <phoneticPr fontId="2"/>
  </si>
  <si>
    <t>北本市・(福)北本市社会福祉協議会</t>
    <rPh sb="0" eb="3">
      <t>キタモトシ</t>
    </rPh>
    <rPh sb="5" eb="6">
      <t>フク</t>
    </rPh>
    <rPh sb="7" eb="9">
      <t>キタモト</t>
    </rPh>
    <rPh sb="9" eb="10">
      <t>シ</t>
    </rPh>
    <rPh sb="10" eb="12">
      <t>シャカイ</t>
    </rPh>
    <rPh sb="12" eb="14">
      <t>フクシ</t>
    </rPh>
    <rPh sb="14" eb="17">
      <t>キョウギカイ</t>
    </rPh>
    <phoneticPr fontId="2"/>
  </si>
  <si>
    <t>通町5-4第一山田ビル501</t>
    <rPh sb="0" eb="2">
      <t>とおりまち</t>
    </rPh>
    <rPh sb="5" eb="7">
      <t>だいいち</t>
    </rPh>
    <rPh sb="7" eb="9">
      <t>やまだ</t>
    </rPh>
    <phoneticPr fontId="2" type="Hiragana"/>
  </si>
  <si>
    <t>048-862-1378</t>
    <phoneticPr fontId="2"/>
  </si>
  <si>
    <t>○</t>
    <phoneticPr fontId="2"/>
  </si>
  <si>
    <t>埼京線中浦和駅下車徒歩10分</t>
  </si>
  <si>
    <t>(株)ゼネラルパートナーズ</t>
  </si>
  <si>
    <t>アスタネ</t>
  </si>
  <si>
    <t>桜区西堀8-3-15-1</t>
  </si>
  <si>
    <t>338-0832</t>
  </si>
  <si>
    <t>中浦和駅から徒歩10分</t>
    <phoneticPr fontId="2"/>
  </si>
  <si>
    <t>エンジュ</t>
    <phoneticPr fontId="2"/>
  </si>
  <si>
    <t>見沼区南中野２８６番地１</t>
    <phoneticPr fontId="2"/>
  </si>
  <si>
    <t>337-0042</t>
  </si>
  <si>
    <t>048-686-7875</t>
  </si>
  <si>
    <t>048-686-7985</t>
  </si>
  <si>
    <t>生活介護つむぎ</t>
    <rPh sb="0" eb="2">
      <t>セイカツ</t>
    </rPh>
    <rPh sb="2" eb="4">
      <t>カイゴ</t>
    </rPh>
    <phoneticPr fontId="5"/>
  </si>
  <si>
    <t>見沼区東大宮４－３－１１　クレールK　１F</t>
  </si>
  <si>
    <t>337-0051</t>
  </si>
  <si>
    <t>048-654-0140</t>
  </si>
  <si>
    <t>048-654-0141</t>
  </si>
  <si>
    <t>JR東大宮駅徒歩３分</t>
    <rPh sb="2" eb="5">
      <t>ヒガシオオミヤ</t>
    </rPh>
    <rPh sb="5" eb="6">
      <t>エキ</t>
    </rPh>
    <rPh sb="6" eb="8">
      <t>トホ</t>
    </rPh>
    <rPh sb="9" eb="10">
      <t>フン</t>
    </rPh>
    <phoneticPr fontId="2"/>
  </si>
  <si>
    <t>えーる</t>
  </si>
  <si>
    <t>岩槻区美園東１－８－１　Lumeto１０５</t>
    <rPh sb="0" eb="2">
      <t>イワツキ</t>
    </rPh>
    <rPh sb="2" eb="3">
      <t>ク</t>
    </rPh>
    <rPh sb="3" eb="5">
      <t>ミソノ</t>
    </rPh>
    <rPh sb="5" eb="6">
      <t>ヒガシ</t>
    </rPh>
    <phoneticPr fontId="5"/>
  </si>
  <si>
    <t>048-878-9446</t>
  </si>
  <si>
    <t>浦和美園駅徒歩１２分</t>
    <rPh sb="0" eb="5">
      <t>ウラワミソノエキ</t>
    </rPh>
    <rPh sb="5" eb="7">
      <t>トホ</t>
    </rPh>
    <rPh sb="9" eb="10">
      <t>フン</t>
    </rPh>
    <phoneticPr fontId="2"/>
  </si>
  <si>
    <t>大宮区宮町１－８６－１　大宮イーストビル５F</t>
    <phoneticPr fontId="2"/>
  </si>
  <si>
    <t>048-783-5946</t>
  </si>
  <si>
    <t>048-783-5947</t>
  </si>
  <si>
    <t>大宮駅徒歩６分</t>
    <rPh sb="0" eb="3">
      <t>オオミヤエキ</t>
    </rPh>
    <rPh sb="3" eb="5">
      <t>トホ</t>
    </rPh>
    <rPh sb="6" eb="7">
      <t>フン</t>
    </rPh>
    <phoneticPr fontId="2"/>
  </si>
  <si>
    <t>048-580-6127</t>
    <phoneticPr fontId="2"/>
  </si>
  <si>
    <t>（株）あおいの杜</t>
    <rPh sb="1" eb="2">
      <t>カブ</t>
    </rPh>
    <rPh sb="7" eb="8">
      <t>モリ</t>
    </rPh>
    <phoneticPr fontId="2"/>
  </si>
  <si>
    <t>みつば</t>
    <phoneticPr fontId="2"/>
  </si>
  <si>
    <t>小手指1-3-24</t>
    <rPh sb="0" eb="3">
      <t>コテサシ</t>
    </rPh>
    <phoneticPr fontId="2"/>
  </si>
  <si>
    <t>04-2946-9414</t>
    <phoneticPr fontId="2"/>
  </si>
  <si>
    <t>04-2946-9415</t>
    <phoneticPr fontId="2"/>
  </si>
  <si>
    <t>西部池袋線小手指駅から徒歩13分</t>
    <rPh sb="0" eb="2">
      <t>セイブ</t>
    </rPh>
    <rPh sb="2" eb="4">
      <t>イケブクロ</t>
    </rPh>
    <rPh sb="4" eb="5">
      <t>セン</t>
    </rPh>
    <rPh sb="5" eb="8">
      <t>コテサシ</t>
    </rPh>
    <rPh sb="8" eb="9">
      <t>エキ</t>
    </rPh>
    <rPh sb="11" eb="13">
      <t>トホ</t>
    </rPh>
    <rPh sb="15" eb="16">
      <t>フン</t>
    </rPh>
    <phoneticPr fontId="2"/>
  </si>
  <si>
    <t>（株）日本クリード</t>
    <rPh sb="1" eb="2">
      <t>カブ</t>
    </rPh>
    <rPh sb="3" eb="5">
      <t>ニホン</t>
    </rPh>
    <phoneticPr fontId="2"/>
  </si>
  <si>
    <t>大字上唐子1491-29</t>
    <rPh sb="0" eb="2">
      <t>オオアザ</t>
    </rPh>
    <rPh sb="2" eb="3">
      <t>カミ</t>
    </rPh>
    <rPh sb="3" eb="5">
      <t>カラコ</t>
    </rPh>
    <phoneticPr fontId="2"/>
  </si>
  <si>
    <t>(特非)風林企画</t>
    <rPh sb="1" eb="2">
      <t>トク</t>
    </rPh>
    <rPh sb="2" eb="3">
      <t>ヒ</t>
    </rPh>
    <rPh sb="4" eb="5">
      <t>フウ</t>
    </rPh>
    <rPh sb="5" eb="6">
      <t>リン</t>
    </rPh>
    <rPh sb="6" eb="8">
      <t>キカク</t>
    </rPh>
    <phoneticPr fontId="2"/>
  </si>
  <si>
    <t>風林</t>
    <rPh sb="0" eb="1">
      <t>フウ</t>
    </rPh>
    <rPh sb="1" eb="2">
      <t>リン</t>
    </rPh>
    <phoneticPr fontId="2"/>
  </si>
  <si>
    <t>深谷市</t>
    <rPh sb="0" eb="2">
      <t>フカヤ</t>
    </rPh>
    <rPh sb="2" eb="3">
      <t>シ</t>
    </rPh>
    <phoneticPr fontId="2"/>
  </si>
  <si>
    <t>大谷581-1</t>
    <rPh sb="0" eb="2">
      <t>オオヤ</t>
    </rPh>
    <phoneticPr fontId="2"/>
  </si>
  <si>
    <t>366-0814</t>
    <phoneticPr fontId="2"/>
  </si>
  <si>
    <t>048-598-8862</t>
    <phoneticPr fontId="2"/>
  </si>
  <si>
    <t>JR高崎線深谷駅から武蔵観光バス寄居車庫行き「北大谷」下車徒歩9分</t>
    <rPh sb="2" eb="5">
      <t>タカサキセン</t>
    </rPh>
    <rPh sb="5" eb="7">
      <t>フカヤ</t>
    </rPh>
    <rPh sb="7" eb="8">
      <t>エキ</t>
    </rPh>
    <rPh sb="10" eb="12">
      <t>ムサシ</t>
    </rPh>
    <rPh sb="12" eb="14">
      <t>カンコウ</t>
    </rPh>
    <rPh sb="16" eb="18">
      <t>ヨリイ</t>
    </rPh>
    <rPh sb="18" eb="20">
      <t>シャコ</t>
    </rPh>
    <rPh sb="20" eb="21">
      <t>ユ</t>
    </rPh>
    <rPh sb="23" eb="24">
      <t>キタ</t>
    </rPh>
    <rPh sb="24" eb="26">
      <t>オオヤ</t>
    </rPh>
    <rPh sb="27" eb="29">
      <t>ゲシャ</t>
    </rPh>
    <rPh sb="29" eb="31">
      <t>トホ</t>
    </rPh>
    <rPh sb="32" eb="33">
      <t>フン</t>
    </rPh>
    <phoneticPr fontId="2"/>
  </si>
  <si>
    <t>就労定着支援事業所
ウェルビー春日部センター</t>
    <rPh sb="0" eb="2">
      <t>シュウロウ</t>
    </rPh>
    <rPh sb="2" eb="4">
      <t>テイチャク</t>
    </rPh>
    <rPh sb="4" eb="6">
      <t>シエン</t>
    </rPh>
    <rPh sb="6" eb="9">
      <t>ジギョウショ</t>
    </rPh>
    <rPh sb="15" eb="18">
      <t>カスカベ</t>
    </rPh>
    <phoneticPr fontId="2"/>
  </si>
  <si>
    <t>344-0067</t>
    <phoneticPr fontId="2"/>
  </si>
  <si>
    <t>048-884-8635</t>
    <phoneticPr fontId="2"/>
  </si>
  <si>
    <t>048-884-8636</t>
    <phoneticPr fontId="2"/>
  </si>
  <si>
    <t>○</t>
    <phoneticPr fontId="2"/>
  </si>
  <si>
    <t>(特非）東松山障害者就労支援センター</t>
    <rPh sb="1" eb="2">
      <t>トク</t>
    </rPh>
    <rPh sb="2" eb="3">
      <t>ヒ</t>
    </rPh>
    <rPh sb="4" eb="5">
      <t>ヒガシ</t>
    </rPh>
    <rPh sb="5" eb="7">
      <t>マツヤマ</t>
    </rPh>
    <rPh sb="7" eb="9">
      <t>ショウガイ</t>
    </rPh>
    <rPh sb="9" eb="10">
      <t>シャ</t>
    </rPh>
    <rPh sb="10" eb="12">
      <t>シュウロウ</t>
    </rPh>
    <rPh sb="12" eb="14">
      <t>シエン</t>
    </rPh>
    <phoneticPr fontId="2"/>
  </si>
  <si>
    <t>就労定着支援センターZAC</t>
    <rPh sb="0" eb="2">
      <t>シュウロウ</t>
    </rPh>
    <rPh sb="2" eb="4">
      <t>テイチャク</t>
    </rPh>
    <rPh sb="4" eb="6">
      <t>シエン</t>
    </rPh>
    <phoneticPr fontId="2"/>
  </si>
  <si>
    <t>小松原町17-19</t>
    <rPh sb="0" eb="3">
      <t>コマツバラ</t>
    </rPh>
    <rPh sb="3" eb="4">
      <t>マチ</t>
    </rPh>
    <phoneticPr fontId="2"/>
  </si>
  <si>
    <t>355-0013</t>
    <phoneticPr fontId="2"/>
  </si>
  <si>
    <t>0493-24-1915</t>
    <phoneticPr fontId="2"/>
  </si>
  <si>
    <t>東武東上線東松山駅から東松山市循環バス大谷コース「シルバー人材センター」下車</t>
    <rPh sb="0" eb="5">
      <t>トウブトウジョウセン</t>
    </rPh>
    <rPh sb="5" eb="9">
      <t>ヒガシマツヤマエキ</t>
    </rPh>
    <rPh sb="11" eb="15">
      <t>ヒガシマツヤマシ</t>
    </rPh>
    <rPh sb="15" eb="17">
      <t>ジュンカン</t>
    </rPh>
    <rPh sb="19" eb="21">
      <t>オオタニ</t>
    </rPh>
    <rPh sb="29" eb="31">
      <t>ジンザイ</t>
    </rPh>
    <rPh sb="36" eb="38">
      <t>ゲシャ</t>
    </rPh>
    <phoneticPr fontId="2"/>
  </si>
  <si>
    <t>331-0061</t>
  </si>
  <si>
    <t>南区白幡３－１０－１１　細淵ビル５Ｆ</t>
    <rPh sb="0" eb="2">
      <t>ミナミク</t>
    </rPh>
    <rPh sb="2" eb="4">
      <t>シラハタ</t>
    </rPh>
    <rPh sb="12" eb="14">
      <t>ホソブチ</t>
    </rPh>
    <phoneticPr fontId="4"/>
  </si>
  <si>
    <t>336-0022</t>
  </si>
  <si>
    <t>048-762-9326</t>
  </si>
  <si>
    <t>048-762-9327</t>
  </si>
  <si>
    <t>ＪＲ武蔵浦和駅　徒歩４分</t>
    <rPh sb="2" eb="7">
      <t>ムサシウラワエキ</t>
    </rPh>
    <rPh sb="8" eb="10">
      <t>トホ</t>
    </rPh>
    <rPh sb="11" eb="12">
      <t>フン</t>
    </rPh>
    <phoneticPr fontId="2"/>
  </si>
  <si>
    <t>330-0843</t>
  </si>
  <si>
    <t>330-0063</t>
  </si>
  <si>
    <t>あさひあ～と</t>
    <phoneticPr fontId="2"/>
  </si>
  <si>
    <t>○</t>
    <phoneticPr fontId="2" type="Hiragana"/>
  </si>
  <si>
    <t>ててたりと</t>
    <phoneticPr fontId="2" type="Hiragana"/>
  </si>
  <si>
    <t>333-0845</t>
    <phoneticPr fontId="2" type="Hiragana"/>
  </si>
  <si>
    <t>334-0057</t>
    <phoneticPr fontId="2" type="Hiragana"/>
  </si>
  <si>
    <t>048-299-7260</t>
    <phoneticPr fontId="2" type="Hiragana"/>
  </si>
  <si>
    <t>048-299-7261</t>
    <phoneticPr fontId="2" type="Hiragana"/>
  </si>
  <si>
    <t>(特非)Ｔａｋｅ</t>
    <phoneticPr fontId="2"/>
  </si>
  <si>
    <t>（特非）リ・ハート</t>
    <rPh sb="1" eb="2">
      <t>トク</t>
    </rPh>
    <rPh sb="2" eb="3">
      <t>ヒ</t>
    </rPh>
    <phoneticPr fontId="2"/>
  </si>
  <si>
    <t>リ・ハート</t>
    <phoneticPr fontId="2"/>
  </si>
  <si>
    <t>本町1-7-24</t>
    <rPh sb="0" eb="2">
      <t>ホンマチ</t>
    </rPh>
    <phoneticPr fontId="2"/>
  </si>
  <si>
    <t>355-0015</t>
    <phoneticPr fontId="2"/>
  </si>
  <si>
    <t>0493-21-6500</t>
    <phoneticPr fontId="2"/>
  </si>
  <si>
    <t>東武東上線東松山駅から徒歩14分</t>
    <rPh sb="0" eb="5">
      <t>トウブトウジョウセン</t>
    </rPh>
    <rPh sb="5" eb="6">
      <t>ヒガシ</t>
    </rPh>
    <rPh sb="6" eb="8">
      <t>マツヤマ</t>
    </rPh>
    <rPh sb="8" eb="9">
      <t>エキ</t>
    </rPh>
    <rPh sb="11" eb="13">
      <t>トホ</t>
    </rPh>
    <rPh sb="15" eb="16">
      <t>フン</t>
    </rPh>
    <phoneticPr fontId="2"/>
  </si>
  <si>
    <t>中央2-4-28田口ビル2階</t>
    <rPh sb="0" eb="2">
      <t>チュウオウ</t>
    </rPh>
    <rPh sb="8" eb="10">
      <t>タグチ</t>
    </rPh>
    <rPh sb="13" eb="14">
      <t>カイ</t>
    </rPh>
    <phoneticPr fontId="2"/>
  </si>
  <si>
    <t>東武スカイツリー線東武動物公園駅徒歩5分</t>
    <rPh sb="0" eb="2">
      <t>トウブ</t>
    </rPh>
    <rPh sb="8" eb="9">
      <t>セン</t>
    </rPh>
    <rPh sb="9" eb="16">
      <t>トウブドウブツコウエンエキ</t>
    </rPh>
    <rPh sb="16" eb="18">
      <t>トホ</t>
    </rPh>
    <rPh sb="19" eb="20">
      <t>フン</t>
    </rPh>
    <phoneticPr fontId="2"/>
  </si>
  <si>
    <t>048-658-1844</t>
  </si>
  <si>
    <t>048-658-1845</t>
  </si>
  <si>
    <t>羽尾1041-7</t>
    <rPh sb="0" eb="2">
      <t>ハネオ</t>
    </rPh>
    <phoneticPr fontId="2"/>
  </si>
  <si>
    <t>0493-59-9007</t>
    <phoneticPr fontId="2"/>
  </si>
  <si>
    <t>0493-59-9008</t>
    <phoneticPr fontId="2"/>
  </si>
  <si>
    <t>東武東上線森林公園駅北口下車徒歩8分</t>
    <rPh sb="0" eb="2">
      <t>トウブ</t>
    </rPh>
    <rPh sb="2" eb="4">
      <t>トウジョウ</t>
    </rPh>
    <rPh sb="4" eb="5">
      <t>セン</t>
    </rPh>
    <rPh sb="5" eb="7">
      <t>シンリン</t>
    </rPh>
    <rPh sb="7" eb="9">
      <t>コウエン</t>
    </rPh>
    <rPh sb="9" eb="10">
      <t>エキ</t>
    </rPh>
    <rPh sb="10" eb="12">
      <t>キタグチ</t>
    </rPh>
    <rPh sb="12" eb="14">
      <t>ゲシャ</t>
    </rPh>
    <rPh sb="14" eb="16">
      <t>トホ</t>
    </rPh>
    <rPh sb="17" eb="18">
      <t>フン</t>
    </rPh>
    <phoneticPr fontId="2"/>
  </si>
  <si>
    <t>367-0035</t>
    <phoneticPr fontId="2"/>
  </si>
  <si>
    <t>0495-71-9097</t>
    <phoneticPr fontId="2"/>
  </si>
  <si>
    <t>0495-71-9098</t>
    <phoneticPr fontId="2"/>
  </si>
  <si>
    <t>○</t>
    <phoneticPr fontId="2"/>
  </si>
  <si>
    <t>就労定着支援事業所ぱっそ</t>
    <phoneticPr fontId="2"/>
  </si>
  <si>
    <t>就労定着支援　Jastサポート</t>
    <phoneticPr fontId="2"/>
  </si>
  <si>
    <t>○</t>
    <phoneticPr fontId="2"/>
  </si>
  <si>
    <t>サンヴィレッジ川口センター</t>
    <rPh sb="7" eb="9">
      <t>かわぐち</t>
    </rPh>
    <phoneticPr fontId="2" type="Hiragana"/>
  </si>
  <si>
    <t>川口市</t>
    <rPh sb="0" eb="2">
      <t>かわぐち</t>
    </rPh>
    <rPh sb="2" eb="3">
      <t>し</t>
    </rPh>
    <phoneticPr fontId="2" type="Hiragana"/>
  </si>
  <si>
    <t>幸町3-4-17　スタシオーネ１Ｆ</t>
    <rPh sb="0" eb="2">
      <t>さいわいちょう</t>
    </rPh>
    <phoneticPr fontId="2" type="Hiragana"/>
  </si>
  <si>
    <t>332-0016</t>
    <phoneticPr fontId="2" type="Hiragana"/>
  </si>
  <si>
    <t>048-446-6278</t>
    <phoneticPr fontId="2" type="Hiragana"/>
  </si>
  <si>
    <t>048-446-6279</t>
    <phoneticPr fontId="2" type="Hiragana"/>
  </si>
  <si>
    <t>○</t>
    <phoneticPr fontId="2" type="Hiragana"/>
  </si>
  <si>
    <t>川口駅東口から徒歩７分</t>
    <phoneticPr fontId="2" type="Hiragana"/>
  </si>
  <si>
    <t>就労定着支援事業所　ウェルビー西川口センター</t>
    <rPh sb="0" eb="2">
      <t>しゅうろう</t>
    </rPh>
    <rPh sb="2" eb="4">
      <t>ていちゃく</t>
    </rPh>
    <rPh sb="4" eb="6">
      <t>しえん</t>
    </rPh>
    <rPh sb="6" eb="8">
      <t>じぎょう</t>
    </rPh>
    <rPh sb="8" eb="9">
      <t>しょ</t>
    </rPh>
    <rPh sb="15" eb="18">
      <t>にしかわぐち</t>
    </rPh>
    <phoneticPr fontId="2" type="Hiragana"/>
  </si>
  <si>
    <t>並木2-11-20　フラワーメゾン安岡１階</t>
    <rPh sb="0" eb="2">
      <t>なみき</t>
    </rPh>
    <rPh sb="17" eb="19">
      <t>やすおか</t>
    </rPh>
    <rPh sb="20" eb="21">
      <t>かい</t>
    </rPh>
    <phoneticPr fontId="2" type="Hiragana"/>
  </si>
  <si>
    <t>332-0034</t>
    <phoneticPr fontId="2" type="Hiragana"/>
  </si>
  <si>
    <t>048-240-6363</t>
    <phoneticPr fontId="2" type="Hiragana"/>
  </si>
  <si>
    <t>048-240-6364</t>
    <phoneticPr fontId="2" type="Hiragana"/>
  </si>
  <si>
    <t>○</t>
    <phoneticPr fontId="2" type="Hiragana"/>
  </si>
  <si>
    <t>西川口駅東口から徒歩６分</t>
    <rPh sb="0" eb="1">
      <t>にし</t>
    </rPh>
    <rPh sb="1" eb="3">
      <t>かわぐち</t>
    </rPh>
    <rPh sb="4" eb="5">
      <t>ひがし</t>
    </rPh>
    <phoneticPr fontId="2" type="Hiragana"/>
  </si>
  <si>
    <t>332-0012</t>
    <phoneticPr fontId="2" type="Hiragana"/>
  </si>
  <si>
    <t>（福）めだかすとりぃむ</t>
    <rPh sb="1" eb="2">
      <t>ふく</t>
    </rPh>
    <phoneticPr fontId="2" type="Hiragana"/>
  </si>
  <si>
    <t>すいーつばたけ</t>
    <phoneticPr fontId="2" type="Hiragana"/>
  </si>
  <si>
    <t>安行1132</t>
    <rPh sb="0" eb="2">
      <t>あんぎょう</t>
    </rPh>
    <phoneticPr fontId="2" type="Hiragana"/>
  </si>
  <si>
    <t>334-0059</t>
    <phoneticPr fontId="2" type="Hiragana"/>
  </si>
  <si>
    <t>048-291-5047</t>
    <phoneticPr fontId="2" type="Hiragana"/>
  </si>
  <si>
    <t>048-291-5048</t>
    <phoneticPr fontId="2" type="Hiragana"/>
  </si>
  <si>
    <t>○</t>
    <phoneticPr fontId="2" type="Hiragana"/>
  </si>
  <si>
    <t>埼玉高速鉄道線戸塚安行駅から徒歩１５分</t>
    <rPh sb="0" eb="2">
      <t>さいたま</t>
    </rPh>
    <rPh sb="2" eb="4">
      <t>こうそく</t>
    </rPh>
    <rPh sb="4" eb="6">
      <t>てつどう</t>
    </rPh>
    <rPh sb="6" eb="7">
      <t>せん</t>
    </rPh>
    <rPh sb="7" eb="9">
      <t>とつか</t>
    </rPh>
    <rPh sb="9" eb="11">
      <t>あんぎょう</t>
    </rPh>
    <rPh sb="11" eb="12">
      <t>えき</t>
    </rPh>
    <rPh sb="14" eb="16">
      <t>とほ</t>
    </rPh>
    <rPh sb="18" eb="19">
      <t>ふん</t>
    </rPh>
    <phoneticPr fontId="2" type="Hiragana"/>
  </si>
  <si>
    <t>（福）ひらく会</t>
    <rPh sb="1" eb="2">
      <t>ふく</t>
    </rPh>
    <rPh sb="6" eb="7">
      <t>かい</t>
    </rPh>
    <phoneticPr fontId="2" type="Hiragana"/>
  </si>
  <si>
    <t>ステイホームいいづか</t>
    <phoneticPr fontId="2" type="Hiragana"/>
  </si>
  <si>
    <t>飯塚1-9-44</t>
    <rPh sb="0" eb="2">
      <t>いいづか</t>
    </rPh>
    <phoneticPr fontId="2" type="Hiragana"/>
  </si>
  <si>
    <t>332-0023</t>
    <phoneticPr fontId="2" type="Hiragana"/>
  </si>
  <si>
    <t>048-258-6750</t>
    <phoneticPr fontId="2" type="Hiragana"/>
  </si>
  <si>
    <t>川口駅西口から徒歩７分
※共同生活援助との併設</t>
    <rPh sb="3" eb="4">
      <t>にし</t>
    </rPh>
    <phoneticPr fontId="2" type="Hiragana"/>
  </si>
  <si>
    <t>知</t>
    <rPh sb="0" eb="1">
      <t>ち</t>
    </rPh>
    <phoneticPr fontId="2" type="Hiragana"/>
  </si>
  <si>
    <t>343-0041</t>
    <phoneticPr fontId="2"/>
  </si>
  <si>
    <t>ウェルビー（株）</t>
    <rPh sb="6" eb="7">
      <t>カブ</t>
    </rPh>
    <phoneticPr fontId="2"/>
  </si>
  <si>
    <t>就労定着支援事業所ウェルビー草加駅前センター</t>
    <rPh sb="0" eb="2">
      <t>シュウロウ</t>
    </rPh>
    <rPh sb="2" eb="4">
      <t>テイチャク</t>
    </rPh>
    <rPh sb="4" eb="6">
      <t>シエン</t>
    </rPh>
    <rPh sb="6" eb="9">
      <t>ジギョウショ</t>
    </rPh>
    <rPh sb="14" eb="16">
      <t>ソウカ</t>
    </rPh>
    <rPh sb="16" eb="18">
      <t>エキマエ</t>
    </rPh>
    <phoneticPr fontId="2"/>
  </si>
  <si>
    <t>氷川町2101-1シーバイオビル3階</t>
    <rPh sb="0" eb="2">
      <t>ヒカワ</t>
    </rPh>
    <rPh sb="2" eb="3">
      <t>マチ</t>
    </rPh>
    <rPh sb="17" eb="18">
      <t>カイ</t>
    </rPh>
    <phoneticPr fontId="2"/>
  </si>
  <si>
    <t>340-0034</t>
    <phoneticPr fontId="2"/>
  </si>
  <si>
    <t>048-929-7575</t>
    <phoneticPr fontId="2"/>
  </si>
  <si>
    <t>048-929-7526</t>
    <phoneticPr fontId="2"/>
  </si>
  <si>
    <t>○</t>
    <phoneticPr fontId="2"/>
  </si>
  <si>
    <t>クリスタルサービス八潮</t>
    <rPh sb="9" eb="11">
      <t>ヤシオ</t>
    </rPh>
    <phoneticPr fontId="2"/>
  </si>
  <si>
    <t>048-577-7662</t>
    <phoneticPr fontId="2"/>
  </si>
  <si>
    <t>048-577-7674</t>
    <phoneticPr fontId="2"/>
  </si>
  <si>
    <t>048-578-8431</t>
    <phoneticPr fontId="2"/>
  </si>
  <si>
    <t>就労定着支援事業所
ウェルビ-朝霞台駅前センター</t>
    <rPh sb="0" eb="2">
      <t>シュウロウ</t>
    </rPh>
    <rPh sb="2" eb="4">
      <t>テイチャク</t>
    </rPh>
    <rPh sb="4" eb="6">
      <t>シエン</t>
    </rPh>
    <rPh sb="6" eb="9">
      <t>ジギョウショ</t>
    </rPh>
    <rPh sb="15" eb="18">
      <t>アサカダイ</t>
    </rPh>
    <rPh sb="18" eb="19">
      <t>エキ</t>
    </rPh>
    <rPh sb="19" eb="20">
      <t>マエ</t>
    </rPh>
    <phoneticPr fontId="2"/>
  </si>
  <si>
    <t>○</t>
    <phoneticPr fontId="2"/>
  </si>
  <si>
    <t>東武東上線朝霞台駅下車徒歩3分、
武蔵野線北朝霞駅下車徒歩2分</t>
    <rPh sb="0" eb="5">
      <t>トウブトウジョウセン</t>
    </rPh>
    <rPh sb="5" eb="9">
      <t>アサカダイエキ</t>
    </rPh>
    <rPh sb="9" eb="11">
      <t>ゲシャ</t>
    </rPh>
    <rPh sb="11" eb="13">
      <t>トホ</t>
    </rPh>
    <rPh sb="14" eb="15">
      <t>プン</t>
    </rPh>
    <rPh sb="17" eb="21">
      <t>ムサシノセン</t>
    </rPh>
    <rPh sb="21" eb="25">
      <t>キタアサカエキ</t>
    </rPh>
    <rPh sb="25" eb="27">
      <t>ゲシャ</t>
    </rPh>
    <rPh sb="27" eb="29">
      <t>トホ</t>
    </rPh>
    <rPh sb="30" eb="31">
      <t>フン</t>
    </rPh>
    <phoneticPr fontId="2"/>
  </si>
  <si>
    <t>就労定着支援事業所
ウェルビー航空公園駅前センター</t>
    <rPh sb="0" eb="2">
      <t>シュウロウ</t>
    </rPh>
    <rPh sb="2" eb="4">
      <t>テイチャク</t>
    </rPh>
    <rPh sb="4" eb="6">
      <t>シエン</t>
    </rPh>
    <rPh sb="6" eb="9">
      <t>ジギョウショ</t>
    </rPh>
    <rPh sb="15" eb="17">
      <t>コウクウ</t>
    </rPh>
    <rPh sb="17" eb="19">
      <t>コウエン</t>
    </rPh>
    <rPh sb="19" eb="21">
      <t>エキマエ</t>
    </rPh>
    <phoneticPr fontId="2"/>
  </si>
  <si>
    <t>喜多町17-11
マッキンレービル1階</t>
    <rPh sb="0" eb="1">
      <t>ヨロコ</t>
    </rPh>
    <rPh sb="1" eb="2">
      <t>オオ</t>
    </rPh>
    <rPh sb="2" eb="3">
      <t>マチ</t>
    </rPh>
    <rPh sb="18" eb="19">
      <t>カイ</t>
    </rPh>
    <phoneticPr fontId="2"/>
  </si>
  <si>
    <t>359-1113</t>
    <phoneticPr fontId="2"/>
  </si>
  <si>
    <t>042-920-2323</t>
    <phoneticPr fontId="2"/>
  </si>
  <si>
    <t>042-920-2324</t>
    <phoneticPr fontId="2"/>
  </si>
  <si>
    <t>西武新宿線航空公園駅下車徒歩1分</t>
    <rPh sb="0" eb="5">
      <t>セイブシンジュクセン</t>
    </rPh>
    <rPh sb="5" eb="7">
      <t>コウクウ</t>
    </rPh>
    <rPh sb="7" eb="9">
      <t>コウエン</t>
    </rPh>
    <rPh sb="9" eb="10">
      <t>エキ</t>
    </rPh>
    <rPh sb="10" eb="12">
      <t>ゲシャ</t>
    </rPh>
    <rPh sb="12" eb="14">
      <t>トホ</t>
    </rPh>
    <rPh sb="15" eb="16">
      <t>プン</t>
    </rPh>
    <phoneticPr fontId="2"/>
  </si>
  <si>
    <t>LITALICOワークス所沢</t>
    <phoneticPr fontId="2"/>
  </si>
  <si>
    <t>04-2929-5221</t>
    <phoneticPr fontId="2"/>
  </si>
  <si>
    <t>04-2929-5222</t>
    <phoneticPr fontId="2"/>
  </si>
  <si>
    <t>傍楽舎</t>
    <rPh sb="0" eb="1">
      <t>ソバ</t>
    </rPh>
    <rPh sb="1" eb="2">
      <t>ラク</t>
    </rPh>
    <rPh sb="2" eb="3">
      <t>シャ</t>
    </rPh>
    <phoneticPr fontId="2"/>
  </si>
  <si>
    <t>353-0004</t>
    <phoneticPr fontId="2"/>
  </si>
  <si>
    <t>○</t>
    <phoneticPr fontId="2"/>
  </si>
  <si>
    <t>359-0037</t>
    <phoneticPr fontId="2"/>
  </si>
  <si>
    <t>04-2997-5180</t>
    <phoneticPr fontId="2"/>
  </si>
  <si>
    <t>04-2997-5181</t>
    <phoneticPr fontId="2"/>
  </si>
  <si>
    <t>048-482-5155</t>
    <phoneticPr fontId="2"/>
  </si>
  <si>
    <t>サービスエース</t>
    <phoneticPr fontId="2"/>
  </si>
  <si>
    <t>049-293-8131</t>
    <phoneticPr fontId="2"/>
  </si>
  <si>
    <t>049-293-8132</t>
    <phoneticPr fontId="2"/>
  </si>
  <si>
    <t>ワークステーションつみ喜</t>
    <rPh sb="11" eb="12">
      <t>ヨロコ</t>
    </rPh>
    <phoneticPr fontId="2"/>
  </si>
  <si>
    <t>見沼区東門前４６１－１</t>
    <phoneticPr fontId="2"/>
  </si>
  <si>
    <t>337-0016</t>
    <phoneticPr fontId="2"/>
  </si>
  <si>
    <t>048-720-8639</t>
    <phoneticPr fontId="2"/>
  </si>
  <si>
    <t>048-720-8625</t>
    <phoneticPr fontId="2"/>
  </si>
  <si>
    <t>LITALICOワークス大宮</t>
    <rPh sb="12" eb="14">
      <t>オオミヤ</t>
    </rPh>
    <phoneticPr fontId="5"/>
  </si>
  <si>
    <t>大宮区下町１－４２－２　ＴＳ－５ＢＬＤＧ５Ｆ</t>
    <rPh sb="0" eb="2">
      <t>オオミヤ</t>
    </rPh>
    <rPh sb="2" eb="3">
      <t>ク</t>
    </rPh>
    <rPh sb="3" eb="4">
      <t>シモ</t>
    </rPh>
    <rPh sb="4" eb="5">
      <t>チョウ</t>
    </rPh>
    <phoneticPr fontId="5"/>
  </si>
  <si>
    <t>330-0844</t>
  </si>
  <si>
    <t>LITALICOワークスさいたま浦和</t>
    <rPh sb="16" eb="18">
      <t>ウラワ</t>
    </rPh>
    <phoneticPr fontId="5"/>
  </si>
  <si>
    <t>中央区新中里１－３－３　埼大通りメディカルビル４階</t>
    <rPh sb="0" eb="3">
      <t>チュウオウク</t>
    </rPh>
    <rPh sb="3" eb="6">
      <t>シンナカザト</t>
    </rPh>
    <rPh sb="12" eb="15">
      <t>サキオオドオ</t>
    </rPh>
    <rPh sb="24" eb="25">
      <t>カイ</t>
    </rPh>
    <phoneticPr fontId="5"/>
  </si>
  <si>
    <t>338-0011</t>
  </si>
  <si>
    <t>048-835-3047</t>
  </si>
  <si>
    <t>048-835-3048</t>
  </si>
  <si>
    <t>北浦和駅徒歩11分</t>
    <rPh sb="0" eb="4">
      <t>キタウラワエキ</t>
    </rPh>
    <rPh sb="4" eb="6">
      <t>トホ</t>
    </rPh>
    <rPh sb="8" eb="9">
      <t>フン</t>
    </rPh>
    <phoneticPr fontId="2"/>
  </si>
  <si>
    <t>就労定着支援事業所　ウェルビー大宮センター</t>
    <rPh sb="0" eb="2">
      <t>シュウロウ</t>
    </rPh>
    <rPh sb="2" eb="4">
      <t>テイチャク</t>
    </rPh>
    <rPh sb="4" eb="6">
      <t>シエン</t>
    </rPh>
    <rPh sb="6" eb="9">
      <t>ジギョウショ</t>
    </rPh>
    <rPh sb="15" eb="17">
      <t>オオミヤ</t>
    </rPh>
    <phoneticPr fontId="5"/>
  </si>
  <si>
    <t>330-0846</t>
  </si>
  <si>
    <t>048-640-5010</t>
  </si>
  <si>
    <t>048-640-5011</t>
  </si>
  <si>
    <t>大宮駅徒歩７分</t>
    <rPh sb="0" eb="3">
      <t>オオミヤエキ</t>
    </rPh>
    <rPh sb="3" eb="5">
      <t>トホ</t>
    </rPh>
    <rPh sb="6" eb="7">
      <t>フン</t>
    </rPh>
    <phoneticPr fontId="2"/>
  </si>
  <si>
    <t>大宮区仲町２－２５　松亀プレジデントビル２Ｆ</t>
    <rPh sb="0" eb="2">
      <t>オオミヤ</t>
    </rPh>
    <rPh sb="2" eb="3">
      <t>ク</t>
    </rPh>
    <rPh sb="3" eb="5">
      <t>ナカチョウ</t>
    </rPh>
    <rPh sb="10" eb="11">
      <t>マツ</t>
    </rPh>
    <rPh sb="11" eb="12">
      <t>カメ</t>
    </rPh>
    <phoneticPr fontId="5"/>
  </si>
  <si>
    <t>330-0845</t>
  </si>
  <si>
    <t>大宮駅徒歩５分</t>
    <rPh sb="0" eb="3">
      <t>オオミヤエキ</t>
    </rPh>
    <rPh sb="3" eb="5">
      <t>トホ</t>
    </rPh>
    <rPh sb="6" eb="7">
      <t>フン</t>
    </rPh>
    <phoneticPr fontId="2"/>
  </si>
  <si>
    <t>048-711-7461</t>
  </si>
  <si>
    <t>048-711-7462</t>
  </si>
  <si>
    <t>○</t>
    <phoneticPr fontId="2"/>
  </si>
  <si>
    <t>就労定着支援事業所ライトハウス</t>
    <rPh sb="0" eb="2">
      <t>シュウロウ</t>
    </rPh>
    <rPh sb="2" eb="4">
      <t>テイチャク</t>
    </rPh>
    <rPh sb="4" eb="6">
      <t>シエン</t>
    </rPh>
    <rPh sb="6" eb="8">
      <t>ジギョウ</t>
    </rPh>
    <rPh sb="8" eb="9">
      <t>ショ</t>
    </rPh>
    <phoneticPr fontId="5"/>
  </si>
  <si>
    <t>大宮区吉敷町１丁目８９番地６Ｆ</t>
    <rPh sb="0" eb="2">
      <t>オオミヤ</t>
    </rPh>
    <rPh sb="2" eb="3">
      <t>ク</t>
    </rPh>
    <rPh sb="3" eb="6">
      <t>キシキチョウ</t>
    </rPh>
    <rPh sb="7" eb="9">
      <t>チョウメ</t>
    </rPh>
    <rPh sb="11" eb="13">
      <t>バンチ</t>
    </rPh>
    <phoneticPr fontId="5"/>
  </si>
  <si>
    <t>048-788-1490</t>
  </si>
  <si>
    <t>048-788-1491</t>
  </si>
  <si>
    <t>大宮駅徒歩２０分</t>
    <rPh sb="0" eb="3">
      <t>オオミヤエキ</t>
    </rPh>
    <rPh sb="3" eb="5">
      <t>トホ</t>
    </rPh>
    <rPh sb="7" eb="8">
      <t>フン</t>
    </rPh>
    <phoneticPr fontId="2"/>
  </si>
  <si>
    <t>キャリアプラス美蕾（みらい）</t>
    <rPh sb="7" eb="8">
      <t>ウツク</t>
    </rPh>
    <rPh sb="8" eb="9">
      <t>ツボミ</t>
    </rPh>
    <phoneticPr fontId="5"/>
  </si>
  <si>
    <t>浦和駅徒歩５分</t>
    <rPh sb="0" eb="3">
      <t>ウラワエキ</t>
    </rPh>
    <rPh sb="3" eb="5">
      <t>トホ</t>
    </rPh>
    <rPh sb="6" eb="7">
      <t>フン</t>
    </rPh>
    <phoneticPr fontId="2"/>
  </si>
  <si>
    <t>ユウノキ</t>
  </si>
  <si>
    <t>浦和区高砂２丁目１４－１７　浦和マルゼンビル３Ｆ</t>
    <rPh sb="0" eb="2">
      <t>ウラワ</t>
    </rPh>
    <rPh sb="2" eb="3">
      <t>ク</t>
    </rPh>
    <rPh sb="3" eb="5">
      <t>タカサゴ</t>
    </rPh>
    <rPh sb="6" eb="8">
      <t>チョウメ</t>
    </rPh>
    <rPh sb="14" eb="16">
      <t>ウラワ</t>
    </rPh>
    <phoneticPr fontId="5"/>
  </si>
  <si>
    <t>048-711-7467</t>
  </si>
  <si>
    <t>048-711-7468</t>
  </si>
  <si>
    <t>362-0022</t>
    <phoneticPr fontId="2"/>
  </si>
  <si>
    <t>(福)あげお福祉会</t>
    <rPh sb="1" eb="2">
      <t>フク</t>
    </rPh>
    <rPh sb="6" eb="8">
      <t>フクシ</t>
    </rPh>
    <rPh sb="8" eb="9">
      <t>カイ</t>
    </rPh>
    <phoneticPr fontId="2"/>
  </si>
  <si>
    <t>プラスハート</t>
    <phoneticPr fontId="2"/>
  </si>
  <si>
    <t>362-0015</t>
    <phoneticPr fontId="2"/>
  </si>
  <si>
    <t>048-772-3522</t>
    <phoneticPr fontId="2"/>
  </si>
  <si>
    <t>048-772-5022</t>
    <phoneticPr fontId="2"/>
  </si>
  <si>
    <t>○</t>
    <phoneticPr fontId="2"/>
  </si>
  <si>
    <t>高崎線北上尾駅下車徒歩7分</t>
    <phoneticPr fontId="2"/>
  </si>
  <si>
    <t>360-0036</t>
    <phoneticPr fontId="2"/>
  </si>
  <si>
    <t>048-578-8401</t>
    <phoneticPr fontId="2"/>
  </si>
  <si>
    <t>048-578-8402</t>
    <phoneticPr fontId="2"/>
  </si>
  <si>
    <t>○</t>
    <phoneticPr fontId="2"/>
  </si>
  <si>
    <t>チャレジョブセンター</t>
    <phoneticPr fontId="2"/>
  </si>
  <si>
    <t>363-0022</t>
    <phoneticPr fontId="2"/>
  </si>
  <si>
    <t>048-789-5300</t>
    <phoneticPr fontId="2"/>
  </si>
  <si>
    <t>048-789-5301</t>
    <phoneticPr fontId="2"/>
  </si>
  <si>
    <t>北本1-71TKビル2F</t>
    <phoneticPr fontId="2"/>
  </si>
  <si>
    <t>364-0006</t>
    <phoneticPr fontId="2"/>
  </si>
  <si>
    <t>048-507-6571</t>
    <phoneticPr fontId="2"/>
  </si>
  <si>
    <t>048-507-9829</t>
    <phoneticPr fontId="2"/>
  </si>
  <si>
    <t>367-0035</t>
    <phoneticPr fontId="2"/>
  </si>
  <si>
    <t>0495-71-9097</t>
    <phoneticPr fontId="2"/>
  </si>
  <si>
    <t>0495-71-9098</t>
    <phoneticPr fontId="2"/>
  </si>
  <si>
    <t>○</t>
    <phoneticPr fontId="2"/>
  </si>
  <si>
    <t>(一社）ゆずりは</t>
    <rPh sb="1" eb="2">
      <t>イチ</t>
    </rPh>
    <rPh sb="2" eb="3">
      <t>シャ</t>
    </rPh>
    <phoneticPr fontId="2"/>
  </si>
  <si>
    <t>とんぼ</t>
    <phoneticPr fontId="2"/>
  </si>
  <si>
    <t>南4-1-7</t>
    <rPh sb="0" eb="1">
      <t>ミナミ</t>
    </rPh>
    <phoneticPr fontId="2"/>
  </si>
  <si>
    <t>348-0053</t>
    <phoneticPr fontId="2"/>
  </si>
  <si>
    <t>048-501-5266</t>
    <phoneticPr fontId="2"/>
  </si>
  <si>
    <t>048-501-5280</t>
    <phoneticPr fontId="2"/>
  </si>
  <si>
    <t>東武伊勢崎線羽生駅東口徒歩5分</t>
    <rPh sb="0" eb="2">
      <t>トウブ</t>
    </rPh>
    <rPh sb="2" eb="5">
      <t>イセサキ</t>
    </rPh>
    <rPh sb="5" eb="6">
      <t>セン</t>
    </rPh>
    <rPh sb="6" eb="8">
      <t>ハニュウ</t>
    </rPh>
    <rPh sb="8" eb="9">
      <t>エキ</t>
    </rPh>
    <rPh sb="9" eb="11">
      <t>ヒガシグチ</t>
    </rPh>
    <rPh sb="11" eb="13">
      <t>トホ</t>
    </rPh>
    <rPh sb="14" eb="15">
      <t>フン</t>
    </rPh>
    <phoneticPr fontId="2"/>
  </si>
  <si>
    <t>○</t>
    <phoneticPr fontId="2"/>
  </si>
  <si>
    <t>クローバー</t>
    <phoneticPr fontId="2"/>
  </si>
  <si>
    <t>0480-97-0033</t>
    <phoneticPr fontId="2"/>
  </si>
  <si>
    <t>障害福祉サービス事業所　かなめ</t>
    <rPh sb="0" eb="2">
      <t>ショウガイ</t>
    </rPh>
    <rPh sb="2" eb="4">
      <t>フクシ</t>
    </rPh>
    <rPh sb="8" eb="10">
      <t>ジギョウ</t>
    </rPh>
    <rPh sb="10" eb="11">
      <t>ショ</t>
    </rPh>
    <phoneticPr fontId="2"/>
  </si>
  <si>
    <t>増林6042-1</t>
    <rPh sb="0" eb="2">
      <t>マシバヤシ</t>
    </rPh>
    <phoneticPr fontId="2"/>
  </si>
  <si>
    <t>343-0011</t>
    <phoneticPr fontId="2"/>
  </si>
  <si>
    <t>048-969-7000</t>
    <phoneticPr fontId="2"/>
  </si>
  <si>
    <t>048-9969-7001</t>
    <phoneticPr fontId="2"/>
  </si>
  <si>
    <t>○</t>
    <phoneticPr fontId="2"/>
  </si>
  <si>
    <t>東武スカイツリーライン　越谷駅東口から朝日バス　増林地区センター・いきいき館・総合公園行「増林バス停」下車（10分）バス停から約3分</t>
    <rPh sb="0" eb="2">
      <t>トウブ</t>
    </rPh>
    <rPh sb="12" eb="14">
      <t>コシガヤ</t>
    </rPh>
    <rPh sb="14" eb="15">
      <t>エキ</t>
    </rPh>
    <rPh sb="15" eb="17">
      <t>ヒガシグチ</t>
    </rPh>
    <rPh sb="19" eb="21">
      <t>アサヒ</t>
    </rPh>
    <rPh sb="24" eb="26">
      <t>マシバヤシ</t>
    </rPh>
    <rPh sb="26" eb="28">
      <t>チク</t>
    </rPh>
    <rPh sb="37" eb="38">
      <t>ヤカタ</t>
    </rPh>
    <rPh sb="39" eb="41">
      <t>ソウゴウ</t>
    </rPh>
    <rPh sb="41" eb="43">
      <t>コウエン</t>
    </rPh>
    <rPh sb="43" eb="44">
      <t>ユ</t>
    </rPh>
    <rPh sb="45" eb="47">
      <t>マシバヤシ</t>
    </rPh>
    <rPh sb="49" eb="50">
      <t>テイ</t>
    </rPh>
    <rPh sb="51" eb="53">
      <t>ゲシャ</t>
    </rPh>
    <rPh sb="56" eb="57">
      <t>フン</t>
    </rPh>
    <rPh sb="60" eb="61">
      <t>テイ</t>
    </rPh>
    <rPh sb="63" eb="64">
      <t>ヤク</t>
    </rPh>
    <rPh sb="65" eb="66">
      <t>フン</t>
    </rPh>
    <phoneticPr fontId="2"/>
  </si>
  <si>
    <t>（特非）ヒールアップハウス</t>
    <phoneticPr fontId="2" type="Hiragana"/>
  </si>
  <si>
    <t>にちにち</t>
    <phoneticPr fontId="2" type="Hiragana"/>
  </si>
  <si>
    <t>川口市</t>
    <phoneticPr fontId="2" type="Hiragana"/>
  </si>
  <si>
    <t>東川口4-24-5　メゾネットシマ１階</t>
    <rPh sb="0" eb="3">
      <t>ひがしかわぐち</t>
    </rPh>
    <rPh sb="18" eb="19">
      <t>かい</t>
    </rPh>
    <phoneticPr fontId="2" type="Hiragana"/>
  </si>
  <si>
    <t>333-0801</t>
    <phoneticPr fontId="2" type="Hiragana"/>
  </si>
  <si>
    <t>048-430-7409</t>
    <phoneticPr fontId="2" type="Hiragana"/>
  </si>
  <si>
    <t>048-430-7419</t>
    <phoneticPr fontId="2" type="Hiragana"/>
  </si>
  <si>
    <t>東川口駅から徒歩１３分</t>
    <rPh sb="0" eb="1">
      <t>ひがし</t>
    </rPh>
    <phoneticPr fontId="2" type="Hiragana"/>
  </si>
  <si>
    <t>049-269-7005</t>
    <phoneticPr fontId="2"/>
  </si>
  <si>
    <t>049-269-7006</t>
    <phoneticPr fontId="2"/>
  </si>
  <si>
    <t>○</t>
    <phoneticPr fontId="2"/>
  </si>
  <si>
    <t>○</t>
    <phoneticPr fontId="2"/>
  </si>
  <si>
    <t>サービスエース</t>
    <phoneticPr fontId="2"/>
  </si>
  <si>
    <t>049-293-8131</t>
    <phoneticPr fontId="2"/>
  </si>
  <si>
    <t>049-293-8132</t>
    <phoneticPr fontId="2"/>
  </si>
  <si>
    <t>048-782-4177</t>
    <phoneticPr fontId="2"/>
  </si>
  <si>
    <t>○</t>
    <phoneticPr fontId="2"/>
  </si>
  <si>
    <t>048-577-6661</t>
    <phoneticPr fontId="2"/>
  </si>
  <si>
    <t>048-577-6662</t>
    <phoneticPr fontId="2"/>
  </si>
  <si>
    <t>○</t>
    <phoneticPr fontId="2"/>
  </si>
  <si>
    <t>362-0011</t>
    <phoneticPr fontId="2"/>
  </si>
  <si>
    <t>（株）凛</t>
    <rPh sb="1" eb="2">
      <t>カブ</t>
    </rPh>
    <rPh sb="3" eb="4">
      <t>リン</t>
    </rPh>
    <phoneticPr fontId="2"/>
  </si>
  <si>
    <t>多機能型事業所まごころファーム川越</t>
    <rPh sb="0" eb="4">
      <t>タキノウガタ</t>
    </rPh>
    <rPh sb="4" eb="7">
      <t>ジギョウショ</t>
    </rPh>
    <rPh sb="15" eb="17">
      <t>カワゴエ</t>
    </rPh>
    <phoneticPr fontId="2"/>
  </si>
  <si>
    <t>350-0014</t>
    <phoneticPr fontId="2"/>
  </si>
  <si>
    <t>049-265-7906</t>
    <phoneticPr fontId="2"/>
  </si>
  <si>
    <t>049-265-7907</t>
    <phoneticPr fontId="2"/>
  </si>
  <si>
    <t>①東武東上線　上福岡駅下車、「上福岡駅入口」より西武バス古01（南古谷行き）乗車、「城北埼玉中学・高等学校」下車、徒歩5分
②ＪＲ川越線　南古谷駅下車、「南古谷駅」より西武バス古01（上赤坂行き）乗車、「城北埼玉中学・高等学校」下車、徒歩5分</t>
    <rPh sb="1" eb="6">
      <t>トウブトウジョウセン</t>
    </rPh>
    <rPh sb="7" eb="10">
      <t>カミフクオカ</t>
    </rPh>
    <rPh sb="10" eb="11">
      <t>エキ</t>
    </rPh>
    <rPh sb="11" eb="13">
      <t>ゲシャ</t>
    </rPh>
    <rPh sb="15" eb="18">
      <t>カミフクオカ</t>
    </rPh>
    <rPh sb="18" eb="19">
      <t>エキ</t>
    </rPh>
    <rPh sb="19" eb="20">
      <t>イ</t>
    </rPh>
    <rPh sb="20" eb="21">
      <t>グチ</t>
    </rPh>
    <rPh sb="24" eb="26">
      <t>セイブ</t>
    </rPh>
    <rPh sb="28" eb="29">
      <t>フル</t>
    </rPh>
    <rPh sb="32" eb="35">
      <t>ミナミフルヤ</t>
    </rPh>
    <rPh sb="35" eb="36">
      <t>イ</t>
    </rPh>
    <rPh sb="38" eb="40">
      <t>ジョウシャ</t>
    </rPh>
    <rPh sb="42" eb="44">
      <t>ジョウホク</t>
    </rPh>
    <rPh sb="44" eb="46">
      <t>サイタマ</t>
    </rPh>
    <rPh sb="46" eb="48">
      <t>チュウガク</t>
    </rPh>
    <rPh sb="49" eb="51">
      <t>コウトウ</t>
    </rPh>
    <rPh sb="51" eb="53">
      <t>ガッコウ</t>
    </rPh>
    <rPh sb="54" eb="56">
      <t>ゲシャ</t>
    </rPh>
    <rPh sb="57" eb="59">
      <t>トホ</t>
    </rPh>
    <rPh sb="60" eb="61">
      <t>フン</t>
    </rPh>
    <rPh sb="65" eb="68">
      <t>カワゴエセン</t>
    </rPh>
    <rPh sb="69" eb="73">
      <t>ミナミフルヤエキ</t>
    </rPh>
    <rPh sb="73" eb="75">
      <t>ゲシャ</t>
    </rPh>
    <rPh sb="77" eb="81">
      <t>ミナミフルヤエキ</t>
    </rPh>
    <rPh sb="84" eb="86">
      <t>セイブ</t>
    </rPh>
    <rPh sb="88" eb="89">
      <t>フル</t>
    </rPh>
    <rPh sb="92" eb="93">
      <t>ウエ</t>
    </rPh>
    <rPh sb="93" eb="95">
      <t>アカサカ</t>
    </rPh>
    <rPh sb="95" eb="96">
      <t>イ</t>
    </rPh>
    <rPh sb="98" eb="100">
      <t>ジョウシャ</t>
    </rPh>
    <phoneticPr fontId="2"/>
  </si>
  <si>
    <t>南越谷4-11-4　セントエルモ新越谷４階</t>
    <rPh sb="0" eb="3">
      <t>ミナミコシガヤ</t>
    </rPh>
    <rPh sb="16" eb="17">
      <t>シン</t>
    </rPh>
    <rPh sb="17" eb="19">
      <t>コシガヤ</t>
    </rPh>
    <rPh sb="20" eb="21">
      <t>カイ</t>
    </rPh>
    <phoneticPr fontId="2"/>
  </si>
  <si>
    <t>ななくさ就労定着支援事業所</t>
    <rPh sb="4" eb="6">
      <t>シュウロウ</t>
    </rPh>
    <rPh sb="6" eb="8">
      <t>テイチャク</t>
    </rPh>
    <rPh sb="8" eb="10">
      <t>シエン</t>
    </rPh>
    <rPh sb="10" eb="13">
      <t>ジギョウショ</t>
    </rPh>
    <phoneticPr fontId="5"/>
  </si>
  <si>
    <t>さいたま市</t>
    <rPh sb="4" eb="5">
      <t>シ</t>
    </rPh>
    <phoneticPr fontId="5"/>
  </si>
  <si>
    <t>見沼区大谷１２６４</t>
    <rPh sb="0" eb="3">
      <t>ミヌマク</t>
    </rPh>
    <rPh sb="3" eb="5">
      <t>オオヤ</t>
    </rPh>
    <phoneticPr fontId="5"/>
  </si>
  <si>
    <t>337-0014</t>
    <phoneticPr fontId="2"/>
  </si>
  <si>
    <t>048-812-5481</t>
  </si>
  <si>
    <t>048-812-5482</t>
  </si>
  <si>
    <t>大宮駅東口から国際興業バス大谷県営住宅行き「大谷」バス停下車５分</t>
    <rPh sb="0" eb="3">
      <t>オオミヤエキ</t>
    </rPh>
    <rPh sb="3" eb="4">
      <t>ヒガシ</t>
    </rPh>
    <rPh sb="4" eb="5">
      <t>クチ</t>
    </rPh>
    <rPh sb="7" eb="9">
      <t>コクサイ</t>
    </rPh>
    <rPh sb="9" eb="11">
      <t>コウギョウ</t>
    </rPh>
    <rPh sb="13" eb="15">
      <t>オオヤ</t>
    </rPh>
    <rPh sb="15" eb="17">
      <t>ケンエイ</t>
    </rPh>
    <rPh sb="17" eb="19">
      <t>ジュウタク</t>
    </rPh>
    <rPh sb="19" eb="20">
      <t>イ</t>
    </rPh>
    <rPh sb="22" eb="24">
      <t>オオヤ</t>
    </rPh>
    <rPh sb="27" eb="28">
      <t>テイ</t>
    </rPh>
    <rPh sb="28" eb="30">
      <t>ゲシャ</t>
    </rPh>
    <rPh sb="31" eb="32">
      <t>フン</t>
    </rPh>
    <phoneticPr fontId="2"/>
  </si>
  <si>
    <t>○</t>
    <phoneticPr fontId="2"/>
  </si>
  <si>
    <t>ぽかぽかキャリア・アカデミー</t>
    <phoneticPr fontId="2"/>
  </si>
  <si>
    <t>357-0021</t>
    <phoneticPr fontId="2"/>
  </si>
  <si>
    <t>042-978-6348</t>
    <phoneticPr fontId="2"/>
  </si>
  <si>
    <t>○</t>
    <phoneticPr fontId="2"/>
  </si>
  <si>
    <t>350-0436</t>
    <phoneticPr fontId="2"/>
  </si>
  <si>
    <t>049-295-2036</t>
    <phoneticPr fontId="2"/>
  </si>
  <si>
    <t>○</t>
    <phoneticPr fontId="2"/>
  </si>
  <si>
    <t>かわせみ</t>
    <phoneticPr fontId="2"/>
  </si>
  <si>
    <t>(株）彩友</t>
    <rPh sb="1" eb="2">
      <t>カブ</t>
    </rPh>
    <rPh sb="3" eb="4">
      <t>アヤ</t>
    </rPh>
    <rPh sb="4" eb="5">
      <t>トモ</t>
    </rPh>
    <phoneticPr fontId="2"/>
  </si>
  <si>
    <t>ポコポコプカプカ</t>
    <phoneticPr fontId="2"/>
  </si>
  <si>
    <t>本町1-8-7 綿谷ビル2F</t>
    <rPh sb="0" eb="2">
      <t>ホンチョウ</t>
    </rPh>
    <rPh sb="8" eb="10">
      <t>ワタヤ</t>
    </rPh>
    <phoneticPr fontId="2"/>
  </si>
  <si>
    <t>351-0011</t>
    <phoneticPr fontId="2"/>
  </si>
  <si>
    <t>048-458-0690</t>
    <phoneticPr fontId="2"/>
  </si>
  <si>
    <t>048-458-0691</t>
    <phoneticPr fontId="2"/>
  </si>
  <si>
    <t>東武東上線朝霞駅下車徒歩9分</t>
    <rPh sb="0" eb="2">
      <t>トウブ</t>
    </rPh>
    <rPh sb="2" eb="4">
      <t>トウジョウ</t>
    </rPh>
    <rPh sb="4" eb="5">
      <t>セン</t>
    </rPh>
    <rPh sb="5" eb="7">
      <t>アサカ</t>
    </rPh>
    <rPh sb="7" eb="8">
      <t>エキ</t>
    </rPh>
    <rPh sb="8" eb="10">
      <t>ゲシャ</t>
    </rPh>
    <rPh sb="10" eb="12">
      <t>トホ</t>
    </rPh>
    <rPh sb="13" eb="14">
      <t>フン</t>
    </rPh>
    <phoneticPr fontId="2"/>
  </si>
  <si>
    <t>338-0012</t>
    <phoneticPr fontId="2"/>
  </si>
  <si>
    <t>中央区大戸2-7-21</t>
    <rPh sb="0" eb="3">
      <t>チュウオウク</t>
    </rPh>
    <rPh sb="3" eb="5">
      <t>オオト</t>
    </rPh>
    <phoneticPr fontId="2"/>
  </si>
  <si>
    <t>潮寮</t>
    <rPh sb="0" eb="1">
      <t>ウシオ</t>
    </rPh>
    <rPh sb="1" eb="2">
      <t>リョウ</t>
    </rPh>
    <phoneticPr fontId="2"/>
  </si>
  <si>
    <t>350-0813</t>
  </si>
  <si>
    <t>○</t>
    <phoneticPr fontId="2"/>
  </si>
  <si>
    <t>川越駅東口６番バス乗り場より乗車、「東洋クォリティワン」下車。
バス停から徒歩１０分</t>
    <rPh sb="0" eb="2">
      <t>カワゴエ</t>
    </rPh>
    <rPh sb="2" eb="3">
      <t>エキ</t>
    </rPh>
    <rPh sb="3" eb="5">
      <t>ヒガシグチ</t>
    </rPh>
    <rPh sb="6" eb="7">
      <t>バン</t>
    </rPh>
    <rPh sb="9" eb="10">
      <t>ノ</t>
    </rPh>
    <rPh sb="11" eb="12">
      <t>バ</t>
    </rPh>
    <rPh sb="14" eb="16">
      <t>ジョウシャ</t>
    </rPh>
    <rPh sb="18" eb="20">
      <t>トウヨウ</t>
    </rPh>
    <rPh sb="28" eb="30">
      <t>ゲシャ</t>
    </rPh>
    <rPh sb="34" eb="35">
      <t>テイ</t>
    </rPh>
    <rPh sb="37" eb="39">
      <t>トホ</t>
    </rPh>
    <rPh sb="41" eb="42">
      <t>フン</t>
    </rPh>
    <phoneticPr fontId="2"/>
  </si>
  <si>
    <t>(一社）縁</t>
    <rPh sb="1" eb="2">
      <t>イチ</t>
    </rPh>
    <rPh sb="2" eb="3">
      <t>シャ</t>
    </rPh>
    <rPh sb="4" eb="5">
      <t>エン</t>
    </rPh>
    <phoneticPr fontId="2"/>
  </si>
  <si>
    <t>ライフ・ワーク</t>
    <phoneticPr fontId="2"/>
  </si>
  <si>
    <t>上福岡1-10-6</t>
    <rPh sb="0" eb="3">
      <t>カミフクオカ</t>
    </rPh>
    <phoneticPr fontId="2"/>
  </si>
  <si>
    <t>356-0004</t>
    <phoneticPr fontId="2"/>
  </si>
  <si>
    <t>049-265-7641</t>
    <phoneticPr fontId="2"/>
  </si>
  <si>
    <t>049-265-7642</t>
    <phoneticPr fontId="2"/>
  </si>
  <si>
    <t>○</t>
    <phoneticPr fontId="2"/>
  </si>
  <si>
    <t>東部東上線上福岡駅下車徒歩２分</t>
    <rPh sb="0" eb="2">
      <t>トウブ</t>
    </rPh>
    <rPh sb="2" eb="5">
      <t>トウジョウセン</t>
    </rPh>
    <rPh sb="5" eb="9">
      <t>カミフクオカエキ</t>
    </rPh>
    <rPh sb="9" eb="11">
      <t>ゲシャ</t>
    </rPh>
    <rPh sb="11" eb="13">
      <t>トホ</t>
    </rPh>
    <rPh sb="14" eb="15">
      <t>フン</t>
    </rPh>
    <phoneticPr fontId="2"/>
  </si>
  <si>
    <t>あんだんて</t>
    <phoneticPr fontId="2"/>
  </si>
  <si>
    <t>西本宿1762-1</t>
    <rPh sb="0" eb="1">
      <t>ニシ</t>
    </rPh>
    <rPh sb="1" eb="3">
      <t>ホンジュク</t>
    </rPh>
    <phoneticPr fontId="2"/>
  </si>
  <si>
    <t>355-0062</t>
    <phoneticPr fontId="2"/>
  </si>
  <si>
    <t>0493-59-8978</t>
    <phoneticPr fontId="2"/>
  </si>
  <si>
    <t>0493-59-8979</t>
    <phoneticPr fontId="2"/>
  </si>
  <si>
    <t>○</t>
    <phoneticPr fontId="2"/>
  </si>
  <si>
    <t>らぽーるびれっじ</t>
    <phoneticPr fontId="2"/>
  </si>
  <si>
    <t>瓦葺2716尾山台団地4-5-108・109</t>
    <rPh sb="0" eb="2">
      <t>カワラブキ</t>
    </rPh>
    <rPh sb="6" eb="9">
      <t>オヤマダイ</t>
    </rPh>
    <rPh sb="9" eb="11">
      <t>ダンチ</t>
    </rPh>
    <phoneticPr fontId="2"/>
  </si>
  <si>
    <t>東大宮駅西口から東武バス原市団地循環「尾山台団地センター」下車徒歩1分</t>
    <phoneticPr fontId="2"/>
  </si>
  <si>
    <t>(特非)生活サポートさいゆう</t>
    <rPh sb="1" eb="2">
      <t>トク</t>
    </rPh>
    <rPh sb="2" eb="3">
      <t>ヒ</t>
    </rPh>
    <rPh sb="4" eb="6">
      <t>セイカツ</t>
    </rPh>
    <phoneticPr fontId="2"/>
  </si>
  <si>
    <t>生活介護さいゆう</t>
    <rPh sb="0" eb="2">
      <t>セイカツ</t>
    </rPh>
    <rPh sb="2" eb="4">
      <t>カイゴ</t>
    </rPh>
    <phoneticPr fontId="2"/>
  </si>
  <si>
    <t>西ノ入476-1</t>
    <rPh sb="0" eb="1">
      <t>ニシ</t>
    </rPh>
    <rPh sb="2" eb="3">
      <t>イリ</t>
    </rPh>
    <phoneticPr fontId="2"/>
  </si>
  <si>
    <t>369-1225</t>
    <phoneticPr fontId="2"/>
  </si>
  <si>
    <t>048-586-0900</t>
    <phoneticPr fontId="2"/>
  </si>
  <si>
    <t>048-581-0910</t>
    <phoneticPr fontId="2"/>
  </si>
  <si>
    <t>（特非）あかつき</t>
    <rPh sb="1" eb="2">
      <t>トク</t>
    </rPh>
    <rPh sb="2" eb="3">
      <t>ヒ</t>
    </rPh>
    <phoneticPr fontId="2"/>
  </si>
  <si>
    <t>生活介護事業所まれ</t>
    <rPh sb="0" eb="2">
      <t>セイカツ</t>
    </rPh>
    <rPh sb="2" eb="4">
      <t>カイゴ</t>
    </rPh>
    <rPh sb="4" eb="7">
      <t>ジギョウショ</t>
    </rPh>
    <phoneticPr fontId="2"/>
  </si>
  <si>
    <t>下清久477</t>
    <rPh sb="0" eb="1">
      <t>シタ</t>
    </rPh>
    <rPh sb="1" eb="2">
      <t>キヨ</t>
    </rPh>
    <rPh sb="2" eb="3">
      <t>ヒサ</t>
    </rPh>
    <phoneticPr fontId="2"/>
  </si>
  <si>
    <t>346-0033</t>
    <phoneticPr fontId="2"/>
  </si>
  <si>
    <t>0480-53-6080</t>
    <phoneticPr fontId="2"/>
  </si>
  <si>
    <t>0480-53-6090</t>
    <phoneticPr fontId="2"/>
  </si>
  <si>
    <t>○</t>
    <phoneticPr fontId="2"/>
  </si>
  <si>
    <t>久喜駅西口から大和観光バス管理センター行き「宮浦バス停」下車徒歩1分</t>
    <rPh sb="0" eb="2">
      <t>クキ</t>
    </rPh>
    <rPh sb="2" eb="3">
      <t>エキ</t>
    </rPh>
    <rPh sb="3" eb="5">
      <t>ニシグチ</t>
    </rPh>
    <rPh sb="7" eb="9">
      <t>ヤマト</t>
    </rPh>
    <rPh sb="9" eb="11">
      <t>カンコウ</t>
    </rPh>
    <rPh sb="13" eb="15">
      <t>カンリ</t>
    </rPh>
    <rPh sb="19" eb="20">
      <t>イ</t>
    </rPh>
    <rPh sb="22" eb="24">
      <t>ミヤウラ</t>
    </rPh>
    <rPh sb="26" eb="27">
      <t>テイ</t>
    </rPh>
    <rPh sb="28" eb="30">
      <t>ゲシャ</t>
    </rPh>
    <rPh sb="30" eb="32">
      <t>トホ</t>
    </rPh>
    <rPh sb="33" eb="34">
      <t>フン</t>
    </rPh>
    <phoneticPr fontId="2"/>
  </si>
  <si>
    <t>049-237-1200</t>
    <phoneticPr fontId="2"/>
  </si>
  <si>
    <t>(医)寿鶴会</t>
    <rPh sb="1" eb="2">
      <t>イ</t>
    </rPh>
    <rPh sb="3" eb="4">
      <t>コトブキ</t>
    </rPh>
    <rPh sb="4" eb="5">
      <t>ツル</t>
    </rPh>
    <rPh sb="5" eb="6">
      <t>カイ</t>
    </rPh>
    <phoneticPr fontId="2"/>
  </si>
  <si>
    <t>049-234-3477</t>
    <phoneticPr fontId="2"/>
  </si>
  <si>
    <t>359-0041</t>
    <phoneticPr fontId="2"/>
  </si>
  <si>
    <t>042-942-3600</t>
    <phoneticPr fontId="2"/>
  </si>
  <si>
    <t>042-943-3183</t>
    <phoneticPr fontId="2"/>
  </si>
  <si>
    <t>東弁1-7-30 
KOYO BUILDING 4F</t>
    <rPh sb="0" eb="1">
      <t>ヒガシ</t>
    </rPh>
    <phoneticPr fontId="2"/>
  </si>
  <si>
    <t>351-0022</t>
    <phoneticPr fontId="2"/>
  </si>
  <si>
    <t>048-424-8439</t>
    <phoneticPr fontId="2"/>
  </si>
  <si>
    <t>048-424-8440</t>
    <phoneticPr fontId="2"/>
  </si>
  <si>
    <t>東武鉄道朝霞台駅から徒歩5分</t>
    <rPh sb="0" eb="2">
      <t>トウブ</t>
    </rPh>
    <rPh sb="2" eb="4">
      <t>テツドウ</t>
    </rPh>
    <rPh sb="4" eb="8">
      <t>アサカダイエキ</t>
    </rPh>
    <rPh sb="10" eb="12">
      <t>トホ</t>
    </rPh>
    <rPh sb="13" eb="14">
      <t>フン</t>
    </rPh>
    <phoneticPr fontId="2"/>
  </si>
  <si>
    <t>aloha所沢ウェスト</t>
    <rPh sb="5" eb="7">
      <t>トコロザワ</t>
    </rPh>
    <phoneticPr fontId="2"/>
  </si>
  <si>
    <t>小手指1-42-17
GCコート203</t>
    <rPh sb="0" eb="3">
      <t>コテサシ</t>
    </rPh>
    <phoneticPr fontId="2"/>
  </si>
  <si>
    <t>359-1141</t>
    <phoneticPr fontId="2"/>
  </si>
  <si>
    <t>04--2968-9486</t>
    <phoneticPr fontId="2"/>
  </si>
  <si>
    <t>04-2968-9487</t>
    <phoneticPr fontId="2"/>
  </si>
  <si>
    <t>西武池袋線小手指駅徒歩8分</t>
    <rPh sb="0" eb="5">
      <t>セイブイケブクロセン</t>
    </rPh>
    <rPh sb="5" eb="9">
      <t>コテサシエキ</t>
    </rPh>
    <rPh sb="9" eb="11">
      <t>トホ</t>
    </rPh>
    <rPh sb="12" eb="13">
      <t>フン</t>
    </rPh>
    <phoneticPr fontId="2"/>
  </si>
  <si>
    <t>(特非)ゆうき福祉会</t>
    <rPh sb="1" eb="2">
      <t>トク</t>
    </rPh>
    <rPh sb="2" eb="3">
      <t>ヒ</t>
    </rPh>
    <rPh sb="7" eb="9">
      <t>フクシ</t>
    </rPh>
    <rPh sb="9" eb="10">
      <t>カイ</t>
    </rPh>
    <phoneticPr fontId="2"/>
  </si>
  <si>
    <t>すだち三芳作業所</t>
    <rPh sb="3" eb="5">
      <t>ミヨシ</t>
    </rPh>
    <rPh sb="5" eb="7">
      <t>サギョウ</t>
    </rPh>
    <rPh sb="7" eb="8">
      <t>ショ</t>
    </rPh>
    <phoneticPr fontId="2"/>
  </si>
  <si>
    <t>北永井宮本897-4</t>
    <rPh sb="0" eb="1">
      <t>キタ</t>
    </rPh>
    <rPh sb="1" eb="3">
      <t>ナガイ</t>
    </rPh>
    <rPh sb="3" eb="5">
      <t>ミヤモト</t>
    </rPh>
    <phoneticPr fontId="2"/>
  </si>
  <si>
    <t>354-0044</t>
    <phoneticPr fontId="2"/>
  </si>
  <si>
    <t>049-265-6972</t>
    <phoneticPr fontId="2"/>
  </si>
  <si>
    <t>049-265-6973</t>
    <phoneticPr fontId="2"/>
  </si>
  <si>
    <t>東武東上線鶴瀬駅からライフバス北永井循環「宮本」下車徒歩１分</t>
    <rPh sb="0" eb="5">
      <t>トウブトウジョウセン</t>
    </rPh>
    <rPh sb="5" eb="8">
      <t>ツルセエキ</t>
    </rPh>
    <rPh sb="15" eb="16">
      <t>キタ</t>
    </rPh>
    <rPh sb="16" eb="18">
      <t>ナガイ</t>
    </rPh>
    <rPh sb="18" eb="20">
      <t>ジュンカン</t>
    </rPh>
    <rPh sb="21" eb="23">
      <t>ミヤモト</t>
    </rPh>
    <rPh sb="24" eb="26">
      <t>ゲシャ</t>
    </rPh>
    <rPh sb="26" eb="28">
      <t>トホ</t>
    </rPh>
    <rPh sb="29" eb="30">
      <t>フン</t>
    </rPh>
    <phoneticPr fontId="2"/>
  </si>
  <si>
    <t>大谷本郷719-1</t>
    <rPh sb="0" eb="2">
      <t>オオヤ</t>
    </rPh>
    <rPh sb="2" eb="4">
      <t>ホンゴウ</t>
    </rPh>
    <phoneticPr fontId="2"/>
  </si>
  <si>
    <t>362-0044</t>
    <phoneticPr fontId="2"/>
  </si>
  <si>
    <t>高崎線上尾駅から東武バス「大谷小学校」下車徒歩1分</t>
    <rPh sb="0" eb="3">
      <t>タカサキセン</t>
    </rPh>
    <rPh sb="3" eb="6">
      <t>アゲオエキ</t>
    </rPh>
    <rPh sb="8" eb="10">
      <t>トウブ</t>
    </rPh>
    <rPh sb="13" eb="15">
      <t>オオヤ</t>
    </rPh>
    <rPh sb="15" eb="18">
      <t>ショウガッコウ</t>
    </rPh>
    <rPh sb="19" eb="21">
      <t>ゲシャ</t>
    </rPh>
    <rPh sb="21" eb="23">
      <t>トホ</t>
    </rPh>
    <rPh sb="24" eb="25">
      <t>フン</t>
    </rPh>
    <phoneticPr fontId="2"/>
  </si>
  <si>
    <t>330-0062</t>
  </si>
  <si>
    <t>350-0214</t>
    <phoneticPr fontId="2"/>
  </si>
  <si>
    <t>049-283-4294</t>
    <phoneticPr fontId="2"/>
  </si>
  <si>
    <t>○</t>
    <phoneticPr fontId="2"/>
  </si>
  <si>
    <t>（株）汐月</t>
    <rPh sb="1" eb="2">
      <t>カブ</t>
    </rPh>
    <rPh sb="3" eb="4">
      <t>シオ</t>
    </rPh>
    <rPh sb="4" eb="5">
      <t>ツキ</t>
    </rPh>
    <phoneticPr fontId="2"/>
  </si>
  <si>
    <t>生活介護事業所しづき</t>
    <rPh sb="0" eb="2">
      <t>セイカツ</t>
    </rPh>
    <rPh sb="2" eb="4">
      <t>カイゴ</t>
    </rPh>
    <rPh sb="4" eb="7">
      <t>ジギョウショ</t>
    </rPh>
    <phoneticPr fontId="2"/>
  </si>
  <si>
    <t>戸ヶ崎3-557-2</t>
    <rPh sb="0" eb="1">
      <t>ト</t>
    </rPh>
    <rPh sb="2" eb="3">
      <t>サキ</t>
    </rPh>
    <phoneticPr fontId="2"/>
  </si>
  <si>
    <t>341-0044</t>
    <phoneticPr fontId="2"/>
  </si>
  <si>
    <t>048-956-1777</t>
    <phoneticPr fontId="2"/>
  </si>
  <si>
    <t>048-956-1756</t>
    <phoneticPr fontId="2"/>
  </si>
  <si>
    <t>○</t>
    <phoneticPr fontId="2"/>
  </si>
  <si>
    <t>つくばエクスプレス三郷中央駅から京成バス「戸ヶ崎三丁目商店街」下車徒歩2分</t>
    <rPh sb="9" eb="13">
      <t>ミサトチュウオウ</t>
    </rPh>
    <rPh sb="13" eb="14">
      <t>エキ</t>
    </rPh>
    <rPh sb="16" eb="18">
      <t>ケイセイ</t>
    </rPh>
    <rPh sb="21" eb="24">
      <t>トガサキ</t>
    </rPh>
    <rPh sb="24" eb="27">
      <t>サンチョウメ</t>
    </rPh>
    <rPh sb="27" eb="30">
      <t>ショウテンガイ</t>
    </rPh>
    <rPh sb="31" eb="33">
      <t>ゲシャ</t>
    </rPh>
    <rPh sb="33" eb="35">
      <t>トホ</t>
    </rPh>
    <rPh sb="36" eb="37">
      <t>フン</t>
    </rPh>
    <phoneticPr fontId="2"/>
  </si>
  <si>
    <t>(株) ＩＲＩＳ</t>
    <rPh sb="1" eb="2">
      <t>カブ</t>
    </rPh>
    <phoneticPr fontId="2"/>
  </si>
  <si>
    <t>つばきガーデン</t>
    <phoneticPr fontId="2"/>
  </si>
  <si>
    <t>中町1-20-46</t>
    <rPh sb="0" eb="2">
      <t>ナカチョウ</t>
    </rPh>
    <phoneticPr fontId="2"/>
  </si>
  <si>
    <t>335-002</t>
    <phoneticPr fontId="2"/>
  </si>
  <si>
    <t>048-434-9221</t>
    <phoneticPr fontId="2"/>
  </si>
  <si>
    <t>048-434-9222</t>
    <phoneticPr fontId="2"/>
  </si>
  <si>
    <t>JR埼京線戸田公園駅東口から徒歩22分</t>
    <rPh sb="2" eb="5">
      <t>サイキョウセン</t>
    </rPh>
    <rPh sb="5" eb="10">
      <t>トダコウエンエキ</t>
    </rPh>
    <rPh sb="10" eb="12">
      <t>ヒガシグチ</t>
    </rPh>
    <rPh sb="14" eb="16">
      <t>トホ</t>
    </rPh>
    <rPh sb="18" eb="19">
      <t>フン</t>
    </rPh>
    <phoneticPr fontId="2"/>
  </si>
  <si>
    <t>048-783-4728</t>
    <phoneticPr fontId="2"/>
  </si>
  <si>
    <t>048-783-4729</t>
    <phoneticPr fontId="2"/>
  </si>
  <si>
    <t>(特非)歩夢福祉の会</t>
    <rPh sb="1" eb="2">
      <t>トク</t>
    </rPh>
    <rPh sb="2" eb="3">
      <t>ヒ</t>
    </rPh>
    <rPh sb="4" eb="5">
      <t>アル</t>
    </rPh>
    <rPh sb="5" eb="6">
      <t>ユメ</t>
    </rPh>
    <rPh sb="6" eb="8">
      <t>フクシ</t>
    </rPh>
    <rPh sb="9" eb="10">
      <t>カイ</t>
    </rPh>
    <phoneticPr fontId="2"/>
  </si>
  <si>
    <t>西八木崎1-10-12</t>
    <rPh sb="0" eb="1">
      <t>ニシ</t>
    </rPh>
    <rPh sb="1" eb="4">
      <t>ヤギサキ</t>
    </rPh>
    <phoneticPr fontId="2"/>
  </si>
  <si>
    <t>048-760-1710</t>
    <phoneticPr fontId="2"/>
  </si>
  <si>
    <t>東武野田線八木崎駅徒歩5分</t>
    <rPh sb="0" eb="2">
      <t>トウブ</t>
    </rPh>
    <rPh sb="2" eb="4">
      <t>ノダ</t>
    </rPh>
    <rPh sb="4" eb="5">
      <t>セン</t>
    </rPh>
    <rPh sb="5" eb="8">
      <t>ヤギサキ</t>
    </rPh>
    <rPh sb="8" eb="9">
      <t>エキ</t>
    </rPh>
    <rPh sb="9" eb="11">
      <t>トホ</t>
    </rPh>
    <rPh sb="12" eb="13">
      <t>フン</t>
    </rPh>
    <phoneticPr fontId="2"/>
  </si>
  <si>
    <t>048-748-5243</t>
    <phoneticPr fontId="2"/>
  </si>
  <si>
    <t>048-748-5244</t>
    <phoneticPr fontId="2"/>
  </si>
  <si>
    <t>○</t>
    <phoneticPr fontId="2"/>
  </si>
  <si>
    <t>北野2-22-8</t>
    <rPh sb="0" eb="2">
      <t>キタノ</t>
    </rPh>
    <phoneticPr fontId="2"/>
  </si>
  <si>
    <t>そらのいろ</t>
    <phoneticPr fontId="2"/>
  </si>
  <si>
    <t>359-0037</t>
    <phoneticPr fontId="2"/>
  </si>
  <si>
    <t>04-2996-2714</t>
    <phoneticPr fontId="2"/>
  </si>
  <si>
    <t>○</t>
    <phoneticPr fontId="2"/>
  </si>
  <si>
    <t>にじのいろ</t>
    <phoneticPr fontId="2"/>
  </si>
  <si>
    <t>山口5294
リバージュビル1FA号室</t>
    <rPh sb="0" eb="2">
      <t>ヤマグチ</t>
    </rPh>
    <rPh sb="17" eb="19">
      <t>ゴウシツ</t>
    </rPh>
    <phoneticPr fontId="2"/>
  </si>
  <si>
    <t>04-2935-4563</t>
    <phoneticPr fontId="2"/>
  </si>
  <si>
    <t>西武狭山線下山口駅下徒歩15分</t>
    <rPh sb="0" eb="2">
      <t>セイブ</t>
    </rPh>
    <rPh sb="2" eb="4">
      <t>サヤマ</t>
    </rPh>
    <rPh sb="4" eb="5">
      <t>セン</t>
    </rPh>
    <rPh sb="5" eb="6">
      <t>シタ</t>
    </rPh>
    <rPh sb="6" eb="8">
      <t>ヤマグチ</t>
    </rPh>
    <rPh sb="8" eb="9">
      <t>エキ</t>
    </rPh>
    <rPh sb="9" eb="10">
      <t>シタ</t>
    </rPh>
    <rPh sb="10" eb="12">
      <t>トホ</t>
    </rPh>
    <rPh sb="14" eb="15">
      <t>プン</t>
    </rPh>
    <phoneticPr fontId="2"/>
  </si>
  <si>
    <t>飛行船</t>
    <rPh sb="0" eb="3">
      <t>ヒコウセン</t>
    </rPh>
    <phoneticPr fontId="2"/>
  </si>
  <si>
    <t>松葉町6-22</t>
    <rPh sb="0" eb="2">
      <t>マツバ</t>
    </rPh>
    <rPh sb="2" eb="3">
      <t>マチ</t>
    </rPh>
    <phoneticPr fontId="2"/>
  </si>
  <si>
    <t>04-2941-3076</t>
    <phoneticPr fontId="2"/>
  </si>
  <si>
    <t>04-2941-3079</t>
    <phoneticPr fontId="2"/>
  </si>
  <si>
    <t>西武新宿線新所沢駅下車徒歩3分</t>
    <rPh sb="0" eb="2">
      <t>セイブ</t>
    </rPh>
    <rPh sb="2" eb="4">
      <t>シンジュク</t>
    </rPh>
    <rPh sb="4" eb="5">
      <t>セン</t>
    </rPh>
    <rPh sb="5" eb="8">
      <t>シントコロザワ</t>
    </rPh>
    <rPh sb="8" eb="9">
      <t>エキ</t>
    </rPh>
    <rPh sb="9" eb="11">
      <t>ゲシャ</t>
    </rPh>
    <rPh sb="11" eb="13">
      <t>トホ</t>
    </rPh>
    <rPh sb="14" eb="15">
      <t>プン</t>
    </rPh>
    <phoneticPr fontId="2"/>
  </si>
  <si>
    <t>ここから</t>
    <phoneticPr fontId="2"/>
  </si>
  <si>
    <t>馬場4-3-28</t>
    <rPh sb="0" eb="2">
      <t>ババ</t>
    </rPh>
    <phoneticPr fontId="2"/>
  </si>
  <si>
    <t>352-0016</t>
    <phoneticPr fontId="2"/>
  </si>
  <si>
    <t>048-458-0291</t>
    <phoneticPr fontId="2"/>
  </si>
  <si>
    <t>048-458-0298</t>
    <phoneticPr fontId="2"/>
  </si>
  <si>
    <t>西部池袋線ひばりヶ丘駅から西部バス「新座高校」下車徒歩5分</t>
    <rPh sb="0" eb="2">
      <t>セイブ</t>
    </rPh>
    <rPh sb="2" eb="4">
      <t>イケブクロ</t>
    </rPh>
    <rPh sb="4" eb="5">
      <t>セン</t>
    </rPh>
    <rPh sb="9" eb="11">
      <t>オカエキ</t>
    </rPh>
    <rPh sb="13" eb="15">
      <t>セイブ</t>
    </rPh>
    <rPh sb="18" eb="20">
      <t>ニイザ</t>
    </rPh>
    <rPh sb="20" eb="22">
      <t>コウコウ</t>
    </rPh>
    <rPh sb="23" eb="25">
      <t>ゲシャ</t>
    </rPh>
    <rPh sb="25" eb="27">
      <t>トホ</t>
    </rPh>
    <rPh sb="28" eb="29">
      <t>フン</t>
    </rPh>
    <phoneticPr fontId="2"/>
  </si>
  <si>
    <t>○</t>
    <phoneticPr fontId="2"/>
  </si>
  <si>
    <t>ところざわ学園</t>
    <phoneticPr fontId="2"/>
  </si>
  <si>
    <t>所沢市</t>
    <phoneticPr fontId="2"/>
  </si>
  <si>
    <t>北原町932-1</t>
    <phoneticPr fontId="2"/>
  </si>
  <si>
    <t>04-2992-5096</t>
    <phoneticPr fontId="2"/>
  </si>
  <si>
    <t>04-2992-5095</t>
    <phoneticPr fontId="2"/>
  </si>
  <si>
    <t>○</t>
    <phoneticPr fontId="2"/>
  </si>
  <si>
    <t>（特非）智慧</t>
    <rPh sb="1" eb="2">
      <t>トク</t>
    </rPh>
    <rPh sb="2" eb="3">
      <t>ヒ</t>
    </rPh>
    <rPh sb="4" eb="6">
      <t>チエ</t>
    </rPh>
    <phoneticPr fontId="2"/>
  </si>
  <si>
    <t>心</t>
    <rPh sb="0" eb="1">
      <t>ココロ</t>
    </rPh>
    <phoneticPr fontId="2"/>
  </si>
  <si>
    <t>松伏18-1</t>
    <rPh sb="0" eb="2">
      <t>マツブシ</t>
    </rPh>
    <phoneticPr fontId="2"/>
  </si>
  <si>
    <t>343-0111</t>
    <phoneticPr fontId="2"/>
  </si>
  <si>
    <t>048-940-1300</t>
    <phoneticPr fontId="2"/>
  </si>
  <si>
    <t>○</t>
    <phoneticPr fontId="2"/>
  </si>
  <si>
    <t>東武スカイツリーラインせんげん台駅東口から茨急バス「溜入下」下車徒歩3分</t>
    <rPh sb="0" eb="2">
      <t>トウブ</t>
    </rPh>
    <rPh sb="15" eb="16">
      <t>ダイ</t>
    </rPh>
    <rPh sb="16" eb="17">
      <t>エキ</t>
    </rPh>
    <rPh sb="17" eb="19">
      <t>ヒガシグチ</t>
    </rPh>
    <rPh sb="21" eb="22">
      <t>イバラ</t>
    </rPh>
    <rPh sb="22" eb="23">
      <t>キュウ</t>
    </rPh>
    <rPh sb="26" eb="27">
      <t>タメ</t>
    </rPh>
    <rPh sb="27" eb="28">
      <t>ニュウ</t>
    </rPh>
    <rPh sb="28" eb="29">
      <t>シタ</t>
    </rPh>
    <rPh sb="30" eb="32">
      <t>ゲシャ</t>
    </rPh>
    <rPh sb="32" eb="34">
      <t>トホ</t>
    </rPh>
    <rPh sb="35" eb="36">
      <t>フン</t>
    </rPh>
    <phoneticPr fontId="2"/>
  </si>
  <si>
    <t>(特非）ひばりの里ネットワーク</t>
    <rPh sb="1" eb="2">
      <t>トク</t>
    </rPh>
    <rPh sb="2" eb="3">
      <t>ヒ</t>
    </rPh>
    <rPh sb="8" eb="9">
      <t>サト</t>
    </rPh>
    <phoneticPr fontId="2"/>
  </si>
  <si>
    <t>ビビッドラボ</t>
    <phoneticPr fontId="2"/>
  </si>
  <si>
    <t>麦倉227-1</t>
    <rPh sb="0" eb="2">
      <t>ムギクラ</t>
    </rPh>
    <phoneticPr fontId="2"/>
  </si>
  <si>
    <t>349-1212</t>
    <phoneticPr fontId="2"/>
  </si>
  <si>
    <t>0280-33-6267</t>
    <phoneticPr fontId="2"/>
  </si>
  <si>
    <t>0280-33-6162</t>
    <phoneticPr fontId="2"/>
  </si>
  <si>
    <t>東武日光線柳生駅徒歩30分</t>
    <rPh sb="0" eb="2">
      <t>トウブ</t>
    </rPh>
    <rPh sb="2" eb="5">
      <t>ニッコウセン</t>
    </rPh>
    <rPh sb="5" eb="8">
      <t>ヤギュウエキ</t>
    </rPh>
    <rPh sb="8" eb="10">
      <t>トホ</t>
    </rPh>
    <rPh sb="12" eb="13">
      <t>フン</t>
    </rPh>
    <phoneticPr fontId="2"/>
  </si>
  <si>
    <t>345-0834</t>
    <phoneticPr fontId="2"/>
  </si>
  <si>
    <t>0480-36-1100</t>
    <phoneticPr fontId="2"/>
  </si>
  <si>
    <t>○</t>
    <phoneticPr fontId="2"/>
  </si>
  <si>
    <t>(特非）walea</t>
    <rPh sb="1" eb="2">
      <t>トク</t>
    </rPh>
    <rPh sb="2" eb="3">
      <t>ヒ</t>
    </rPh>
    <phoneticPr fontId="2"/>
  </si>
  <si>
    <t>pace</t>
    <phoneticPr fontId="2"/>
  </si>
  <si>
    <t>048-922-7571</t>
    <phoneticPr fontId="2"/>
  </si>
  <si>
    <t>048-922-7572</t>
    <phoneticPr fontId="2"/>
  </si>
  <si>
    <t>ＭＩＮＴ</t>
    <phoneticPr fontId="2"/>
  </si>
  <si>
    <t>345-0821</t>
    <phoneticPr fontId="2"/>
  </si>
  <si>
    <t>0480-31-8668</t>
    <phoneticPr fontId="2"/>
  </si>
  <si>
    <t>(福)じりつ</t>
    <rPh sb="1" eb="2">
      <t>フク</t>
    </rPh>
    <phoneticPr fontId="2"/>
  </si>
  <si>
    <t>アバンティ</t>
    <phoneticPr fontId="2"/>
  </si>
  <si>
    <t>345-0821</t>
    <phoneticPr fontId="2"/>
  </si>
  <si>
    <t>0480-53-4571</t>
    <phoneticPr fontId="2"/>
  </si>
  <si>
    <t>0480-53-4572</t>
    <phoneticPr fontId="2"/>
  </si>
  <si>
    <t>○</t>
    <phoneticPr fontId="2"/>
  </si>
  <si>
    <t>双柳字水窪1269-1</t>
    <rPh sb="0" eb="1">
      <t>ソウ</t>
    </rPh>
    <rPh sb="1" eb="2">
      <t>ヤナギ</t>
    </rPh>
    <rPh sb="2" eb="3">
      <t>ジ</t>
    </rPh>
    <rPh sb="3" eb="4">
      <t>ミズ</t>
    </rPh>
    <rPh sb="4" eb="5">
      <t>クボ</t>
    </rPh>
    <phoneticPr fontId="2"/>
  </si>
  <si>
    <t>348-0017</t>
    <phoneticPr fontId="2"/>
  </si>
  <si>
    <t>東武伊勢崎線羽生駅からあい・あいバス「今泉八幡」下車徒歩3分</t>
    <rPh sb="0" eb="2">
      <t>トウブ</t>
    </rPh>
    <rPh sb="2" eb="5">
      <t>イセサキ</t>
    </rPh>
    <rPh sb="5" eb="6">
      <t>セン</t>
    </rPh>
    <rPh sb="6" eb="8">
      <t>ハニュウ</t>
    </rPh>
    <rPh sb="8" eb="9">
      <t>エキ</t>
    </rPh>
    <rPh sb="19" eb="21">
      <t>イマイズミ</t>
    </rPh>
    <rPh sb="21" eb="23">
      <t>ハチマン</t>
    </rPh>
    <rPh sb="24" eb="26">
      <t>ゲシャ</t>
    </rPh>
    <rPh sb="26" eb="28">
      <t>トホ</t>
    </rPh>
    <rPh sb="29" eb="30">
      <t>フン</t>
    </rPh>
    <phoneticPr fontId="2"/>
  </si>
  <si>
    <t>(特非）ドットcom</t>
    <rPh sb="1" eb="2">
      <t>トク</t>
    </rPh>
    <rPh sb="2" eb="3">
      <t>ヒ</t>
    </rPh>
    <phoneticPr fontId="2"/>
  </si>
  <si>
    <t>グループホームつくしんぼ</t>
    <phoneticPr fontId="2"/>
  </si>
  <si>
    <t>多門寺158-2</t>
    <rPh sb="0" eb="1">
      <t>タ</t>
    </rPh>
    <rPh sb="1" eb="2">
      <t>モン</t>
    </rPh>
    <rPh sb="2" eb="3">
      <t>テラ</t>
    </rPh>
    <phoneticPr fontId="2"/>
  </si>
  <si>
    <t>347-0012</t>
    <phoneticPr fontId="2"/>
  </si>
  <si>
    <t>0480-31-9892</t>
    <phoneticPr fontId="2"/>
  </si>
  <si>
    <t>0480-31-9893</t>
    <phoneticPr fontId="2"/>
  </si>
  <si>
    <t>東武伊勢崎線加須駅徒歩25分</t>
    <rPh sb="0" eb="2">
      <t>トウブ</t>
    </rPh>
    <rPh sb="2" eb="5">
      <t>イセサキ</t>
    </rPh>
    <rPh sb="5" eb="6">
      <t>セン</t>
    </rPh>
    <rPh sb="6" eb="8">
      <t>カゾ</t>
    </rPh>
    <rPh sb="8" eb="9">
      <t>エキ</t>
    </rPh>
    <rPh sb="9" eb="11">
      <t>トホ</t>
    </rPh>
    <rPh sb="13" eb="14">
      <t>フン</t>
    </rPh>
    <phoneticPr fontId="2"/>
  </si>
  <si>
    <t>(株)メガテラフーズ</t>
    <rPh sb="1" eb="2">
      <t>カブ</t>
    </rPh>
    <phoneticPr fontId="2"/>
  </si>
  <si>
    <t>六反町3-32</t>
    <rPh sb="0" eb="1">
      <t>ロク</t>
    </rPh>
    <rPh sb="1" eb="2">
      <t>ハン</t>
    </rPh>
    <rPh sb="2" eb="3">
      <t>マチ</t>
    </rPh>
    <phoneticPr fontId="2"/>
  </si>
  <si>
    <t>355-0023</t>
    <phoneticPr fontId="2"/>
  </si>
  <si>
    <t>0493-81-5318</t>
    <phoneticPr fontId="2"/>
  </si>
  <si>
    <t>0493-81-5328</t>
    <phoneticPr fontId="2"/>
  </si>
  <si>
    <t>東武東上線東松山駅東口から徒歩15分</t>
    <rPh sb="0" eb="2">
      <t>トウブ</t>
    </rPh>
    <rPh sb="2" eb="4">
      <t>トウジョウ</t>
    </rPh>
    <rPh sb="4" eb="5">
      <t>セン</t>
    </rPh>
    <rPh sb="5" eb="6">
      <t>ヒガシ</t>
    </rPh>
    <rPh sb="6" eb="8">
      <t>マツヤマ</t>
    </rPh>
    <rPh sb="8" eb="9">
      <t>エキ</t>
    </rPh>
    <rPh sb="9" eb="11">
      <t>ヒガシグチ</t>
    </rPh>
    <rPh sb="13" eb="15">
      <t>トホ</t>
    </rPh>
    <rPh sb="17" eb="18">
      <t>フン</t>
    </rPh>
    <phoneticPr fontId="2"/>
  </si>
  <si>
    <t>○</t>
    <phoneticPr fontId="2"/>
  </si>
  <si>
    <t>365-0062</t>
    <phoneticPr fontId="2"/>
  </si>
  <si>
    <t>048-596-3425</t>
    <phoneticPr fontId="2"/>
  </si>
  <si>
    <t>就労定着支援事業つむぎ</t>
    <rPh sb="0" eb="2">
      <t>シュウロウ</t>
    </rPh>
    <rPh sb="2" eb="4">
      <t>テイチャク</t>
    </rPh>
    <rPh sb="4" eb="6">
      <t>シエン</t>
    </rPh>
    <rPh sb="6" eb="8">
      <t>ジギョウ</t>
    </rPh>
    <phoneticPr fontId="2"/>
  </si>
  <si>
    <t>048-571-3711</t>
    <phoneticPr fontId="2"/>
  </si>
  <si>
    <t>048-598-7705</t>
    <phoneticPr fontId="2"/>
  </si>
  <si>
    <t>ぷちとまと</t>
    <phoneticPr fontId="2"/>
  </si>
  <si>
    <t>陽</t>
    <rPh sb="0" eb="1">
      <t>ハル</t>
    </rPh>
    <phoneticPr fontId="2"/>
  </si>
  <si>
    <t>本町7-7-12</t>
    <rPh sb="0" eb="2">
      <t>ホンチョウ</t>
    </rPh>
    <phoneticPr fontId="2"/>
  </si>
  <si>
    <t>365-0038</t>
    <phoneticPr fontId="2"/>
  </si>
  <si>
    <t>048-594-8144</t>
    <phoneticPr fontId="2"/>
  </si>
  <si>
    <t>048-594-8145</t>
    <phoneticPr fontId="2"/>
  </si>
  <si>
    <t>○</t>
    <phoneticPr fontId="2"/>
  </si>
  <si>
    <t>高崎線鴻巣駅東口徒歩18分</t>
    <rPh sb="0" eb="3">
      <t>タカサキセン</t>
    </rPh>
    <rPh sb="3" eb="5">
      <t>コウノス</t>
    </rPh>
    <rPh sb="5" eb="6">
      <t>エキ</t>
    </rPh>
    <rPh sb="6" eb="8">
      <t>ヒガシグチ</t>
    </rPh>
    <rPh sb="8" eb="10">
      <t>トホ</t>
    </rPh>
    <rPh sb="12" eb="13">
      <t>フン</t>
    </rPh>
    <phoneticPr fontId="2"/>
  </si>
  <si>
    <t>(福)上尾あゆみ会</t>
    <rPh sb="0" eb="3">
      <t>フク</t>
    </rPh>
    <rPh sb="3" eb="5">
      <t>アゲオ</t>
    </rPh>
    <rPh sb="8" eb="9">
      <t>カイ</t>
    </rPh>
    <phoneticPr fontId="2"/>
  </si>
  <si>
    <t>一の郷</t>
    <rPh sb="0" eb="1">
      <t>イチ</t>
    </rPh>
    <rPh sb="2" eb="3">
      <t>サト</t>
    </rPh>
    <phoneticPr fontId="2"/>
  </si>
  <si>
    <t>大字南47-1</t>
    <rPh sb="0" eb="2">
      <t>オオアザ</t>
    </rPh>
    <rPh sb="2" eb="3">
      <t>ミナミ</t>
    </rPh>
    <phoneticPr fontId="2"/>
  </si>
  <si>
    <t>362-0002</t>
    <phoneticPr fontId="2"/>
  </si>
  <si>
    <t>048-773-3370</t>
    <phoneticPr fontId="2"/>
  </si>
  <si>
    <t>高崎線上尾駅から徒歩17分
※共同生活援助との併設</t>
    <rPh sb="0" eb="3">
      <t>タカサキセン</t>
    </rPh>
    <rPh sb="3" eb="6">
      <t>アゲオエキ</t>
    </rPh>
    <rPh sb="8" eb="10">
      <t>トホ</t>
    </rPh>
    <rPh sb="12" eb="13">
      <t>フン</t>
    </rPh>
    <rPh sb="15" eb="17">
      <t>キョウドウ</t>
    </rPh>
    <rPh sb="17" eb="19">
      <t>セイカツ</t>
    </rPh>
    <rPh sb="19" eb="21">
      <t>エンジョ</t>
    </rPh>
    <rPh sb="23" eb="25">
      <t>ヘイセツ</t>
    </rPh>
    <phoneticPr fontId="2"/>
  </si>
  <si>
    <t>春陽の里</t>
    <rPh sb="0" eb="2">
      <t>シュンヨウ</t>
    </rPh>
    <rPh sb="3" eb="4">
      <t>サト</t>
    </rPh>
    <phoneticPr fontId="2"/>
  </si>
  <si>
    <t>境168-1</t>
    <rPh sb="0" eb="1">
      <t>サカイ</t>
    </rPh>
    <phoneticPr fontId="2"/>
  </si>
  <si>
    <t>366-0813</t>
    <phoneticPr fontId="2"/>
  </si>
  <si>
    <t>048-594-8111</t>
    <phoneticPr fontId="2"/>
  </si>
  <si>
    <t>048-594-8851</t>
    <phoneticPr fontId="2"/>
  </si>
  <si>
    <t>高崎線深谷駅から車で12分</t>
    <rPh sb="0" eb="3">
      <t>タカサキセン</t>
    </rPh>
    <rPh sb="3" eb="5">
      <t>フカヤ</t>
    </rPh>
    <rPh sb="5" eb="6">
      <t>エキ</t>
    </rPh>
    <rPh sb="8" eb="9">
      <t>クルマ</t>
    </rPh>
    <rPh sb="12" eb="13">
      <t>フン</t>
    </rPh>
    <phoneticPr fontId="2"/>
  </si>
  <si>
    <t>(福)みぬま福祉会</t>
    <rPh sb="6" eb="8">
      <t>ふくし</t>
    </rPh>
    <rPh sb="8" eb="9">
      <t>かい</t>
    </rPh>
    <phoneticPr fontId="2" type="Hiragana"/>
  </si>
  <si>
    <t>はれ</t>
    <phoneticPr fontId="2"/>
  </si>
  <si>
    <t>川口市</t>
    <rPh sb="0" eb="2">
      <t>カワグチ</t>
    </rPh>
    <rPh sb="2" eb="3">
      <t>シ</t>
    </rPh>
    <phoneticPr fontId="2"/>
  </si>
  <si>
    <t>木曽呂1078-1</t>
    <rPh sb="0" eb="3">
      <t>キゾロ</t>
    </rPh>
    <phoneticPr fontId="2"/>
  </si>
  <si>
    <t>048-287-9804</t>
    <phoneticPr fontId="2" type="Hiragana"/>
  </si>
  <si>
    <t>048-287-9805</t>
    <phoneticPr fontId="2" type="Hiragana"/>
  </si>
  <si>
    <t>みんと</t>
    <phoneticPr fontId="2" type="Hiragana"/>
  </si>
  <si>
    <t>埼玉高速鉄道線新井宿駅から徒歩２０分</t>
    <rPh sb="0" eb="2">
      <t>さいたま</t>
    </rPh>
    <rPh sb="2" eb="4">
      <t>こうそく</t>
    </rPh>
    <rPh sb="4" eb="6">
      <t>てつどう</t>
    </rPh>
    <rPh sb="6" eb="7">
      <t>せん</t>
    </rPh>
    <rPh sb="7" eb="10">
      <t>あらいじゅく</t>
    </rPh>
    <rPh sb="10" eb="11">
      <t>えき</t>
    </rPh>
    <rPh sb="13" eb="15">
      <t>とほ</t>
    </rPh>
    <rPh sb="17" eb="18">
      <t>ふん</t>
    </rPh>
    <phoneticPr fontId="2" type="Hiragana"/>
  </si>
  <si>
    <t>生活介護　ゆうむ</t>
    <rPh sb="0" eb="2">
      <t>セイカツ</t>
    </rPh>
    <rPh sb="2" eb="4">
      <t>カイ</t>
    </rPh>
    <phoneticPr fontId="4"/>
  </si>
  <si>
    <t>弥十郎187-7</t>
    <rPh sb="0" eb="3">
      <t>ヤジュウロウ</t>
    </rPh>
    <phoneticPr fontId="2"/>
  </si>
  <si>
    <t>343-0047</t>
    <phoneticPr fontId="2"/>
  </si>
  <si>
    <t>東武スカイツリーライン大袋駅東口より　徒歩約２０分</t>
    <rPh sb="0" eb="2">
      <t>トウブ</t>
    </rPh>
    <rPh sb="11" eb="13">
      <t>オオブクロ</t>
    </rPh>
    <rPh sb="13" eb="14">
      <t>エキ</t>
    </rPh>
    <rPh sb="14" eb="16">
      <t>ヒガシグチ</t>
    </rPh>
    <rPh sb="19" eb="21">
      <t>トホ</t>
    </rPh>
    <rPh sb="21" eb="22">
      <t>ヤク</t>
    </rPh>
    <rPh sb="24" eb="25">
      <t>フン</t>
    </rPh>
    <phoneticPr fontId="2"/>
  </si>
  <si>
    <t>東越谷9-144-2　ハイツクリフサイド103号</t>
    <rPh sb="0" eb="3">
      <t>ヒガシコシガヤ</t>
    </rPh>
    <rPh sb="23" eb="24">
      <t>ゴウ</t>
    </rPh>
    <phoneticPr fontId="2"/>
  </si>
  <si>
    <t>343-0023</t>
    <phoneticPr fontId="2"/>
  </si>
  <si>
    <t>048-964-1935</t>
    <phoneticPr fontId="2"/>
  </si>
  <si>
    <t>048-999-6204</t>
    <phoneticPr fontId="2"/>
  </si>
  <si>
    <t>東武スカイツリーライン　越谷駅東口朝日バス市立病院行き市立病院下車　徒歩５分</t>
    <rPh sb="0" eb="2">
      <t>トウブ</t>
    </rPh>
    <rPh sb="12" eb="14">
      <t>コシガヤ</t>
    </rPh>
    <rPh sb="14" eb="15">
      <t>エキ</t>
    </rPh>
    <rPh sb="15" eb="17">
      <t>ヒガシグチ</t>
    </rPh>
    <rPh sb="17" eb="19">
      <t>アサヒ</t>
    </rPh>
    <rPh sb="21" eb="23">
      <t>シリツ</t>
    </rPh>
    <rPh sb="23" eb="25">
      <t>ビョウイン</t>
    </rPh>
    <rPh sb="25" eb="26">
      <t>ユ</t>
    </rPh>
    <rPh sb="27" eb="29">
      <t>シリツ</t>
    </rPh>
    <rPh sb="29" eb="31">
      <t>ビョウイン</t>
    </rPh>
    <rPh sb="31" eb="33">
      <t>ゲシャ</t>
    </rPh>
    <rPh sb="34" eb="36">
      <t>トホ</t>
    </rPh>
    <rPh sb="37" eb="38">
      <t>フン</t>
    </rPh>
    <phoneticPr fontId="2"/>
  </si>
  <si>
    <t>(特非)ぶなの里越谷</t>
    <rPh sb="1" eb="2">
      <t>トク</t>
    </rPh>
    <rPh sb="2" eb="3">
      <t>ヒ</t>
    </rPh>
    <rPh sb="7" eb="8">
      <t>サト</t>
    </rPh>
    <rPh sb="8" eb="10">
      <t>コシガヤ</t>
    </rPh>
    <phoneticPr fontId="2"/>
  </si>
  <si>
    <t>就労継続支援Ｂ型ソラーレ</t>
    <rPh sb="0" eb="2">
      <t>シュウロウ</t>
    </rPh>
    <rPh sb="2" eb="4">
      <t>ケイゾク</t>
    </rPh>
    <rPh sb="4" eb="6">
      <t>シエン</t>
    </rPh>
    <rPh sb="7" eb="8">
      <t>ガタ</t>
    </rPh>
    <phoneticPr fontId="2"/>
  </si>
  <si>
    <t>仙波町２－１０－３５</t>
    <rPh sb="0" eb="3">
      <t>センバチョウ</t>
    </rPh>
    <phoneticPr fontId="2"/>
  </si>
  <si>
    <t>049-222-8098</t>
    <phoneticPr fontId="2"/>
  </si>
  <si>
    <t>川越駅東口より徒歩１５分</t>
    <rPh sb="0" eb="2">
      <t>カワゴエ</t>
    </rPh>
    <rPh sb="2" eb="3">
      <t>エキ</t>
    </rPh>
    <rPh sb="3" eb="5">
      <t>ヒガシグチ</t>
    </rPh>
    <rPh sb="7" eb="9">
      <t>トホ</t>
    </rPh>
    <rPh sb="11" eb="12">
      <t>フン</t>
    </rPh>
    <phoneticPr fontId="2"/>
  </si>
  <si>
    <t>（特非）サポートあおい</t>
    <rPh sb="1" eb="2">
      <t>トク</t>
    </rPh>
    <rPh sb="2" eb="3">
      <t>ヒ</t>
    </rPh>
    <phoneticPr fontId="2"/>
  </si>
  <si>
    <t>ワークセンターけやき</t>
    <phoneticPr fontId="2"/>
  </si>
  <si>
    <t>平塚新田２１５－７</t>
    <rPh sb="0" eb="2">
      <t>ヒラツカ</t>
    </rPh>
    <rPh sb="2" eb="4">
      <t>シンデン</t>
    </rPh>
    <phoneticPr fontId="2"/>
  </si>
  <si>
    <t>049-239-3390</t>
    <phoneticPr fontId="2"/>
  </si>
  <si>
    <t>川越駅から八幡団地行きのバスで１８分、落合橋南詰バス停から徒歩２０分
（従たる事業所）川越市駅から徒歩１７分</t>
    <rPh sb="0" eb="2">
      <t>カワゴエ</t>
    </rPh>
    <rPh sb="2" eb="3">
      <t>エキ</t>
    </rPh>
    <rPh sb="5" eb="7">
      <t>ハチマン</t>
    </rPh>
    <rPh sb="7" eb="9">
      <t>ダンチ</t>
    </rPh>
    <rPh sb="9" eb="10">
      <t>イ</t>
    </rPh>
    <rPh sb="17" eb="18">
      <t>フン</t>
    </rPh>
    <rPh sb="19" eb="21">
      <t>オチアイ</t>
    </rPh>
    <rPh sb="21" eb="22">
      <t>ハシ</t>
    </rPh>
    <rPh sb="22" eb="23">
      <t>ミナミ</t>
    </rPh>
    <rPh sb="23" eb="24">
      <t>ツメ</t>
    </rPh>
    <rPh sb="26" eb="27">
      <t>テイ</t>
    </rPh>
    <rPh sb="29" eb="31">
      <t>トホ</t>
    </rPh>
    <rPh sb="33" eb="34">
      <t>フン</t>
    </rPh>
    <rPh sb="36" eb="37">
      <t>ジュウ</t>
    </rPh>
    <rPh sb="39" eb="41">
      <t>ジギョウ</t>
    </rPh>
    <rPh sb="41" eb="42">
      <t>ショ</t>
    </rPh>
    <rPh sb="43" eb="46">
      <t>カワゴエシ</t>
    </rPh>
    <rPh sb="46" eb="47">
      <t>エキ</t>
    </rPh>
    <rPh sb="49" eb="51">
      <t>トホ</t>
    </rPh>
    <rPh sb="53" eb="54">
      <t>フン</t>
    </rPh>
    <phoneticPr fontId="2"/>
  </si>
  <si>
    <t>048-840-1780</t>
  </si>
  <si>
    <t>048-840-1781</t>
  </si>
  <si>
    <t>南与野駅東口から徒歩５分</t>
  </si>
  <si>
    <t>ルポーズ</t>
  </si>
  <si>
    <t>048-657-0202</t>
  </si>
  <si>
    <t>(同）ラボリ</t>
    <rPh sb="1" eb="2">
      <t>ドウ</t>
    </rPh>
    <phoneticPr fontId="2"/>
  </si>
  <si>
    <t>多機能型拠点ラボリベース</t>
    <rPh sb="0" eb="4">
      <t>タキノウガタ</t>
    </rPh>
    <rPh sb="4" eb="6">
      <t>キョテン</t>
    </rPh>
    <phoneticPr fontId="2"/>
  </si>
  <si>
    <t>関間4-4-7</t>
    <rPh sb="0" eb="1">
      <t>セキ</t>
    </rPh>
    <rPh sb="1" eb="2">
      <t>マ</t>
    </rPh>
    <phoneticPr fontId="2"/>
  </si>
  <si>
    <t>049-272-7892</t>
    <phoneticPr fontId="2"/>
  </si>
  <si>
    <t>049-272-7893</t>
    <phoneticPr fontId="2"/>
  </si>
  <si>
    <t>東武東上線若葉駅徒歩10分
※児童発達支援、放課後等デイサービスとの多機能</t>
    <rPh sb="0" eb="5">
      <t>トウブトウジョウセン</t>
    </rPh>
    <rPh sb="5" eb="8">
      <t>ワカバエキ</t>
    </rPh>
    <rPh sb="8" eb="10">
      <t>トホ</t>
    </rPh>
    <rPh sb="12" eb="13">
      <t>プン</t>
    </rPh>
    <rPh sb="15" eb="17">
      <t>ジドウ</t>
    </rPh>
    <rPh sb="17" eb="19">
      <t>ハッタツ</t>
    </rPh>
    <rPh sb="19" eb="21">
      <t>シエン</t>
    </rPh>
    <rPh sb="34" eb="37">
      <t>タキノウ</t>
    </rPh>
    <phoneticPr fontId="2"/>
  </si>
  <si>
    <t>351-0023</t>
    <phoneticPr fontId="2"/>
  </si>
  <si>
    <t>048-999-6453</t>
    <phoneticPr fontId="2"/>
  </si>
  <si>
    <t>342-0005</t>
    <phoneticPr fontId="2"/>
  </si>
  <si>
    <t>中央2-4-28 田口ビル2F</t>
    <rPh sb="0" eb="2">
      <t>チュウオウ</t>
    </rPh>
    <rPh sb="9" eb="11">
      <t>タグチ</t>
    </rPh>
    <phoneticPr fontId="2"/>
  </si>
  <si>
    <t>048-23-0800</t>
    <phoneticPr fontId="2"/>
  </si>
  <si>
    <t>（株）ライムライフ</t>
    <rPh sb="1" eb="2">
      <t>カブ</t>
    </rPh>
    <phoneticPr fontId="2"/>
  </si>
  <si>
    <t>ライムライフ在宅ケアセンター</t>
    <rPh sb="6" eb="8">
      <t>ザイタク</t>
    </rPh>
    <phoneticPr fontId="2"/>
  </si>
  <si>
    <t>緑ヶ丘11-33</t>
    <rPh sb="0" eb="3">
      <t>ミドリガオカ</t>
    </rPh>
    <phoneticPr fontId="2"/>
  </si>
  <si>
    <t>048-579-5031</t>
    <phoneticPr fontId="2"/>
  </si>
  <si>
    <t>048-598-6445</t>
    <phoneticPr fontId="2"/>
  </si>
  <si>
    <t>○</t>
    <phoneticPr fontId="2"/>
  </si>
  <si>
    <t>349-0203</t>
    <phoneticPr fontId="2"/>
  </si>
  <si>
    <t>0480-53-6933</t>
    <phoneticPr fontId="2"/>
  </si>
  <si>
    <t>0480-53-6944</t>
    <phoneticPr fontId="2"/>
  </si>
  <si>
    <t>○</t>
    <phoneticPr fontId="2"/>
  </si>
  <si>
    <t>(福)ゆうき福祉会</t>
    <rPh sb="1" eb="2">
      <t>フク</t>
    </rPh>
    <rPh sb="2" eb="3">
      <t>シャフク</t>
    </rPh>
    <rPh sb="6" eb="8">
      <t>フクシ</t>
    </rPh>
    <rPh sb="8" eb="9">
      <t>カイ</t>
    </rPh>
    <phoneticPr fontId="2"/>
  </si>
  <si>
    <t>グループホームすだち</t>
    <phoneticPr fontId="2"/>
  </si>
  <si>
    <t>大字亀ヶ谷字谷里270-6</t>
    <rPh sb="0" eb="2">
      <t>オオアザ</t>
    </rPh>
    <rPh sb="2" eb="5">
      <t>カメガヤ</t>
    </rPh>
    <rPh sb="5" eb="6">
      <t>アザ</t>
    </rPh>
    <rPh sb="6" eb="7">
      <t>タニ</t>
    </rPh>
    <rPh sb="7" eb="8">
      <t>サト</t>
    </rPh>
    <phoneticPr fontId="2"/>
  </si>
  <si>
    <t>04-2937-4343</t>
    <phoneticPr fontId="2"/>
  </si>
  <si>
    <t>04-2937-4344</t>
    <phoneticPr fontId="2"/>
  </si>
  <si>
    <t>○</t>
    <phoneticPr fontId="2"/>
  </si>
  <si>
    <t>0493-54-0055</t>
    <phoneticPr fontId="2"/>
  </si>
  <si>
    <t>0493-54-6993</t>
    <phoneticPr fontId="2"/>
  </si>
  <si>
    <t>R1.5.1</t>
    <phoneticPr fontId="2"/>
  </si>
  <si>
    <t>(同）ベールプラン</t>
    <rPh sb="1" eb="2">
      <t>ドウ</t>
    </rPh>
    <phoneticPr fontId="2"/>
  </si>
  <si>
    <t>048-945-7280</t>
    <phoneticPr fontId="2"/>
  </si>
  <si>
    <t>048-945-5552</t>
    <phoneticPr fontId="2"/>
  </si>
  <si>
    <t>パスレル東大宮</t>
    <rPh sb="4" eb="7">
      <t>ヒガシオオミヤ</t>
    </rPh>
    <phoneticPr fontId="2"/>
  </si>
  <si>
    <t>見沼区東大宮４－９－３　藤倉ビル２階</t>
    <rPh sb="0" eb="2">
      <t>ミヌマ</t>
    </rPh>
    <rPh sb="2" eb="3">
      <t>ク</t>
    </rPh>
    <rPh sb="3" eb="6">
      <t>ヒガシオオミヤ</t>
    </rPh>
    <rPh sb="12" eb="14">
      <t>フジクラ</t>
    </rPh>
    <rPh sb="17" eb="18">
      <t>カイ</t>
    </rPh>
    <phoneticPr fontId="2"/>
  </si>
  <si>
    <t>048-871-9918</t>
    <phoneticPr fontId="2"/>
  </si>
  <si>
    <t>048-871-9976</t>
    <phoneticPr fontId="2"/>
  </si>
  <si>
    <t>JR東大宮駅より徒歩3分</t>
    <rPh sb="2" eb="5">
      <t>ヒガシオオミヤ</t>
    </rPh>
    <rPh sb="5" eb="6">
      <t>エキ</t>
    </rPh>
    <rPh sb="8" eb="10">
      <t>トホ</t>
    </rPh>
    <rPh sb="11" eb="12">
      <t>フン</t>
    </rPh>
    <phoneticPr fontId="2"/>
  </si>
  <si>
    <t>アイトライ武蔵浦和センター</t>
    <rPh sb="5" eb="9">
      <t>ムサシウラワ</t>
    </rPh>
    <phoneticPr fontId="2"/>
  </si>
  <si>
    <t>南区別所６－４－２５　NKG別所２F・３F</t>
    <rPh sb="0" eb="2">
      <t>ミナミク</t>
    </rPh>
    <rPh sb="2" eb="4">
      <t>ベッショ</t>
    </rPh>
    <rPh sb="14" eb="16">
      <t>ベッショ</t>
    </rPh>
    <phoneticPr fontId="2"/>
  </si>
  <si>
    <t>336-0021</t>
    <phoneticPr fontId="2"/>
  </si>
  <si>
    <t>048-753-9264</t>
    <phoneticPr fontId="2"/>
  </si>
  <si>
    <t>048-753-9265</t>
    <phoneticPr fontId="2"/>
  </si>
  <si>
    <t>JR武蔵浦和駅より徒歩3分</t>
    <rPh sb="2" eb="7">
      <t>ムサシウラワエキ</t>
    </rPh>
    <rPh sb="9" eb="11">
      <t>トホ</t>
    </rPh>
    <rPh sb="12" eb="13">
      <t>フン</t>
    </rPh>
    <phoneticPr fontId="2"/>
  </si>
  <si>
    <t>R1.5.1</t>
    <phoneticPr fontId="2"/>
  </si>
  <si>
    <t>○</t>
    <phoneticPr fontId="2"/>
  </si>
  <si>
    <t>イーネクスト所沢</t>
    <rPh sb="6" eb="8">
      <t>トコロザワ</t>
    </rPh>
    <phoneticPr fontId="2"/>
  </si>
  <si>
    <t>04-2946-8432</t>
  </si>
  <si>
    <t>ディーキャリア蕨オフィス</t>
    <rPh sb="7" eb="8">
      <t>ワラビ</t>
    </rPh>
    <phoneticPr fontId="2"/>
  </si>
  <si>
    <t>蕨市</t>
    <rPh sb="0" eb="1">
      <t>ワラビ</t>
    </rPh>
    <rPh sb="1" eb="2">
      <t>シ</t>
    </rPh>
    <phoneticPr fontId="2"/>
  </si>
  <si>
    <t>中央1-11-2ユーハイツ1階101</t>
    <rPh sb="0" eb="2">
      <t>チュウオウ</t>
    </rPh>
    <rPh sb="14" eb="15">
      <t>カイ</t>
    </rPh>
    <phoneticPr fontId="2"/>
  </si>
  <si>
    <t>335-0004</t>
    <phoneticPr fontId="2"/>
  </si>
  <si>
    <t>048-299-7772</t>
    <phoneticPr fontId="2"/>
  </si>
  <si>
    <t>048-299-7782</t>
    <phoneticPr fontId="2"/>
  </si>
  <si>
    <t>R1.6.1</t>
    <phoneticPr fontId="2"/>
  </si>
  <si>
    <t>蕨駅から徒歩3分</t>
    <rPh sb="0" eb="1">
      <t>ワラビ</t>
    </rPh>
    <rPh sb="1" eb="2">
      <t>エキ</t>
    </rPh>
    <rPh sb="4" eb="6">
      <t>トホ</t>
    </rPh>
    <rPh sb="7" eb="8">
      <t>フン</t>
    </rPh>
    <phoneticPr fontId="2"/>
  </si>
  <si>
    <t>(一社)みんなでなかよく会</t>
    <rPh sb="1" eb="2">
      <t>イッパン</t>
    </rPh>
    <rPh sb="2" eb="3">
      <t>シャ</t>
    </rPh>
    <rPh sb="11" eb="12">
      <t>カイ</t>
    </rPh>
    <phoneticPr fontId="2"/>
  </si>
  <si>
    <t>フレンドシップ１号館</t>
    <rPh sb="7" eb="9">
      <t>ゴウカン</t>
    </rPh>
    <phoneticPr fontId="2"/>
  </si>
  <si>
    <t>大字鹿山428-3</t>
  </si>
  <si>
    <t>350-1231</t>
  </si>
  <si>
    <t>R1.6.1</t>
  </si>
  <si>
    <t>高麗川駅から徒歩17分</t>
    <rPh sb="0" eb="4">
      <t>コマガワエキ</t>
    </rPh>
    <rPh sb="6" eb="8">
      <t>トホ</t>
    </rPh>
    <rPh sb="10" eb="11">
      <t>ブン</t>
    </rPh>
    <phoneticPr fontId="2"/>
  </si>
  <si>
    <t>048-682-2151</t>
  </si>
  <si>
    <t>048-682-2154</t>
  </si>
  <si>
    <t>(福)ハッピーネット</t>
  </si>
  <si>
    <t>西区中野林653-1</t>
  </si>
  <si>
    <t>048-623-1810</t>
  </si>
  <si>
    <t>048-623-1677</t>
    <phoneticPr fontId="2"/>
  </si>
  <si>
    <t>○</t>
    <phoneticPr fontId="2"/>
  </si>
  <si>
    <t>大宮駅西口から1番乗場二ツ宮行（三条経由）「中野林」下車徒歩3分</t>
    <rPh sb="0" eb="2">
      <t>オオミヤ</t>
    </rPh>
    <rPh sb="2" eb="3">
      <t>エキ</t>
    </rPh>
    <rPh sb="3" eb="5">
      <t>ニシグチ</t>
    </rPh>
    <rPh sb="8" eb="9">
      <t>バン</t>
    </rPh>
    <rPh sb="9" eb="10">
      <t>ノ</t>
    </rPh>
    <rPh sb="10" eb="11">
      <t>バ</t>
    </rPh>
    <rPh sb="11" eb="12">
      <t>フタ</t>
    </rPh>
    <rPh sb="13" eb="14">
      <t>ミヤ</t>
    </rPh>
    <rPh sb="14" eb="15">
      <t>イ</t>
    </rPh>
    <rPh sb="16" eb="18">
      <t>サンジョウ</t>
    </rPh>
    <rPh sb="18" eb="20">
      <t>ケイユ</t>
    </rPh>
    <rPh sb="22" eb="25">
      <t>ナカノバヤシ</t>
    </rPh>
    <rPh sb="26" eb="28">
      <t>ゲシャ</t>
    </rPh>
    <rPh sb="28" eb="30">
      <t>トホ</t>
    </rPh>
    <rPh sb="31" eb="32">
      <t>フン</t>
    </rPh>
    <phoneticPr fontId="2"/>
  </si>
  <si>
    <t>しらはた作業所</t>
    <rPh sb="4" eb="6">
      <t>サギョウ</t>
    </rPh>
    <rPh sb="6" eb="7">
      <t>ショ</t>
    </rPh>
    <phoneticPr fontId="2"/>
  </si>
  <si>
    <t>048-864-1400</t>
    <phoneticPr fontId="2"/>
  </si>
  <si>
    <t>ＪＲ武蔵浦和駅より徒歩８分</t>
    <rPh sb="2" eb="7">
      <t>ムサシウラワエキ</t>
    </rPh>
    <rPh sb="9" eb="11">
      <t>トホ</t>
    </rPh>
    <rPh sb="12" eb="13">
      <t>フン</t>
    </rPh>
    <phoneticPr fontId="2"/>
  </si>
  <si>
    <t>336-0022</t>
    <phoneticPr fontId="2"/>
  </si>
  <si>
    <t>048-767-7744</t>
    <phoneticPr fontId="2"/>
  </si>
  <si>
    <t>ゆずり葉</t>
    <phoneticPr fontId="2"/>
  </si>
  <si>
    <t>331-0066</t>
    <phoneticPr fontId="2"/>
  </si>
  <si>
    <t>048-625-5100</t>
    <phoneticPr fontId="2"/>
  </si>
  <si>
    <t>大宮駅西口西部バス　「飯田新田駅」下車徒歩８分</t>
    <rPh sb="0" eb="2">
      <t>オオミヤ</t>
    </rPh>
    <rPh sb="2" eb="3">
      <t>エキ</t>
    </rPh>
    <rPh sb="3" eb="5">
      <t>ニシグチ</t>
    </rPh>
    <rPh sb="5" eb="7">
      <t>セイブ</t>
    </rPh>
    <rPh sb="11" eb="13">
      <t>イイダ</t>
    </rPh>
    <rPh sb="13" eb="15">
      <t>シンデン</t>
    </rPh>
    <rPh sb="15" eb="16">
      <t>エキ</t>
    </rPh>
    <rPh sb="17" eb="19">
      <t>ゲシャ</t>
    </rPh>
    <rPh sb="19" eb="21">
      <t>トホ</t>
    </rPh>
    <rPh sb="22" eb="23">
      <t>フン</t>
    </rPh>
    <phoneticPr fontId="2"/>
  </si>
  <si>
    <t>(福）南桜会</t>
    <rPh sb="1" eb="2">
      <t>フク</t>
    </rPh>
    <rPh sb="3" eb="4">
      <t>ミナミ</t>
    </rPh>
    <rPh sb="4" eb="5">
      <t>サクラ</t>
    </rPh>
    <rPh sb="5" eb="6">
      <t>カイ</t>
    </rPh>
    <phoneticPr fontId="2"/>
  </si>
  <si>
    <t>(福）埼玉福祉事業協会</t>
    <rPh sb="1" eb="2">
      <t>フク</t>
    </rPh>
    <phoneticPr fontId="2"/>
  </si>
  <si>
    <t>大宮駅西口西部バス　「飯田新田駅」下車徒歩８分
併設空床</t>
    <rPh sb="0" eb="2">
      <t>オオミヤ</t>
    </rPh>
    <rPh sb="2" eb="3">
      <t>エキ</t>
    </rPh>
    <rPh sb="3" eb="5">
      <t>ニシグチ</t>
    </rPh>
    <rPh sb="5" eb="7">
      <t>セイブ</t>
    </rPh>
    <rPh sb="11" eb="13">
      <t>イイダ</t>
    </rPh>
    <rPh sb="13" eb="15">
      <t>シンデン</t>
    </rPh>
    <rPh sb="15" eb="16">
      <t>エキ</t>
    </rPh>
    <rPh sb="17" eb="19">
      <t>ゲシャ</t>
    </rPh>
    <rPh sb="19" eb="21">
      <t>トホ</t>
    </rPh>
    <rPh sb="22" eb="23">
      <t>フン</t>
    </rPh>
    <rPh sb="24" eb="26">
      <t>ヘイセツ</t>
    </rPh>
    <rPh sb="26" eb="28">
      <t>クウショウ</t>
    </rPh>
    <phoneticPr fontId="2"/>
  </si>
  <si>
    <t>(福）さいたま市社会福祉事業団</t>
    <rPh sb="1" eb="2">
      <t>フク</t>
    </rPh>
    <rPh sb="7" eb="8">
      <t>シ</t>
    </rPh>
    <rPh sb="8" eb="10">
      <t>シャカイ</t>
    </rPh>
    <rPh sb="10" eb="12">
      <t>フクシ</t>
    </rPh>
    <rPh sb="12" eb="15">
      <t>ジギョウダン</t>
    </rPh>
    <phoneticPr fontId="5"/>
  </si>
  <si>
    <t>(株)カルディアコーポレーション</t>
    <rPh sb="1" eb="2">
      <t>カブ</t>
    </rPh>
    <phoneticPr fontId="2"/>
  </si>
  <si>
    <t>氷川町2126-6</t>
    <rPh sb="0" eb="2">
      <t>ヒカワ</t>
    </rPh>
    <rPh sb="2" eb="3">
      <t>マチ</t>
    </rPh>
    <phoneticPr fontId="2"/>
  </si>
  <si>
    <t>東部伊勢崎線草加駅西口から徒歩１分</t>
    <rPh sb="0" eb="2">
      <t>トウブ</t>
    </rPh>
    <rPh sb="2" eb="5">
      <t>イセサキ</t>
    </rPh>
    <rPh sb="5" eb="6">
      <t>セン</t>
    </rPh>
    <rPh sb="6" eb="9">
      <t>ソウカエキ</t>
    </rPh>
    <rPh sb="9" eb="11">
      <t>ニシグチ</t>
    </rPh>
    <rPh sb="13" eb="15">
      <t>トホ</t>
    </rPh>
    <rPh sb="16" eb="17">
      <t>フン</t>
    </rPh>
    <phoneticPr fontId="2"/>
  </si>
  <si>
    <t>カルディアそうか</t>
    <phoneticPr fontId="2"/>
  </si>
  <si>
    <t>048-954-4697</t>
    <phoneticPr fontId="2"/>
  </si>
  <si>
    <t>048-954-4698</t>
    <phoneticPr fontId="2"/>
  </si>
  <si>
    <t>(株)オフィスコトヨリ</t>
    <rPh sb="1" eb="2">
      <t>カブ</t>
    </rPh>
    <phoneticPr fontId="2"/>
  </si>
  <si>
    <t>かすかべカルディア</t>
    <phoneticPr fontId="2"/>
  </si>
  <si>
    <t>中央1-43-9</t>
    <rPh sb="0" eb="2">
      <t>チュウオウ</t>
    </rPh>
    <phoneticPr fontId="2"/>
  </si>
  <si>
    <t>048-796-0720</t>
    <phoneticPr fontId="2"/>
  </si>
  <si>
    <t>048-796-0806</t>
    <phoneticPr fontId="2"/>
  </si>
  <si>
    <t>東部伊勢崎線春日部駅西口から徒歩２分</t>
    <rPh sb="0" eb="2">
      <t>トウブ</t>
    </rPh>
    <rPh sb="2" eb="5">
      <t>イセサキ</t>
    </rPh>
    <rPh sb="5" eb="6">
      <t>セン</t>
    </rPh>
    <rPh sb="6" eb="9">
      <t>カスカベ</t>
    </rPh>
    <rPh sb="9" eb="10">
      <t>エキ</t>
    </rPh>
    <rPh sb="10" eb="12">
      <t>ニシグチ</t>
    </rPh>
    <rPh sb="14" eb="16">
      <t>トホ</t>
    </rPh>
    <rPh sb="17" eb="18">
      <t>フン</t>
    </rPh>
    <phoneticPr fontId="2"/>
  </si>
  <si>
    <t>（福)彩凜会</t>
    <rPh sb="1" eb="2">
      <t>フク</t>
    </rPh>
    <rPh sb="3" eb="4">
      <t>サイ</t>
    </rPh>
    <rPh sb="4" eb="5">
      <t>リン</t>
    </rPh>
    <rPh sb="5" eb="6">
      <t>カイ</t>
    </rPh>
    <phoneticPr fontId="2"/>
  </si>
  <si>
    <t>就労定着支援事業所ひだまり</t>
    <rPh sb="0" eb="2">
      <t>シュウロウ</t>
    </rPh>
    <rPh sb="2" eb="4">
      <t>テイチャク</t>
    </rPh>
    <rPh sb="4" eb="6">
      <t>シエン</t>
    </rPh>
    <rPh sb="6" eb="8">
      <t>ジギョウ</t>
    </rPh>
    <rPh sb="8" eb="9">
      <t>ショ</t>
    </rPh>
    <phoneticPr fontId="2"/>
  </si>
  <si>
    <t>342-0005</t>
    <phoneticPr fontId="2"/>
  </si>
  <si>
    <t>048-940-6241</t>
    <phoneticPr fontId="2"/>
  </si>
  <si>
    <t>048-999-6453</t>
    <phoneticPr fontId="2"/>
  </si>
  <si>
    <t>○</t>
    <phoneticPr fontId="2"/>
  </si>
  <si>
    <t>Fun Challenge</t>
  </si>
  <si>
    <t>山田町11-18</t>
    <rPh sb="0" eb="2">
      <t>ヤマダ</t>
    </rPh>
    <rPh sb="2" eb="3">
      <t>マチ</t>
    </rPh>
    <phoneticPr fontId="2"/>
  </si>
  <si>
    <t>350-0224</t>
  </si>
  <si>
    <t>049-282-7335</t>
  </si>
  <si>
    <t>049-272-7247</t>
  </si>
  <si>
    <t>東武東上線坂戸駅北口から徒歩15分</t>
    <rPh sb="0" eb="2">
      <t>トウブ</t>
    </rPh>
    <rPh sb="2" eb="5">
      <t>トウジョウセン</t>
    </rPh>
    <rPh sb="5" eb="7">
      <t>サカド</t>
    </rPh>
    <rPh sb="7" eb="8">
      <t>エキ</t>
    </rPh>
    <rPh sb="8" eb="10">
      <t>キタグチ</t>
    </rPh>
    <rPh sb="12" eb="14">
      <t>トホ</t>
    </rPh>
    <rPh sb="16" eb="17">
      <t>ブン</t>
    </rPh>
    <phoneticPr fontId="2"/>
  </si>
  <si>
    <t>くすのき台3-4-4
シムラビル3階</t>
    <rPh sb="4" eb="5">
      <t>ダイ</t>
    </rPh>
    <rPh sb="17" eb="18">
      <t>カイ</t>
    </rPh>
    <phoneticPr fontId="2"/>
  </si>
  <si>
    <t>359-0037</t>
  </si>
  <si>
    <t>042-937-4961</t>
  </si>
  <si>
    <t>042-937-4962</t>
  </si>
  <si>
    <t>西武鉄道所沢駅東口から徒歩4分</t>
    <rPh sb="0" eb="2">
      <t>セイブ</t>
    </rPh>
    <rPh sb="2" eb="4">
      <t>テツドウ</t>
    </rPh>
    <rPh sb="4" eb="6">
      <t>トコロザワ</t>
    </rPh>
    <rPh sb="6" eb="7">
      <t>エキ</t>
    </rPh>
    <rPh sb="7" eb="9">
      <t>ヒガシグチ</t>
    </rPh>
    <rPh sb="11" eb="13">
      <t>トホ</t>
    </rPh>
    <rPh sb="14" eb="15">
      <t>ブン</t>
    </rPh>
    <phoneticPr fontId="2"/>
  </si>
  <si>
    <t>一般財団法人　福祉教育支援協会</t>
    <rPh sb="0" eb="2">
      <t>イッパン</t>
    </rPh>
    <rPh sb="2" eb="4">
      <t>ザイダン</t>
    </rPh>
    <rPh sb="4" eb="6">
      <t>ホウジン</t>
    </rPh>
    <rPh sb="7" eb="9">
      <t>フクシ</t>
    </rPh>
    <rPh sb="9" eb="11">
      <t>キョウイク</t>
    </rPh>
    <rPh sb="11" eb="13">
      <t>シエン</t>
    </rPh>
    <rPh sb="13" eb="15">
      <t>キョウカイ</t>
    </rPh>
    <phoneticPr fontId="2"/>
  </si>
  <si>
    <t>シャローム和光</t>
    <rPh sb="5" eb="7">
      <t>ワコウ</t>
    </rPh>
    <phoneticPr fontId="2"/>
  </si>
  <si>
    <t>丸山台1-10-6志幸21ビル7階</t>
    <rPh sb="0" eb="3">
      <t>マルヤマダイ</t>
    </rPh>
    <rPh sb="9" eb="10">
      <t>シ</t>
    </rPh>
    <rPh sb="10" eb="11">
      <t>コウ</t>
    </rPh>
    <rPh sb="16" eb="17">
      <t>カイ</t>
    </rPh>
    <phoneticPr fontId="2"/>
  </si>
  <si>
    <t>東武東上線和光市駅南口から司徒歩3分</t>
    <rPh sb="0" eb="2">
      <t>トウブ</t>
    </rPh>
    <rPh sb="2" eb="4">
      <t>トウジョウ</t>
    </rPh>
    <rPh sb="4" eb="5">
      <t>セン</t>
    </rPh>
    <rPh sb="5" eb="7">
      <t>ワコウ</t>
    </rPh>
    <rPh sb="7" eb="8">
      <t>シ</t>
    </rPh>
    <rPh sb="8" eb="9">
      <t>エキ</t>
    </rPh>
    <rPh sb="9" eb="11">
      <t>ミナミグチ</t>
    </rPh>
    <rPh sb="13" eb="14">
      <t>ツカサ</t>
    </rPh>
    <rPh sb="14" eb="16">
      <t>トホ</t>
    </rPh>
    <rPh sb="17" eb="18">
      <t>プン</t>
    </rPh>
    <phoneticPr fontId="2"/>
  </si>
  <si>
    <t>デイサービスぷらいまる</t>
  </si>
  <si>
    <t>白子3-1-20　ヴィルヌーブ301号室、302号室</t>
    <rPh sb="0" eb="2">
      <t>シラコ</t>
    </rPh>
    <rPh sb="18" eb="20">
      <t>ゴウシツ</t>
    </rPh>
    <rPh sb="24" eb="26">
      <t>ゴウシツ</t>
    </rPh>
    <phoneticPr fontId="2"/>
  </si>
  <si>
    <t>351-0101</t>
  </si>
  <si>
    <t>048-450-6055</t>
  </si>
  <si>
    <t>048-450-6056</t>
  </si>
  <si>
    <t>クリード和光</t>
    <rPh sb="4" eb="6">
      <t>ワコウ</t>
    </rPh>
    <phoneticPr fontId="2"/>
  </si>
  <si>
    <t>丸山台3-11-16</t>
    <rPh sb="0" eb="1">
      <t>マル</t>
    </rPh>
    <rPh sb="1" eb="2">
      <t>ヤマ</t>
    </rPh>
    <rPh sb="2" eb="3">
      <t>ダイ</t>
    </rPh>
    <phoneticPr fontId="2"/>
  </si>
  <si>
    <t>351-0112</t>
  </si>
  <si>
    <t>048-460-3511</t>
  </si>
  <si>
    <t>048-460-3512</t>
  </si>
  <si>
    <t>東武東上線和光市駅下車徒歩15分
※共同生活援助との併設</t>
    <rPh sb="0" eb="5">
      <t>トウブトウジョウセン</t>
    </rPh>
    <rPh sb="5" eb="9">
      <t>ワコウシエキ</t>
    </rPh>
    <rPh sb="9" eb="11">
      <t>ゲシャ</t>
    </rPh>
    <rPh sb="11" eb="13">
      <t>トホ</t>
    </rPh>
    <rPh sb="15" eb="16">
      <t>フン</t>
    </rPh>
    <phoneticPr fontId="2"/>
  </si>
  <si>
    <t>ナーシングホーム和光</t>
    <rPh sb="8" eb="10">
      <t>ワコウ</t>
    </rPh>
    <phoneticPr fontId="2"/>
  </si>
  <si>
    <t>新倉8-23-1</t>
    <rPh sb="0" eb="2">
      <t>ニイクラ</t>
    </rPh>
    <phoneticPr fontId="2"/>
  </si>
  <si>
    <t>351-0115</t>
  </si>
  <si>
    <t>048-468-3355</t>
  </si>
  <si>
    <t>048-468-3377</t>
  </si>
  <si>
    <t>東武東上線和光市駅北口から和光高校循環「福祉の里入口」下車徒歩5分</t>
    <rPh sb="0" eb="2">
      <t>トウブ</t>
    </rPh>
    <rPh sb="2" eb="4">
      <t>トウジョウ</t>
    </rPh>
    <rPh sb="4" eb="5">
      <t>セン</t>
    </rPh>
    <rPh sb="5" eb="7">
      <t>ワコウ</t>
    </rPh>
    <rPh sb="7" eb="8">
      <t>シ</t>
    </rPh>
    <rPh sb="8" eb="9">
      <t>エキ</t>
    </rPh>
    <rPh sb="9" eb="10">
      <t>キタ</t>
    </rPh>
    <rPh sb="10" eb="11">
      <t>クチ</t>
    </rPh>
    <rPh sb="13" eb="15">
      <t>ワコウ</t>
    </rPh>
    <rPh sb="15" eb="17">
      <t>コウコウ</t>
    </rPh>
    <rPh sb="17" eb="19">
      <t>ジュンカン</t>
    </rPh>
    <rPh sb="20" eb="22">
      <t>フクシ</t>
    </rPh>
    <rPh sb="23" eb="24">
      <t>サト</t>
    </rPh>
    <rPh sb="24" eb="26">
      <t>イリグチ</t>
    </rPh>
    <rPh sb="27" eb="29">
      <t>ゲシャ</t>
    </rPh>
    <rPh sb="29" eb="31">
      <t>トホ</t>
    </rPh>
    <rPh sb="32" eb="33">
      <t>プン</t>
    </rPh>
    <phoneticPr fontId="2"/>
  </si>
  <si>
    <t>まんま村 そらの郷</t>
    <rPh sb="3" eb="4">
      <t>ムラ</t>
    </rPh>
    <rPh sb="8" eb="9">
      <t>サト</t>
    </rPh>
    <phoneticPr fontId="5"/>
  </si>
  <si>
    <t>緑区大間木１７０１－６</t>
    <phoneticPr fontId="2"/>
  </si>
  <si>
    <t>まんま荘</t>
    <rPh sb="3" eb="4">
      <t>ソウ</t>
    </rPh>
    <phoneticPr fontId="5"/>
  </si>
  <si>
    <t>緑区大間木1701-6</t>
    <phoneticPr fontId="2"/>
  </si>
  <si>
    <t>武蔵野線東浦和駅　徒歩10分</t>
    <rPh sb="0" eb="3">
      <t>ムサシノ</t>
    </rPh>
    <rPh sb="3" eb="4">
      <t>セン</t>
    </rPh>
    <rPh sb="4" eb="8">
      <t>ヒガシウラワエキ</t>
    </rPh>
    <rPh sb="9" eb="11">
      <t>トホ</t>
    </rPh>
    <rPh sb="13" eb="14">
      <t>フン</t>
    </rPh>
    <phoneticPr fontId="2"/>
  </si>
  <si>
    <t>ＳＡＫＵＲＡわらびセンター</t>
    <phoneticPr fontId="2" type="Hiragana"/>
  </si>
  <si>
    <t>川口市</t>
    <rPh sb="0" eb="3">
      <t>かわぐちし</t>
    </rPh>
    <phoneticPr fontId="2" type="Hiragana"/>
  </si>
  <si>
    <t>333-0851</t>
    <phoneticPr fontId="2" type="Hiragana"/>
  </si>
  <si>
    <t>048-260-3921</t>
    <phoneticPr fontId="2" type="Hiragana"/>
  </si>
  <si>
    <t>048-260-3922</t>
    <phoneticPr fontId="2" type="Hiragana"/>
  </si>
  <si>
    <t>Ｒ1.7.1</t>
    <phoneticPr fontId="2" type="Hiragana"/>
  </si>
  <si>
    <t>蕨駅東口から徒歩１分</t>
    <rPh sb="0" eb="2">
      <t>わらびえき</t>
    </rPh>
    <rPh sb="2" eb="3">
      <t>ひがし</t>
    </rPh>
    <rPh sb="3" eb="4">
      <t>ぐち</t>
    </rPh>
    <rPh sb="6" eb="8">
      <t>とほ</t>
    </rPh>
    <rPh sb="9" eb="10">
      <t>ふん</t>
    </rPh>
    <phoneticPr fontId="2" type="Hiragana"/>
  </si>
  <si>
    <t>芝新町4-6 YS TOWER 6階</t>
    <rPh sb="0" eb="3">
      <t>しばしんまち</t>
    </rPh>
    <rPh sb="17" eb="18">
      <t>かい</t>
    </rPh>
    <phoneticPr fontId="2" type="Hiragana"/>
  </si>
  <si>
    <t>048-583-7797</t>
    <phoneticPr fontId="2"/>
  </si>
  <si>
    <t>○</t>
    <phoneticPr fontId="2"/>
  </si>
  <si>
    <t>（株）ほがらか</t>
    <rPh sb="1" eb="2">
      <t>カブ</t>
    </rPh>
    <phoneticPr fontId="2"/>
  </si>
  <si>
    <t>335-0027</t>
    <phoneticPr fontId="2"/>
  </si>
  <si>
    <t>048-235-4808</t>
    <phoneticPr fontId="2"/>
  </si>
  <si>
    <t>0494-24-5553</t>
    <phoneticPr fontId="2"/>
  </si>
  <si>
    <t>0494-24-5598</t>
    <phoneticPr fontId="2"/>
  </si>
  <si>
    <t>志木彩の杜いろは</t>
    <rPh sb="0" eb="2">
      <t>シキ</t>
    </rPh>
    <rPh sb="2" eb="3">
      <t>イロドリ</t>
    </rPh>
    <rPh sb="4" eb="5">
      <t>モリ</t>
    </rPh>
    <phoneticPr fontId="2"/>
  </si>
  <si>
    <t>中宗岡1-1508-1</t>
    <rPh sb="0" eb="3">
      <t>ナカムネオカ</t>
    </rPh>
    <phoneticPr fontId="2"/>
  </si>
  <si>
    <t>048-423-2790</t>
    <phoneticPr fontId="2"/>
  </si>
  <si>
    <t>048-423-2759</t>
    <phoneticPr fontId="2"/>
  </si>
  <si>
    <t>○</t>
    <phoneticPr fontId="2"/>
  </si>
  <si>
    <t>東武東上線志木駅東口から浦和駅西口行バス「いろは坂」下車徒歩2分</t>
    <rPh sb="0" eb="5">
      <t>トウブトウジョウセン</t>
    </rPh>
    <rPh sb="5" eb="8">
      <t>シキエキ</t>
    </rPh>
    <rPh sb="8" eb="10">
      <t>ヒガシグチ</t>
    </rPh>
    <rPh sb="12" eb="15">
      <t>ウラワエキ</t>
    </rPh>
    <rPh sb="15" eb="17">
      <t>ニシグチ</t>
    </rPh>
    <rPh sb="17" eb="18">
      <t>ユ</t>
    </rPh>
    <rPh sb="24" eb="25">
      <t>サカ</t>
    </rPh>
    <rPh sb="26" eb="28">
      <t>ゲシャ</t>
    </rPh>
    <rPh sb="28" eb="30">
      <t>トホ</t>
    </rPh>
    <rPh sb="31" eb="32">
      <t>フン</t>
    </rPh>
    <phoneticPr fontId="2"/>
  </si>
  <si>
    <t>stara　越谷</t>
    <rPh sb="6" eb="8">
      <t>コシガヤ</t>
    </rPh>
    <phoneticPr fontId="2"/>
  </si>
  <si>
    <t>(株)stara</t>
    <rPh sb="0" eb="3">
      <t>カブ</t>
    </rPh>
    <phoneticPr fontId="2"/>
  </si>
  <si>
    <t>stara　新越谷</t>
    <rPh sb="6" eb="9">
      <t>シンコシガヤ</t>
    </rPh>
    <phoneticPr fontId="2"/>
  </si>
  <si>
    <t>stara　せんげん台</t>
    <rPh sb="10" eb="11">
      <t>ダイ</t>
    </rPh>
    <phoneticPr fontId="2"/>
  </si>
  <si>
    <t>南越谷1-20-6　高木ビル5階</t>
    <rPh sb="0" eb="3">
      <t>ミナミコシガヤ</t>
    </rPh>
    <rPh sb="10" eb="12">
      <t>タカギ</t>
    </rPh>
    <rPh sb="15" eb="16">
      <t>カイ</t>
    </rPh>
    <phoneticPr fontId="2"/>
  </si>
  <si>
    <t>048-971-7269</t>
    <phoneticPr fontId="2"/>
  </si>
  <si>
    <t>048-971-7279</t>
    <phoneticPr fontId="2"/>
  </si>
  <si>
    <t>ＪＲ武蔵野線南越谷駅・東武伊勢崎線新越谷駅から徒歩2分</t>
    <phoneticPr fontId="2"/>
  </si>
  <si>
    <t>○</t>
    <phoneticPr fontId="2"/>
  </si>
  <si>
    <t>フィットワーク</t>
    <phoneticPr fontId="2"/>
  </si>
  <si>
    <t>北越谷2-40-1</t>
    <rPh sb="0" eb="3">
      <t>キタコシガヤ</t>
    </rPh>
    <phoneticPr fontId="2"/>
  </si>
  <si>
    <t>048-973-7422</t>
    <phoneticPr fontId="2"/>
  </si>
  <si>
    <t>048-793-7423</t>
    <phoneticPr fontId="2"/>
  </si>
  <si>
    <t>東武伊勢崎線北越谷駅下車徒歩3分</t>
    <rPh sb="6" eb="7">
      <t>キタ</t>
    </rPh>
    <phoneticPr fontId="2"/>
  </si>
  <si>
    <t>くまのベイカーズ</t>
    <phoneticPr fontId="2"/>
  </si>
  <si>
    <t>諏訪町２２－１５</t>
    <rPh sb="0" eb="3">
      <t>スワマチ</t>
    </rPh>
    <phoneticPr fontId="2"/>
  </si>
  <si>
    <t>350-1147</t>
    <phoneticPr fontId="2"/>
  </si>
  <si>
    <t>049-248-4780</t>
    <phoneticPr fontId="2"/>
  </si>
  <si>
    <t>本町5-25-20　ムクロジュビル4階</t>
    <rPh sb="0" eb="2">
      <t>ホンチョウ</t>
    </rPh>
    <rPh sb="18" eb="19">
      <t>カイ</t>
    </rPh>
    <phoneticPr fontId="2"/>
  </si>
  <si>
    <t>048-471-4310</t>
  </si>
  <si>
    <t>048-471-9131</t>
  </si>
  <si>
    <t>048-471-9131</t>
    <phoneticPr fontId="2"/>
  </si>
  <si>
    <t>コレパク(株)</t>
    <rPh sb="5" eb="6">
      <t>カブ</t>
    </rPh>
    <phoneticPr fontId="2"/>
  </si>
  <si>
    <t>（一社）福祉ソリューションズ</t>
    <rPh sb="1" eb="2">
      <t>イチ</t>
    </rPh>
    <rPh sb="2" eb="3">
      <t>シャ</t>
    </rPh>
    <rPh sb="4" eb="6">
      <t>フクシ</t>
    </rPh>
    <phoneticPr fontId="2"/>
  </si>
  <si>
    <t>(福)平徳会</t>
    <rPh sb="1" eb="2">
      <t>フク</t>
    </rPh>
    <rPh sb="3" eb="4">
      <t>タイ</t>
    </rPh>
    <rPh sb="4" eb="5">
      <t>トク</t>
    </rPh>
    <rPh sb="5" eb="6">
      <t>カイ</t>
    </rPh>
    <phoneticPr fontId="2"/>
  </si>
  <si>
    <t>(一社)仁誠会</t>
    <rPh sb="1" eb="2">
      <t>イチ</t>
    </rPh>
    <rPh sb="2" eb="3">
      <t>シャ</t>
    </rPh>
    <rPh sb="4" eb="6">
      <t>ジンセイ</t>
    </rPh>
    <rPh sb="6" eb="7">
      <t>カイ</t>
    </rPh>
    <phoneticPr fontId="2"/>
  </si>
  <si>
    <t>339-0028</t>
    <phoneticPr fontId="2"/>
  </si>
  <si>
    <t>ウェルビー(株)</t>
    <rPh sb="5" eb="8">
      <t>かぶ</t>
    </rPh>
    <phoneticPr fontId="2" type="Hiragana"/>
  </si>
  <si>
    <t>(株)サンヴィレッジ</t>
    <rPh sb="0" eb="3">
      <t>かぶ</t>
    </rPh>
    <phoneticPr fontId="2" type="Hiragana"/>
  </si>
  <si>
    <t>（福）けやきの郷</t>
    <rPh sb="1" eb="2">
      <t>フク</t>
    </rPh>
    <rPh sb="3" eb="4">
      <t>シャフク</t>
    </rPh>
    <rPh sb="7" eb="8">
      <t>サト</t>
    </rPh>
    <phoneticPr fontId="2"/>
  </si>
  <si>
    <t>（特非）上福岡障害者支援センター２１</t>
    <rPh sb="1" eb="2">
      <t>トク</t>
    </rPh>
    <rPh sb="2" eb="3">
      <t>ヒ</t>
    </rPh>
    <rPh sb="4" eb="7">
      <t>カミフクオカ</t>
    </rPh>
    <rPh sb="7" eb="10">
      <t>ショウガイシャ</t>
    </rPh>
    <rPh sb="10" eb="12">
      <t>シエン</t>
    </rPh>
    <phoneticPr fontId="2"/>
  </si>
  <si>
    <t>(株)だんだんStation</t>
    <rPh sb="0" eb="3">
      <t>カブ</t>
    </rPh>
    <phoneticPr fontId="2"/>
  </si>
  <si>
    <t>トライフメッド(株)</t>
    <rPh sb="7" eb="10">
      <t>カブ</t>
    </rPh>
    <phoneticPr fontId="2"/>
  </si>
  <si>
    <t>（特非）つくし</t>
    <rPh sb="1" eb="2">
      <t>トク</t>
    </rPh>
    <rPh sb="2" eb="3">
      <t>ヒ</t>
    </rPh>
    <phoneticPr fontId="2"/>
  </si>
  <si>
    <t>（同）フィットワーク</t>
    <rPh sb="1" eb="2">
      <t>ドウ</t>
    </rPh>
    <phoneticPr fontId="2"/>
  </si>
  <si>
    <t>（特非）自立生活支援センター遊TOピア</t>
    <rPh sb="1" eb="2">
      <t>トク</t>
    </rPh>
    <rPh sb="2" eb="3">
      <t>ヒ</t>
    </rPh>
    <rPh sb="4" eb="6">
      <t>ジリツ</t>
    </rPh>
    <rPh sb="6" eb="8">
      <t>セイカツ</t>
    </rPh>
    <rPh sb="8" eb="10">
      <t>シエン</t>
    </rPh>
    <rPh sb="14" eb="15">
      <t>アソ</t>
    </rPh>
    <phoneticPr fontId="2"/>
  </si>
  <si>
    <t>スリール四季</t>
    <rPh sb="4" eb="6">
      <t>シキ</t>
    </rPh>
    <phoneticPr fontId="2"/>
  </si>
  <si>
    <t>350-1203</t>
    <phoneticPr fontId="2"/>
  </si>
  <si>
    <t>042-978-7615</t>
    <phoneticPr fontId="2"/>
  </si>
  <si>
    <t>042-978-7616</t>
    <phoneticPr fontId="2"/>
  </si>
  <si>
    <t>JR川越線武蔵高萩駅から車で5分</t>
    <rPh sb="2" eb="5">
      <t>カワゴエセン</t>
    </rPh>
    <rPh sb="5" eb="10">
      <t>ムサシタカハギエキ</t>
    </rPh>
    <rPh sb="12" eb="13">
      <t>クルマ</t>
    </rPh>
    <rPh sb="15" eb="16">
      <t>フン</t>
    </rPh>
    <phoneticPr fontId="2"/>
  </si>
  <si>
    <t>ウェルビー(株）</t>
    <rPh sb="6" eb="7">
      <t>カブ</t>
    </rPh>
    <phoneticPr fontId="2"/>
  </si>
  <si>
    <t>ウェルビー草加駅東口センター</t>
    <rPh sb="5" eb="7">
      <t>ソウカ</t>
    </rPh>
    <rPh sb="7" eb="8">
      <t>エキ</t>
    </rPh>
    <rPh sb="8" eb="9">
      <t>ヒガシ</t>
    </rPh>
    <rPh sb="9" eb="10">
      <t>クチ</t>
    </rPh>
    <phoneticPr fontId="2"/>
  </si>
  <si>
    <t>高砂2-10-18</t>
    <rPh sb="0" eb="2">
      <t>タカサゴ</t>
    </rPh>
    <phoneticPr fontId="2"/>
  </si>
  <si>
    <t>048-954-7803</t>
    <phoneticPr fontId="2"/>
  </si>
  <si>
    <t>048-954-7804</t>
    <phoneticPr fontId="2"/>
  </si>
  <si>
    <t>東部伊勢崎線草加駅東口から徒歩2分</t>
    <rPh sb="0" eb="2">
      <t>トウブ</t>
    </rPh>
    <rPh sb="2" eb="5">
      <t>イセサキ</t>
    </rPh>
    <rPh sb="5" eb="6">
      <t>セン</t>
    </rPh>
    <rPh sb="6" eb="9">
      <t>ソウカエキ</t>
    </rPh>
    <rPh sb="9" eb="10">
      <t>ヒガシ</t>
    </rPh>
    <rPh sb="10" eb="11">
      <t>クチ</t>
    </rPh>
    <rPh sb="13" eb="15">
      <t>トホ</t>
    </rPh>
    <rPh sb="16" eb="17">
      <t>フン</t>
    </rPh>
    <phoneticPr fontId="2"/>
  </si>
  <si>
    <t>(株)クオリティー</t>
    <rPh sb="1" eb="2">
      <t>カブ</t>
    </rPh>
    <phoneticPr fontId="2"/>
  </si>
  <si>
    <t>ディーキャリア　春日部オフィス</t>
    <rPh sb="8" eb="11">
      <t>カスカベ</t>
    </rPh>
    <phoneticPr fontId="2"/>
  </si>
  <si>
    <t>中央1-1-8
第６宝光ビル5F</t>
    <rPh sb="0" eb="2">
      <t>チュウオウ</t>
    </rPh>
    <rPh sb="8" eb="9">
      <t>ダイ</t>
    </rPh>
    <rPh sb="10" eb="11">
      <t>タカラ</t>
    </rPh>
    <rPh sb="11" eb="12">
      <t>ヒカリ</t>
    </rPh>
    <phoneticPr fontId="2"/>
  </si>
  <si>
    <t>340-0045</t>
    <phoneticPr fontId="2"/>
  </si>
  <si>
    <t>048-731-8235</t>
    <phoneticPr fontId="2"/>
  </si>
  <si>
    <t>東部アーバンパークライン／東部スカイツリーライン春日部駅西口徒歩2分</t>
    <rPh sb="0" eb="2">
      <t>トウブ</t>
    </rPh>
    <rPh sb="13" eb="15">
      <t>トウブ</t>
    </rPh>
    <rPh sb="24" eb="27">
      <t>カスカベ</t>
    </rPh>
    <rPh sb="27" eb="28">
      <t>エキ</t>
    </rPh>
    <rPh sb="28" eb="30">
      <t>ニシグチ</t>
    </rPh>
    <rPh sb="30" eb="32">
      <t>トホ</t>
    </rPh>
    <rPh sb="33" eb="34">
      <t>フン</t>
    </rPh>
    <phoneticPr fontId="2"/>
  </si>
  <si>
    <t>レモンカンパニー</t>
    <phoneticPr fontId="2"/>
  </si>
  <si>
    <t>○</t>
    <phoneticPr fontId="2"/>
  </si>
  <si>
    <t>ウーリー</t>
    <phoneticPr fontId="2"/>
  </si>
  <si>
    <t>048-715-0377</t>
    <phoneticPr fontId="2"/>
  </si>
  <si>
    <t>東部伊勢崎線春日部駅西口から徒歩3分</t>
    <rPh sb="0" eb="2">
      <t>トウブ</t>
    </rPh>
    <rPh sb="2" eb="5">
      <t>イセサキ</t>
    </rPh>
    <rPh sb="5" eb="6">
      <t>セン</t>
    </rPh>
    <rPh sb="6" eb="9">
      <t>カスカベ</t>
    </rPh>
    <rPh sb="9" eb="10">
      <t>エキ</t>
    </rPh>
    <rPh sb="10" eb="12">
      <t>ニシグチ</t>
    </rPh>
    <rPh sb="14" eb="16">
      <t>トホ</t>
    </rPh>
    <rPh sb="17" eb="18">
      <t>フン</t>
    </rPh>
    <phoneticPr fontId="2"/>
  </si>
  <si>
    <t>ふくふく　深作作業所</t>
    <rPh sb="5" eb="7">
      <t>フカサク</t>
    </rPh>
    <rPh sb="7" eb="9">
      <t>サギョウ</t>
    </rPh>
    <rPh sb="9" eb="10">
      <t>ショ</t>
    </rPh>
    <phoneticPr fontId="5"/>
  </si>
  <si>
    <t>見沼区深作３－２４－２</t>
    <phoneticPr fontId="2"/>
  </si>
  <si>
    <t>048-797-7271</t>
  </si>
  <si>
    <t>048-797-7291</t>
    <phoneticPr fontId="2"/>
  </si>
  <si>
    <t>ＪＲ東大宮駅　国際航業バス「深作３丁目」下車徒歩３分</t>
    <rPh sb="2" eb="3">
      <t>ヒガシ</t>
    </rPh>
    <rPh sb="3" eb="5">
      <t>オオミヤ</t>
    </rPh>
    <rPh sb="5" eb="6">
      <t>エキ</t>
    </rPh>
    <rPh sb="7" eb="9">
      <t>コクサイ</t>
    </rPh>
    <rPh sb="9" eb="11">
      <t>コウギョウ</t>
    </rPh>
    <rPh sb="14" eb="16">
      <t>フカサク</t>
    </rPh>
    <rPh sb="17" eb="19">
      <t>チョウメ</t>
    </rPh>
    <rPh sb="20" eb="22">
      <t>ゲシャ</t>
    </rPh>
    <rPh sb="22" eb="24">
      <t>トホ</t>
    </rPh>
    <rPh sb="25" eb="26">
      <t>フン</t>
    </rPh>
    <phoneticPr fontId="2"/>
  </si>
  <si>
    <t>337-0003</t>
    <phoneticPr fontId="2"/>
  </si>
  <si>
    <t>（一社）とまりぎ</t>
    <rPh sb="1" eb="2">
      <t>イチ</t>
    </rPh>
    <rPh sb="2" eb="3">
      <t>シャ</t>
    </rPh>
    <phoneticPr fontId="5"/>
  </si>
  <si>
    <t>ミラトレさいたま</t>
    <phoneticPr fontId="2"/>
  </si>
  <si>
    <t>○</t>
    <phoneticPr fontId="2"/>
  </si>
  <si>
    <t>fam table</t>
    <phoneticPr fontId="2"/>
  </si>
  <si>
    <t>049-265-6629</t>
    <phoneticPr fontId="2"/>
  </si>
  <si>
    <t>南大塚駅から徒歩４分</t>
    <rPh sb="0" eb="1">
      <t>ミナミ</t>
    </rPh>
    <rPh sb="1" eb="4">
      <t>オオツカエキ</t>
    </rPh>
    <rPh sb="6" eb="8">
      <t>トホ</t>
    </rPh>
    <rPh sb="9" eb="10">
      <t>フン</t>
    </rPh>
    <phoneticPr fontId="2"/>
  </si>
  <si>
    <t>○</t>
    <phoneticPr fontId="2"/>
  </si>
  <si>
    <t>ミラトレ川越</t>
    <rPh sb="4" eb="6">
      <t>カワゴエ</t>
    </rPh>
    <phoneticPr fontId="2"/>
  </si>
  <si>
    <t>350-1123</t>
    <phoneticPr fontId="2"/>
  </si>
  <si>
    <t>049-257-4283</t>
    <phoneticPr fontId="2"/>
  </si>
  <si>
    <t>049-257-4284</t>
    <phoneticPr fontId="2"/>
  </si>
  <si>
    <t>川越駅西口から徒歩２分</t>
    <rPh sb="0" eb="2">
      <t>カワゴエ</t>
    </rPh>
    <rPh sb="2" eb="3">
      <t>エキ</t>
    </rPh>
    <rPh sb="3" eb="5">
      <t>ニシグチ</t>
    </rPh>
    <rPh sb="7" eb="9">
      <t>トホ</t>
    </rPh>
    <rPh sb="10" eb="11">
      <t>フン</t>
    </rPh>
    <phoneticPr fontId="2"/>
  </si>
  <si>
    <t>（株）fam table</t>
    <rPh sb="1" eb="2">
      <t>カブ</t>
    </rPh>
    <phoneticPr fontId="2"/>
  </si>
  <si>
    <t>南台2-7-5</t>
    <rPh sb="0" eb="2">
      <t>ミナミダイ</t>
    </rPh>
    <phoneticPr fontId="2"/>
  </si>
  <si>
    <t>脇田本町11-1　川越シティービル5階</t>
    <rPh sb="0" eb="2">
      <t>ワキタ</t>
    </rPh>
    <rPh sb="2" eb="4">
      <t>ホンマチ</t>
    </rPh>
    <rPh sb="9" eb="11">
      <t>カワゴエ</t>
    </rPh>
    <rPh sb="18" eb="19">
      <t>カイ</t>
    </rPh>
    <phoneticPr fontId="2"/>
  </si>
  <si>
    <t>(有)来楽</t>
    <rPh sb="1" eb="2">
      <t>ア</t>
    </rPh>
    <rPh sb="3" eb="4">
      <t>ライ</t>
    </rPh>
    <rPh sb="4" eb="5">
      <t>ラク</t>
    </rPh>
    <phoneticPr fontId="5"/>
  </si>
  <si>
    <t>(株)ウィンブル</t>
    <rPh sb="0" eb="3">
      <t>カブ</t>
    </rPh>
    <phoneticPr fontId="5"/>
  </si>
  <si>
    <t>(株)ライフサービス</t>
    <rPh sb="1" eb="2">
      <t>カブ</t>
    </rPh>
    <phoneticPr fontId="5"/>
  </si>
  <si>
    <t>(株)手つなぎホーム</t>
    <rPh sb="0" eb="3">
      <t>カブ</t>
    </rPh>
    <rPh sb="3" eb="4">
      <t>テ</t>
    </rPh>
    <phoneticPr fontId="5"/>
  </si>
  <si>
    <t>(株)パザパ・エンターテイメント</t>
    <rPh sb="0" eb="3">
      <t>カブ</t>
    </rPh>
    <phoneticPr fontId="5"/>
  </si>
  <si>
    <t>(一社）プラスえがお</t>
    <rPh sb="1" eb="2">
      <t>イチ</t>
    </rPh>
    <rPh sb="2" eb="3">
      <t>シャ</t>
    </rPh>
    <phoneticPr fontId="2"/>
  </si>
  <si>
    <t>えがお工房</t>
    <rPh sb="3" eb="5">
      <t>コウボウ</t>
    </rPh>
    <phoneticPr fontId="2"/>
  </si>
  <si>
    <t>小島南2-5-11
竹内第二ビル2F</t>
    <rPh sb="0" eb="2">
      <t>コジマ</t>
    </rPh>
    <rPh sb="2" eb="3">
      <t>ミナミ</t>
    </rPh>
    <rPh sb="10" eb="12">
      <t>タケウチ</t>
    </rPh>
    <rPh sb="12" eb="13">
      <t>ダイ</t>
    </rPh>
    <rPh sb="13" eb="14">
      <t>２</t>
    </rPh>
    <phoneticPr fontId="2"/>
  </si>
  <si>
    <t>0495-24-6750</t>
    <phoneticPr fontId="2"/>
  </si>
  <si>
    <t>高崎線本庄駅南口から朝日バス神泉総合支所行き「小島南」下車徒歩2分</t>
    <rPh sb="0" eb="3">
      <t>タカサキセン</t>
    </rPh>
    <rPh sb="3" eb="5">
      <t>ホンジョウ</t>
    </rPh>
    <rPh sb="5" eb="6">
      <t>エキ</t>
    </rPh>
    <rPh sb="6" eb="8">
      <t>ミナミグチ</t>
    </rPh>
    <rPh sb="10" eb="12">
      <t>アサヒ</t>
    </rPh>
    <rPh sb="14" eb="15">
      <t>カミ</t>
    </rPh>
    <rPh sb="15" eb="16">
      <t>イズミ</t>
    </rPh>
    <rPh sb="16" eb="18">
      <t>ソウゴウ</t>
    </rPh>
    <rPh sb="18" eb="20">
      <t>シショ</t>
    </rPh>
    <rPh sb="20" eb="21">
      <t>イ</t>
    </rPh>
    <rPh sb="23" eb="25">
      <t>コジマ</t>
    </rPh>
    <rPh sb="25" eb="26">
      <t>ミナミ</t>
    </rPh>
    <rPh sb="27" eb="29">
      <t>ゲシャ</t>
    </rPh>
    <rPh sb="29" eb="31">
      <t>トホ</t>
    </rPh>
    <rPh sb="32" eb="33">
      <t>フン</t>
    </rPh>
    <phoneticPr fontId="2"/>
  </si>
  <si>
    <t>オリーブファーム</t>
    <phoneticPr fontId="2"/>
  </si>
  <si>
    <t>048-588-6118</t>
    <phoneticPr fontId="2"/>
  </si>
  <si>
    <t>048-588-8178</t>
    <phoneticPr fontId="2"/>
  </si>
  <si>
    <t>(株)ウェルフォレスト</t>
    <rPh sb="1" eb="2">
      <t>カブ</t>
    </rPh>
    <phoneticPr fontId="2"/>
  </si>
  <si>
    <t>高崎線熊谷駅下車朝日バス太田駅行き「妻沼川岸」下車徒歩13分</t>
    <rPh sb="0" eb="2">
      <t>タカサキ</t>
    </rPh>
    <rPh sb="2" eb="3">
      <t>セン</t>
    </rPh>
    <rPh sb="3" eb="5">
      <t>クマガヤ</t>
    </rPh>
    <rPh sb="5" eb="6">
      <t>エキ</t>
    </rPh>
    <rPh sb="6" eb="8">
      <t>ゲシャ</t>
    </rPh>
    <rPh sb="8" eb="10">
      <t>アサヒ</t>
    </rPh>
    <rPh sb="12" eb="15">
      <t>オオタエキ</t>
    </rPh>
    <rPh sb="15" eb="16">
      <t>イキ</t>
    </rPh>
    <rPh sb="18" eb="20">
      <t>メヌマ</t>
    </rPh>
    <rPh sb="20" eb="22">
      <t>カワギシ</t>
    </rPh>
    <rPh sb="23" eb="25">
      <t>ゲシャ</t>
    </rPh>
    <rPh sb="25" eb="27">
      <t>トホ</t>
    </rPh>
    <rPh sb="29" eb="30">
      <t>プン</t>
    </rPh>
    <phoneticPr fontId="2"/>
  </si>
  <si>
    <t>パーソルチャレンジ(株）</t>
    <rPh sb="10" eb="11">
      <t>かぶ</t>
    </rPh>
    <phoneticPr fontId="2" type="Hiragana"/>
  </si>
  <si>
    <t>WOOOLY（株）</t>
    <rPh sb="7" eb="8">
      <t>カブ</t>
    </rPh>
    <phoneticPr fontId="2"/>
  </si>
  <si>
    <t>ウェルビー（株）</t>
    <rPh sb="6" eb="7">
      <t>カブ</t>
    </rPh>
    <phoneticPr fontId="5"/>
  </si>
  <si>
    <t>(株)ライトハウス</t>
    <rPh sb="0" eb="3">
      <t>カブ</t>
    </rPh>
    <phoneticPr fontId="5"/>
  </si>
  <si>
    <t>（特非）生涯学習コーディネート協会</t>
    <rPh sb="1" eb="2">
      <t>トク</t>
    </rPh>
    <rPh sb="2" eb="3">
      <t>ヒ</t>
    </rPh>
    <rPh sb="4" eb="6">
      <t>ショウガイ</t>
    </rPh>
    <rPh sb="6" eb="8">
      <t>ガクシュウ</t>
    </rPh>
    <rPh sb="15" eb="17">
      <t>キョウカイ</t>
    </rPh>
    <phoneticPr fontId="5"/>
  </si>
  <si>
    <t>アイ・トライ（同）</t>
    <rPh sb="7" eb="8">
      <t>ドウ</t>
    </rPh>
    <phoneticPr fontId="5"/>
  </si>
  <si>
    <t>（福）ななくさ</t>
    <rPh sb="1" eb="2">
      <t>フク</t>
    </rPh>
    <phoneticPr fontId="5"/>
  </si>
  <si>
    <t>ハートバンク（株）</t>
    <rPh sb="7" eb="8">
      <t>カブ</t>
    </rPh>
    <phoneticPr fontId="2"/>
  </si>
  <si>
    <t>アイ・トライ（同）</t>
    <rPh sb="7" eb="8">
      <t>ドウ</t>
    </rPh>
    <phoneticPr fontId="2"/>
  </si>
  <si>
    <t>（福）けやきの郷</t>
    <rPh sb="1" eb="2">
      <t>フク</t>
    </rPh>
    <rPh sb="7" eb="8">
      <t>サト</t>
    </rPh>
    <phoneticPr fontId="2"/>
  </si>
  <si>
    <t>（福）和光福祉会</t>
    <rPh sb="1" eb="2">
      <t>フク</t>
    </rPh>
    <rPh sb="3" eb="5">
      <t>ワコウ</t>
    </rPh>
    <rPh sb="5" eb="7">
      <t>フクシ</t>
    </rPh>
    <rPh sb="7" eb="8">
      <t>カイ</t>
    </rPh>
    <phoneticPr fontId="2"/>
  </si>
  <si>
    <t>ＬＩＴＡＬＩＣＯワークス南越谷</t>
    <rPh sb="12" eb="15">
      <t>ミナミコシガヤ</t>
    </rPh>
    <phoneticPr fontId="2"/>
  </si>
  <si>
    <t>南越谷1-2875-2
南越谷ローヤルコーポ1Ｆ</t>
    <rPh sb="0" eb="3">
      <t>ミナミコシガヤ</t>
    </rPh>
    <rPh sb="12" eb="15">
      <t>ミナミコシガヤ</t>
    </rPh>
    <phoneticPr fontId="2"/>
  </si>
  <si>
    <t>048-961-6005</t>
    <phoneticPr fontId="2"/>
  </si>
  <si>
    <t>048-961-6006</t>
    <phoneticPr fontId="2"/>
  </si>
  <si>
    <t>ＪＲ武蔵野線南越谷駅徒歩5分</t>
    <rPh sb="2" eb="6">
      <t>ムサシノセン</t>
    </rPh>
    <rPh sb="6" eb="10">
      <t>ミナミコシガヤエキ</t>
    </rPh>
    <rPh sb="10" eb="12">
      <t>トホ</t>
    </rPh>
    <rPh sb="13" eb="14">
      <t>フン</t>
    </rPh>
    <phoneticPr fontId="2"/>
  </si>
  <si>
    <t>(株）ＬＩＴＡＬＩＣＯ</t>
    <rPh sb="1" eb="2">
      <t>カブ</t>
    </rPh>
    <phoneticPr fontId="2"/>
  </si>
  <si>
    <t>かつら</t>
    <phoneticPr fontId="2"/>
  </si>
  <si>
    <t>南町1-10-5</t>
    <rPh sb="0" eb="2">
      <t>ミナミチョウ</t>
    </rPh>
    <phoneticPr fontId="2"/>
  </si>
  <si>
    <t>343-0832</t>
    <phoneticPr fontId="2"/>
  </si>
  <si>
    <t>東武スカイツリーライン蒲生駅徒歩22分</t>
    <rPh sb="0" eb="2">
      <t>トウブ</t>
    </rPh>
    <rPh sb="11" eb="13">
      <t>ガモウ</t>
    </rPh>
    <rPh sb="13" eb="14">
      <t>エキ</t>
    </rPh>
    <rPh sb="14" eb="16">
      <t>トホ</t>
    </rPh>
    <rPh sb="18" eb="19">
      <t>フン</t>
    </rPh>
    <phoneticPr fontId="2"/>
  </si>
  <si>
    <t>のぞみリハビリテーション</t>
    <phoneticPr fontId="2"/>
  </si>
  <si>
    <t>336-0035</t>
  </si>
  <si>
    <t>048-711-2401</t>
  </si>
  <si>
    <t>048-711-2405</t>
  </si>
  <si>
    <t>20</t>
    <phoneticPr fontId="2"/>
  </si>
  <si>
    <t>ショートステイ　しらさぎ</t>
  </si>
  <si>
    <t>339-0032</t>
  </si>
  <si>
    <t>048-791-2528</t>
  </si>
  <si>
    <t>048-798-6811</t>
  </si>
  <si>
    <t>ＪＲ武蔵浦和駅から徒歩4分</t>
    <rPh sb="2" eb="6">
      <t>ムサシウラワ</t>
    </rPh>
    <rPh sb="6" eb="7">
      <t>エキ</t>
    </rPh>
    <rPh sb="9" eb="11">
      <t>トホ</t>
    </rPh>
    <rPh sb="12" eb="13">
      <t>フン</t>
    </rPh>
    <phoneticPr fontId="2"/>
  </si>
  <si>
    <t>(株)ウォントスタッフ</t>
    <rPh sb="0" eb="3">
      <t>カブ</t>
    </rPh>
    <phoneticPr fontId="3"/>
  </si>
  <si>
    <t>（福）城南会</t>
    <rPh sb="1" eb="2">
      <t>フク</t>
    </rPh>
    <rPh sb="3" eb="5">
      <t>ジョウナン</t>
    </rPh>
    <rPh sb="5" eb="6">
      <t>カイ</t>
    </rPh>
    <phoneticPr fontId="5"/>
  </si>
  <si>
    <t>南区四谷3－13－15　セントエルモ武蔵浦和１F</t>
    <rPh sb="0" eb="2">
      <t>ミナミク</t>
    </rPh>
    <rPh sb="2" eb="4">
      <t>ヨツヤ</t>
    </rPh>
    <rPh sb="18" eb="22">
      <t>ムサシウラワ</t>
    </rPh>
    <phoneticPr fontId="2"/>
  </si>
  <si>
    <t>南区白幡３－１０－１１　細淵ビル５Ｆ</t>
    <rPh sb="0" eb="2">
      <t>ミナミク</t>
    </rPh>
    <rPh sb="2" eb="4">
      <t>シラハタ</t>
    </rPh>
    <rPh sb="12" eb="14">
      <t>ホソブチ</t>
    </rPh>
    <phoneticPr fontId="5"/>
  </si>
  <si>
    <t>たんぽぽファーム</t>
  </si>
  <si>
    <t>048-872-7808</t>
  </si>
  <si>
    <t>大宮駅東口から国際興業バス「片柳郵便局」下車徒歩5分</t>
    <rPh sb="14" eb="16">
      <t>カタヤナギ</t>
    </rPh>
    <rPh sb="16" eb="19">
      <t>ユウビンキョク</t>
    </rPh>
    <phoneticPr fontId="2"/>
  </si>
  <si>
    <t>（株）たんぽぽ</t>
    <rPh sb="1" eb="2">
      <t>カブ</t>
    </rPh>
    <phoneticPr fontId="5"/>
  </si>
  <si>
    <t>(公社）やどかりの里</t>
    <rPh sb="1" eb="3">
      <t>コウシャ</t>
    </rPh>
    <rPh sb="9" eb="10">
      <t>サト</t>
    </rPh>
    <phoneticPr fontId="3"/>
  </si>
  <si>
    <t>大宮区土手町３－１６５－９　昌栄ＭＩビル１階</t>
    <rPh sb="0" eb="2">
      <t>オオミヤ</t>
    </rPh>
    <rPh sb="2" eb="3">
      <t>ク</t>
    </rPh>
    <rPh sb="3" eb="6">
      <t>ドテチョウ</t>
    </rPh>
    <rPh sb="14" eb="15">
      <t>アキラ</t>
    </rPh>
    <rPh sb="15" eb="16">
      <t>サカエ</t>
    </rPh>
    <rPh sb="21" eb="22">
      <t>カイ</t>
    </rPh>
    <phoneticPr fontId="5"/>
  </si>
  <si>
    <t>330-0801</t>
    <phoneticPr fontId="2"/>
  </si>
  <si>
    <t>334-0012</t>
    <phoneticPr fontId="2" type="Hiragana"/>
  </si>
  <si>
    <t>048-284-5803</t>
    <phoneticPr fontId="2" type="Hiragana"/>
  </si>
  <si>
    <t>048-284-5831</t>
    <phoneticPr fontId="2" type="Hiragana"/>
  </si>
  <si>
    <t>350-1222</t>
    <phoneticPr fontId="2"/>
  </si>
  <si>
    <t>042-978-5104</t>
    <phoneticPr fontId="2"/>
  </si>
  <si>
    <t>042-978-5114</t>
    <phoneticPr fontId="2"/>
  </si>
  <si>
    <t>○</t>
    <phoneticPr fontId="2"/>
  </si>
  <si>
    <t>(特非)颸埜扉</t>
    <phoneticPr fontId="2"/>
  </si>
  <si>
    <t>04-2926-5744</t>
    <phoneticPr fontId="2"/>
  </si>
  <si>
    <t>ぽかぽかハート・ヴィレッジ</t>
    <phoneticPr fontId="2"/>
  </si>
  <si>
    <t>357-0021</t>
    <phoneticPr fontId="2"/>
  </si>
  <si>
    <t>042-978-8638</t>
    <phoneticPr fontId="2"/>
  </si>
  <si>
    <t>048-978-6539</t>
  </si>
  <si>
    <t>吉川フレンドパーク</t>
    <phoneticPr fontId="2"/>
  </si>
  <si>
    <t>(医)満寿会</t>
    <rPh sb="3" eb="4">
      <t>ミチル</t>
    </rPh>
    <rPh sb="4" eb="5">
      <t>ジュ</t>
    </rPh>
    <rPh sb="5" eb="6">
      <t>カイ</t>
    </rPh>
    <phoneticPr fontId="2"/>
  </si>
  <si>
    <t>鶴ヶ島在宅医療診療所</t>
    <rPh sb="0" eb="2">
      <t>ツルガシマ</t>
    </rPh>
    <rPh sb="2" eb="4">
      <t>ザイタク</t>
    </rPh>
    <rPh sb="4" eb="6">
      <t>イリョウ</t>
    </rPh>
    <rPh sb="6" eb="9">
      <t>シンリョウジョ</t>
    </rPh>
    <phoneticPr fontId="2"/>
  </si>
  <si>
    <t>大字高倉字三ノ輪772-1</t>
    <rPh sb="0" eb="2">
      <t>オオアザ</t>
    </rPh>
    <rPh sb="2" eb="4">
      <t>タカクラ</t>
    </rPh>
    <rPh sb="4" eb="5">
      <t>アザ</t>
    </rPh>
    <rPh sb="5" eb="6">
      <t>ミ</t>
    </rPh>
    <rPh sb="7" eb="8">
      <t>ワ</t>
    </rPh>
    <phoneticPr fontId="2"/>
  </si>
  <si>
    <t>350-2223</t>
    <phoneticPr fontId="2"/>
  </si>
  <si>
    <t>049-287-6519</t>
    <phoneticPr fontId="2"/>
  </si>
  <si>
    <t>049-287-8471</t>
    <phoneticPr fontId="2"/>
  </si>
  <si>
    <t>西部</t>
  </si>
  <si>
    <t>樋籠627</t>
    <rPh sb="0" eb="1">
      <t>ヒ</t>
    </rPh>
    <rPh sb="1" eb="2">
      <t>カゴ</t>
    </rPh>
    <phoneticPr fontId="2"/>
  </si>
  <si>
    <t>048-752-7912</t>
    <phoneticPr fontId="2"/>
  </si>
  <si>
    <t>048-792-0348</t>
    <phoneticPr fontId="2"/>
  </si>
  <si>
    <t>○</t>
    <phoneticPr fontId="2"/>
  </si>
  <si>
    <t>さやか</t>
    <phoneticPr fontId="2"/>
  </si>
  <si>
    <t>(株)ココルポート</t>
    <rPh sb="0" eb="3">
      <t>カブ</t>
    </rPh>
    <phoneticPr fontId="2"/>
  </si>
  <si>
    <t>Cocorport 所沢Office</t>
    <rPh sb="10" eb="12">
      <t>トコロザワ</t>
    </rPh>
    <phoneticPr fontId="2"/>
  </si>
  <si>
    <t>(株）ココルポート</t>
    <rPh sb="1" eb="2">
      <t>カブ</t>
    </rPh>
    <phoneticPr fontId="2"/>
  </si>
  <si>
    <t>Cocorport 朝霞台Office</t>
    <rPh sb="10" eb="13">
      <t>アサカダイ</t>
    </rPh>
    <phoneticPr fontId="2"/>
  </si>
  <si>
    <t>(株）スターライン</t>
    <rPh sb="1" eb="2">
      <t>カブ</t>
    </rPh>
    <phoneticPr fontId="2"/>
  </si>
  <si>
    <t>さくらんぼ</t>
    <phoneticPr fontId="2"/>
  </si>
  <si>
    <t>箕田3916-7</t>
    <rPh sb="0" eb="2">
      <t>ミノダ</t>
    </rPh>
    <phoneticPr fontId="2"/>
  </si>
  <si>
    <t>048-595-0511</t>
    <phoneticPr fontId="2"/>
  </si>
  <si>
    <t>048-595-0512</t>
    <phoneticPr fontId="2"/>
  </si>
  <si>
    <t>高崎線鴻巣駅東口からフラワーバス中山道コース「二本木」下車徒歩2分</t>
    <rPh sb="0" eb="3">
      <t>タカサキセン</t>
    </rPh>
    <rPh sb="3" eb="6">
      <t>コウノスエキ</t>
    </rPh>
    <rPh sb="6" eb="8">
      <t>ヒガシグチ</t>
    </rPh>
    <rPh sb="16" eb="19">
      <t>ナカセンドウ</t>
    </rPh>
    <rPh sb="23" eb="26">
      <t>ニホンギ</t>
    </rPh>
    <rPh sb="27" eb="29">
      <t>ゲシャ</t>
    </rPh>
    <rPh sb="29" eb="31">
      <t>トホ</t>
    </rPh>
    <rPh sb="32" eb="33">
      <t>フン</t>
    </rPh>
    <phoneticPr fontId="2"/>
  </si>
  <si>
    <t>(一社）ラフィオ</t>
    <rPh sb="1" eb="3">
      <t>イチシャ</t>
    </rPh>
    <phoneticPr fontId="2"/>
  </si>
  <si>
    <t>ラフィオ熊谷</t>
    <rPh sb="4" eb="6">
      <t>クマガヤ</t>
    </rPh>
    <phoneticPr fontId="2"/>
  </si>
  <si>
    <t>銀座2-33熊谷クレセントビル2F</t>
    <rPh sb="0" eb="2">
      <t>ギンザ</t>
    </rPh>
    <rPh sb="6" eb="8">
      <t>クマガヤ</t>
    </rPh>
    <phoneticPr fontId="2"/>
  </si>
  <si>
    <t>360-0032</t>
    <phoneticPr fontId="2"/>
  </si>
  <si>
    <t>048-577-8631</t>
    <phoneticPr fontId="2"/>
  </si>
  <si>
    <t>048-577-8632</t>
    <phoneticPr fontId="2"/>
  </si>
  <si>
    <t>○</t>
    <phoneticPr fontId="2"/>
  </si>
  <si>
    <t>熊谷駅東口から徒歩2分</t>
    <rPh sb="0" eb="2">
      <t>クマガヤ</t>
    </rPh>
    <rPh sb="2" eb="3">
      <t>エキ</t>
    </rPh>
    <rPh sb="3" eb="5">
      <t>ヒガシグチ</t>
    </rPh>
    <rPh sb="7" eb="9">
      <t>トホ</t>
    </rPh>
    <rPh sb="10" eb="11">
      <t>フン</t>
    </rPh>
    <phoneticPr fontId="2"/>
  </si>
  <si>
    <t>オードリー</t>
    <phoneticPr fontId="2"/>
  </si>
  <si>
    <t>355-0075</t>
    <phoneticPr fontId="2"/>
  </si>
  <si>
    <t>0493-59-9671</t>
    <phoneticPr fontId="2"/>
  </si>
  <si>
    <t>0493-59-9672</t>
    <phoneticPr fontId="2"/>
  </si>
  <si>
    <t>○</t>
    <phoneticPr fontId="2"/>
  </si>
  <si>
    <t>シンフォニー</t>
    <phoneticPr fontId="2"/>
  </si>
  <si>
    <t>0493-59-9007</t>
    <phoneticPr fontId="2"/>
  </si>
  <si>
    <t>0493-59-9008</t>
    <phoneticPr fontId="2"/>
  </si>
  <si>
    <t>○</t>
    <phoneticPr fontId="2"/>
  </si>
  <si>
    <t>お菓子工房藁藁</t>
    <rPh sb="1" eb="3">
      <t>カシ</t>
    </rPh>
    <rPh sb="3" eb="5">
      <t>コウボウ</t>
    </rPh>
    <rPh sb="5" eb="6">
      <t>ワラ</t>
    </rPh>
    <rPh sb="6" eb="7">
      <t>ワラ</t>
    </rPh>
    <phoneticPr fontId="2"/>
  </si>
  <si>
    <t>大原1-6-21ふじみ野グリーンビル</t>
    <rPh sb="0" eb="2">
      <t>オオハラ</t>
    </rPh>
    <rPh sb="11" eb="12">
      <t>ノ</t>
    </rPh>
    <phoneticPr fontId="2"/>
  </si>
  <si>
    <t>356-0003</t>
    <phoneticPr fontId="2"/>
  </si>
  <si>
    <t>049-293-4257</t>
    <phoneticPr fontId="2"/>
  </si>
  <si>
    <t>049-293-4267</t>
    <phoneticPr fontId="2"/>
  </si>
  <si>
    <t>○</t>
    <phoneticPr fontId="2"/>
  </si>
  <si>
    <t>東武東上線上福岡駅から徒歩8分</t>
    <rPh sb="0" eb="2">
      <t>トウブ</t>
    </rPh>
    <rPh sb="2" eb="5">
      <t>トウジョウセン</t>
    </rPh>
    <rPh sb="5" eb="8">
      <t>カミフクオカ</t>
    </rPh>
    <rPh sb="8" eb="9">
      <t>エキ</t>
    </rPh>
    <rPh sb="11" eb="13">
      <t>トホ</t>
    </rPh>
    <rPh sb="14" eb="15">
      <t>プン</t>
    </rPh>
    <phoneticPr fontId="2"/>
  </si>
  <si>
    <t>(特非)jogo</t>
    <rPh sb="1" eb="2">
      <t>トク</t>
    </rPh>
    <rPh sb="2" eb="3">
      <t>ヒ</t>
    </rPh>
    <phoneticPr fontId="2"/>
  </si>
  <si>
    <t>多機能型事業所 FLEEK SQUAD</t>
    <rPh sb="0" eb="4">
      <t>タキノウガタ</t>
    </rPh>
    <rPh sb="4" eb="7">
      <t>ジギョウショ</t>
    </rPh>
    <phoneticPr fontId="2"/>
  </si>
  <si>
    <t>五領町1-27</t>
    <rPh sb="0" eb="1">
      <t>ゴ</t>
    </rPh>
    <rPh sb="1" eb="2">
      <t>リョウ</t>
    </rPh>
    <rPh sb="2" eb="3">
      <t>マチ</t>
    </rPh>
    <phoneticPr fontId="2"/>
  </si>
  <si>
    <t>355-0031</t>
    <phoneticPr fontId="2"/>
  </si>
  <si>
    <t>049-388-8144</t>
    <phoneticPr fontId="2"/>
  </si>
  <si>
    <t>049-388-8144</t>
  </si>
  <si>
    <t>東武東上線東松山駅からパークタウン五領線「市民文化センター」下車又は車で5分</t>
    <rPh sb="0" eb="5">
      <t>トウブトウジョウセン</t>
    </rPh>
    <rPh sb="5" eb="8">
      <t>ヒガシマツヤマ</t>
    </rPh>
    <rPh sb="8" eb="9">
      <t>エキ</t>
    </rPh>
    <rPh sb="17" eb="18">
      <t>ゴ</t>
    </rPh>
    <rPh sb="18" eb="19">
      <t>リョウ</t>
    </rPh>
    <rPh sb="19" eb="20">
      <t>セン</t>
    </rPh>
    <rPh sb="21" eb="23">
      <t>シミン</t>
    </rPh>
    <rPh sb="23" eb="25">
      <t>ブンカ</t>
    </rPh>
    <rPh sb="30" eb="32">
      <t>ゲシャ</t>
    </rPh>
    <rPh sb="32" eb="33">
      <t>マタ</t>
    </rPh>
    <rPh sb="34" eb="35">
      <t>クルマ</t>
    </rPh>
    <rPh sb="37" eb="38">
      <t>フン</t>
    </rPh>
    <phoneticPr fontId="2"/>
  </si>
  <si>
    <t>353-0001</t>
    <phoneticPr fontId="2"/>
  </si>
  <si>
    <t>048-473-6780</t>
    <phoneticPr fontId="2"/>
  </si>
  <si>
    <t>048-473-6771</t>
    <phoneticPr fontId="2"/>
  </si>
  <si>
    <t>○</t>
    <phoneticPr fontId="2"/>
  </si>
  <si>
    <t>Cocorport　南越谷駅前Office</t>
    <phoneticPr fontId="2"/>
  </si>
  <si>
    <t>（株）ココルポート</t>
    <rPh sb="1" eb="2">
      <t>カブ</t>
    </rPh>
    <phoneticPr fontId="2"/>
  </si>
  <si>
    <t>大宮区大門町３－１９７　星野第２ビル２階Ｃ</t>
    <phoneticPr fontId="2"/>
  </si>
  <si>
    <t>048-729-7390</t>
    <phoneticPr fontId="2"/>
  </si>
  <si>
    <t>048-729-7391</t>
  </si>
  <si>
    <t>ＪＲ大宮駅東口　徒歩６分</t>
    <rPh sb="2" eb="4">
      <t>オオミヤ</t>
    </rPh>
    <rPh sb="4" eb="5">
      <t>エキ</t>
    </rPh>
    <rPh sb="5" eb="7">
      <t>ヒガシグチ</t>
    </rPh>
    <rPh sb="8" eb="10">
      <t>トホ</t>
    </rPh>
    <rPh sb="11" eb="12">
      <t>フン</t>
    </rPh>
    <phoneticPr fontId="2"/>
  </si>
  <si>
    <t>アクセスジョブさいたま</t>
  </si>
  <si>
    <t>048-797-7920</t>
  </si>
  <si>
    <t>048-797-7940</t>
  </si>
  <si>
    <t>多機能型事業所ぱらだいすかふぇ</t>
    <rPh sb="0" eb="4">
      <t>タキノウガタ</t>
    </rPh>
    <rPh sb="4" eb="7">
      <t>ジギョウショ</t>
    </rPh>
    <phoneticPr fontId="5"/>
  </si>
  <si>
    <t>（一社）あるかでぃあ</t>
    <rPh sb="1" eb="2">
      <t>イチ</t>
    </rPh>
    <rPh sb="2" eb="3">
      <t>シャ</t>
    </rPh>
    <phoneticPr fontId="5"/>
  </si>
  <si>
    <t>Ｃｏｃｏｒｐｏｒｔ大宮Ｏｆｆｉｃｅ</t>
    <rPh sb="9" eb="11">
      <t>オオミヤ</t>
    </rPh>
    <phoneticPr fontId="5"/>
  </si>
  <si>
    <t>(株）ココルポート</t>
    <rPh sb="1" eb="2">
      <t>カブ</t>
    </rPh>
    <phoneticPr fontId="5"/>
  </si>
  <si>
    <t>Ｃｏｃｏｒｐｏｒｔ大宮第２Ｏｆｆｉｃｅ</t>
    <rPh sb="9" eb="11">
      <t>オオミヤ</t>
    </rPh>
    <rPh sb="11" eb="12">
      <t>ダイ</t>
    </rPh>
    <phoneticPr fontId="5"/>
  </si>
  <si>
    <t>（株）ココルポート</t>
    <rPh sb="1" eb="2">
      <t>カブ</t>
    </rPh>
    <phoneticPr fontId="5"/>
  </si>
  <si>
    <t>Ｃｏｃｏｒｐｏｒｔ武蔵浦和Ｏｆｆｉｃｅ</t>
    <rPh sb="9" eb="13">
      <t>ムサシウラワ</t>
    </rPh>
    <phoneticPr fontId="5"/>
  </si>
  <si>
    <t>東武東上線和光市駅下車徒歩18分
※共生型</t>
    <rPh sb="0" eb="5">
      <t>トウブトウジョウセン</t>
    </rPh>
    <rPh sb="5" eb="9">
      <t>ワコウシエキ</t>
    </rPh>
    <rPh sb="9" eb="11">
      <t>ゲシャ</t>
    </rPh>
    <rPh sb="11" eb="13">
      <t>トホ</t>
    </rPh>
    <rPh sb="15" eb="16">
      <t>フン</t>
    </rPh>
    <rPh sb="18" eb="21">
      <t>キョウセイガタ</t>
    </rPh>
    <phoneticPr fontId="2"/>
  </si>
  <si>
    <t>八高線折原駅徒歩3分
※共生型</t>
    <rPh sb="0" eb="3">
      <t>ハチコウセン</t>
    </rPh>
    <rPh sb="3" eb="6">
      <t>オリハラエキ</t>
    </rPh>
    <rPh sb="6" eb="8">
      <t>トホ</t>
    </rPh>
    <rPh sb="9" eb="10">
      <t>フン</t>
    </rPh>
    <rPh sb="12" eb="15">
      <t>キョウセイガタ</t>
    </rPh>
    <phoneticPr fontId="2"/>
  </si>
  <si>
    <t>高崎線深谷駅から徒歩15分
※共生型</t>
    <rPh sb="0" eb="3">
      <t>タカサキセン</t>
    </rPh>
    <rPh sb="3" eb="6">
      <t>フカヤエキ</t>
    </rPh>
    <rPh sb="8" eb="10">
      <t>トホ</t>
    </rPh>
    <rPh sb="12" eb="13">
      <t>フン</t>
    </rPh>
    <rPh sb="15" eb="18">
      <t>キョウセイガタ</t>
    </rPh>
    <phoneticPr fontId="2"/>
  </si>
  <si>
    <t>ＪＲ埼京線・武蔵野線　武蔵浦和駅より徒歩13分
※共生型</t>
    <rPh sb="2" eb="5">
      <t>サイキョウセン</t>
    </rPh>
    <rPh sb="6" eb="10">
      <t>ムサシノセン</t>
    </rPh>
    <rPh sb="11" eb="16">
      <t>ムサシウラワエキ</t>
    </rPh>
    <rPh sb="18" eb="20">
      <t>トホ</t>
    </rPh>
    <rPh sb="22" eb="23">
      <t>フン</t>
    </rPh>
    <rPh sb="25" eb="28">
      <t>キョウセイガタ</t>
    </rPh>
    <phoneticPr fontId="2"/>
  </si>
  <si>
    <t>桜木町1-7-9 武州熊谷駅前ビル3階</t>
    <rPh sb="0" eb="2">
      <t>サクラギ</t>
    </rPh>
    <rPh sb="2" eb="3">
      <t>マチ</t>
    </rPh>
    <rPh sb="9" eb="11">
      <t>ブシュウ</t>
    </rPh>
    <rPh sb="11" eb="13">
      <t>クマガヤ</t>
    </rPh>
    <rPh sb="13" eb="14">
      <t>エキ</t>
    </rPh>
    <rPh sb="14" eb="15">
      <t>マエ</t>
    </rPh>
    <rPh sb="18" eb="19">
      <t>カイ</t>
    </rPh>
    <phoneticPr fontId="2"/>
  </si>
  <si>
    <t>シャローム浦和</t>
    <rPh sb="4" eb="6">
      <t>ウラワ</t>
    </rPh>
    <phoneticPr fontId="5"/>
  </si>
  <si>
    <t>048-827-1700</t>
  </si>
  <si>
    <t>048-827-1701</t>
  </si>
  <si>
    <t>ＪＲ浦和駅　西口徒歩４分</t>
    <rPh sb="2" eb="5">
      <t>ウラワエキ</t>
    </rPh>
    <rPh sb="6" eb="8">
      <t>ニシグチ</t>
    </rPh>
    <rPh sb="8" eb="10">
      <t>トホ</t>
    </rPh>
    <rPh sb="11" eb="12">
      <t>フン</t>
    </rPh>
    <phoneticPr fontId="2"/>
  </si>
  <si>
    <t>ミライズ土呂</t>
    <rPh sb="3" eb="5">
      <t>トロ</t>
    </rPh>
    <phoneticPr fontId="5"/>
  </si>
  <si>
    <t>北区土呂町１－３９－４</t>
    <rPh sb="0" eb="1">
      <t>キタ</t>
    </rPh>
    <rPh sb="1" eb="3">
      <t>トロ</t>
    </rPh>
    <rPh sb="3" eb="4">
      <t>マチ</t>
    </rPh>
    <phoneticPr fontId="5"/>
  </si>
  <si>
    <t>331-0804</t>
  </si>
  <si>
    <t>048-871-8939</t>
  </si>
  <si>
    <t>ＪＲ土呂駅　西口徒歩5分</t>
    <rPh sb="2" eb="4">
      <t>トロ</t>
    </rPh>
    <rPh sb="4" eb="5">
      <t>エキ</t>
    </rPh>
    <rPh sb="6" eb="8">
      <t>ニシグチ</t>
    </rPh>
    <rPh sb="8" eb="10">
      <t>トホ</t>
    </rPh>
    <rPh sb="11" eb="12">
      <t>フン</t>
    </rPh>
    <phoneticPr fontId="2"/>
  </si>
  <si>
    <t>(株）ジェイド</t>
    <rPh sb="1" eb="2">
      <t>カブ</t>
    </rPh>
    <phoneticPr fontId="5"/>
  </si>
  <si>
    <t>048-812-4593</t>
  </si>
  <si>
    <t>048-812-4594</t>
  </si>
  <si>
    <t>ソーシャルインクルー(株）</t>
    <rPh sb="11" eb="12">
      <t>カブ</t>
    </rPh>
    <phoneticPr fontId="5"/>
  </si>
  <si>
    <t>Cocorport川越Office</t>
    <phoneticPr fontId="2"/>
  </si>
  <si>
    <t>（株）ココルポート</t>
    <phoneticPr fontId="2"/>
  </si>
  <si>
    <t>Cocorport　川越第２Office</t>
  </si>
  <si>
    <t>332-0031</t>
    <phoneticPr fontId="2" type="Hiragana"/>
  </si>
  <si>
    <t>332-0002</t>
    <phoneticPr fontId="2" type="Hiragana"/>
  </si>
  <si>
    <t>048-299-5192</t>
    <phoneticPr fontId="2" type="Hiragana"/>
  </si>
  <si>
    <t>048-299-5193</t>
    <phoneticPr fontId="2" type="Hiragana"/>
  </si>
  <si>
    <t>(一社）ア・ドマーニ</t>
    <rPh sb="1" eb="3">
      <t>イチシャ</t>
    </rPh>
    <phoneticPr fontId="2"/>
  </si>
  <si>
    <t>ア・ドマーニ春日部</t>
    <rPh sb="6" eb="9">
      <t>カスカベ</t>
    </rPh>
    <phoneticPr fontId="2"/>
  </si>
  <si>
    <t>中央1丁目11-1M3ビル3階</t>
    <rPh sb="0" eb="2">
      <t>チュウオウ</t>
    </rPh>
    <rPh sb="3" eb="5">
      <t>チョウメ</t>
    </rPh>
    <rPh sb="14" eb="15">
      <t>カイ</t>
    </rPh>
    <phoneticPr fontId="2"/>
  </si>
  <si>
    <t>344-0067</t>
    <phoneticPr fontId="2"/>
  </si>
  <si>
    <t>048-812-4073</t>
    <phoneticPr fontId="2"/>
  </si>
  <si>
    <t>048-812-4074</t>
    <phoneticPr fontId="2"/>
  </si>
  <si>
    <t>○</t>
    <phoneticPr fontId="2"/>
  </si>
  <si>
    <t>東武伊勢崎線、野田線春日部駅から徒歩１分半</t>
    <rPh sb="0" eb="2">
      <t>トウブ</t>
    </rPh>
    <rPh sb="2" eb="5">
      <t>イセサキ</t>
    </rPh>
    <rPh sb="5" eb="6">
      <t>セン</t>
    </rPh>
    <rPh sb="7" eb="10">
      <t>ノダセン</t>
    </rPh>
    <rPh sb="10" eb="13">
      <t>カスカベ</t>
    </rPh>
    <rPh sb="13" eb="14">
      <t>エキ</t>
    </rPh>
    <rPh sb="16" eb="18">
      <t>トホ</t>
    </rPh>
    <rPh sb="19" eb="20">
      <t>プン</t>
    </rPh>
    <rPh sb="20" eb="21">
      <t>ハン</t>
    </rPh>
    <phoneticPr fontId="2"/>
  </si>
  <si>
    <t>（株）リライブ</t>
    <rPh sb="1" eb="2">
      <t>カブ</t>
    </rPh>
    <phoneticPr fontId="2"/>
  </si>
  <si>
    <t>リライブ</t>
    <phoneticPr fontId="2"/>
  </si>
  <si>
    <t>中2丁目13番22号</t>
    <rPh sb="0" eb="1">
      <t>ナカ</t>
    </rPh>
    <rPh sb="2" eb="4">
      <t>チョウメ</t>
    </rPh>
    <rPh sb="6" eb="7">
      <t>バン</t>
    </rPh>
    <rPh sb="9" eb="10">
      <t>ゴウ</t>
    </rPh>
    <phoneticPr fontId="2"/>
  </si>
  <si>
    <t>340-0115</t>
    <phoneticPr fontId="2"/>
  </si>
  <si>
    <t>048-038-9132</t>
    <phoneticPr fontId="2"/>
  </si>
  <si>
    <t>幸手駅から徒歩5分</t>
    <rPh sb="0" eb="2">
      <t>サッテ</t>
    </rPh>
    <rPh sb="2" eb="3">
      <t>エキ</t>
    </rPh>
    <rPh sb="5" eb="7">
      <t>トホ</t>
    </rPh>
    <rPh sb="8" eb="9">
      <t>フン</t>
    </rPh>
    <phoneticPr fontId="2"/>
  </si>
  <si>
    <t>Cocorport春日部駅前Office</t>
    <rPh sb="9" eb="12">
      <t>カスカベ</t>
    </rPh>
    <rPh sb="12" eb="14">
      <t>エキマエ</t>
    </rPh>
    <phoneticPr fontId="2"/>
  </si>
  <si>
    <t>中央1-51-12ハルキヤビル3階</t>
    <rPh sb="0" eb="2">
      <t>チュウオウ</t>
    </rPh>
    <rPh sb="16" eb="17">
      <t>カイ</t>
    </rPh>
    <phoneticPr fontId="2"/>
  </si>
  <si>
    <t>048-812-4854</t>
    <phoneticPr fontId="2"/>
  </si>
  <si>
    <t>048-812-4864</t>
    <phoneticPr fontId="2"/>
  </si>
  <si>
    <t>東武伊勢崎線、東部野田線春日部駅から徒歩2分</t>
    <rPh sb="0" eb="2">
      <t>トウブ</t>
    </rPh>
    <rPh sb="2" eb="5">
      <t>イセサキ</t>
    </rPh>
    <rPh sb="5" eb="6">
      <t>セン</t>
    </rPh>
    <rPh sb="7" eb="9">
      <t>トウブ</t>
    </rPh>
    <rPh sb="9" eb="12">
      <t>ノダセン</t>
    </rPh>
    <rPh sb="12" eb="15">
      <t>カスカベ</t>
    </rPh>
    <rPh sb="15" eb="16">
      <t>エキ</t>
    </rPh>
    <rPh sb="18" eb="20">
      <t>トホ</t>
    </rPh>
    <rPh sb="21" eb="22">
      <t>フン</t>
    </rPh>
    <phoneticPr fontId="2"/>
  </si>
  <si>
    <t>（福）創和</t>
    <rPh sb="1" eb="2">
      <t>フク</t>
    </rPh>
    <rPh sb="3" eb="5">
      <t>ソウワ</t>
    </rPh>
    <phoneticPr fontId="2"/>
  </si>
  <si>
    <t>創和満天工房</t>
    <rPh sb="0" eb="1">
      <t>ハジメ</t>
    </rPh>
    <rPh sb="1" eb="2">
      <t>ワ</t>
    </rPh>
    <rPh sb="2" eb="3">
      <t>マン</t>
    </rPh>
    <rPh sb="3" eb="4">
      <t>テン</t>
    </rPh>
    <rPh sb="4" eb="6">
      <t>コウボウ</t>
    </rPh>
    <phoneticPr fontId="2"/>
  </si>
  <si>
    <t>東町1-10-3</t>
    <rPh sb="0" eb="2">
      <t>ヒガシチョウ</t>
    </rPh>
    <phoneticPr fontId="2"/>
  </si>
  <si>
    <t>04-2968-7341</t>
  </si>
  <si>
    <t>西武池袋線入間市駅から「ていーろーど」南コース武蔵藤沢駅行きバス「東町小学校」下車徒歩5分</t>
    <rPh sb="0" eb="2">
      <t>セイブ</t>
    </rPh>
    <rPh sb="2" eb="4">
      <t>イケブクロ</t>
    </rPh>
    <rPh sb="4" eb="5">
      <t>セン</t>
    </rPh>
    <rPh sb="5" eb="8">
      <t>イルマシ</t>
    </rPh>
    <rPh sb="8" eb="9">
      <t>エキ</t>
    </rPh>
    <rPh sb="19" eb="20">
      <t>ミナミ</t>
    </rPh>
    <rPh sb="23" eb="25">
      <t>ムサシ</t>
    </rPh>
    <rPh sb="25" eb="27">
      <t>フジサワ</t>
    </rPh>
    <rPh sb="27" eb="28">
      <t>エキ</t>
    </rPh>
    <rPh sb="28" eb="29">
      <t>イキ</t>
    </rPh>
    <rPh sb="33" eb="35">
      <t>ヒガシチョウ</t>
    </rPh>
    <rPh sb="35" eb="38">
      <t>ショウガッコウ</t>
    </rPh>
    <rPh sb="39" eb="41">
      <t>ゲシャ</t>
    </rPh>
    <rPh sb="41" eb="43">
      <t>トホ</t>
    </rPh>
    <rPh sb="44" eb="45">
      <t>プン</t>
    </rPh>
    <phoneticPr fontId="2"/>
  </si>
  <si>
    <t>（株）健生</t>
    <rPh sb="0" eb="3">
      <t>カブ</t>
    </rPh>
    <rPh sb="3" eb="5">
      <t>ケンセイ</t>
    </rPh>
    <phoneticPr fontId="2"/>
  </si>
  <si>
    <t>アグレ</t>
  </si>
  <si>
    <t>北原町866-17</t>
    <rPh sb="0" eb="3">
      <t>キタハラチョウ</t>
    </rPh>
    <phoneticPr fontId="2"/>
  </si>
  <si>
    <t>359-0004</t>
  </si>
  <si>
    <t>04-2998-0055</t>
  </si>
  <si>
    <t>04-2907-4302</t>
  </si>
  <si>
    <t>西武鉄道新宿線航空公園駅から西武バス「北原町中央」下車徒歩2分</t>
    <rPh sb="0" eb="2">
      <t>セイブ</t>
    </rPh>
    <rPh sb="2" eb="4">
      <t>テツドウ</t>
    </rPh>
    <rPh sb="4" eb="7">
      <t>シンジュクセン</t>
    </rPh>
    <rPh sb="7" eb="9">
      <t>コウクウ</t>
    </rPh>
    <rPh sb="9" eb="11">
      <t>コウエン</t>
    </rPh>
    <rPh sb="11" eb="12">
      <t>エキ</t>
    </rPh>
    <rPh sb="14" eb="16">
      <t>セイブ</t>
    </rPh>
    <rPh sb="19" eb="22">
      <t>キタハラチョウ</t>
    </rPh>
    <rPh sb="22" eb="24">
      <t>チュウオウ</t>
    </rPh>
    <rPh sb="25" eb="27">
      <t>ゲシャ</t>
    </rPh>
    <rPh sb="27" eb="29">
      <t>トホ</t>
    </rPh>
    <rPh sb="30" eb="31">
      <t>フン</t>
    </rPh>
    <phoneticPr fontId="2"/>
  </si>
  <si>
    <t>（株）みらいの窓口</t>
    <rPh sb="0" eb="3">
      <t>カブ</t>
    </rPh>
    <rPh sb="7" eb="9">
      <t>マドグチ</t>
    </rPh>
    <phoneticPr fontId="2"/>
  </si>
  <si>
    <t>みらいの窓口</t>
    <rPh sb="4" eb="6">
      <t>マドグチ</t>
    </rPh>
    <phoneticPr fontId="2"/>
  </si>
  <si>
    <t>東みずほ台1-2-8
セルテスみずほ203</t>
    <rPh sb="0" eb="1">
      <t>ヒガシ</t>
    </rPh>
    <rPh sb="4" eb="5">
      <t>ダイ</t>
    </rPh>
    <phoneticPr fontId="2"/>
  </si>
  <si>
    <t>354-0015</t>
  </si>
  <si>
    <t>049-265-3830</t>
  </si>
  <si>
    <t>049-293-8930</t>
  </si>
  <si>
    <t>東武東上線みずほ台駅から徒歩3分</t>
    <rPh sb="0" eb="2">
      <t>トウブ</t>
    </rPh>
    <rPh sb="2" eb="5">
      <t>トウジョウセン</t>
    </rPh>
    <rPh sb="8" eb="9">
      <t>ダイ</t>
    </rPh>
    <rPh sb="9" eb="10">
      <t>エキ</t>
    </rPh>
    <rPh sb="12" eb="14">
      <t>トホ</t>
    </rPh>
    <rPh sb="15" eb="16">
      <t>ブン</t>
    </rPh>
    <phoneticPr fontId="2"/>
  </si>
  <si>
    <t>朝霞市</t>
    <phoneticPr fontId="2"/>
  </si>
  <si>
    <t>048-487-7916</t>
    <phoneticPr fontId="2"/>
  </si>
  <si>
    <t>048-487-7918</t>
    <phoneticPr fontId="2"/>
  </si>
  <si>
    <t>○</t>
    <phoneticPr fontId="2"/>
  </si>
  <si>
    <t>（福）日和田会</t>
    <rPh sb="1" eb="2">
      <t>フク</t>
    </rPh>
    <rPh sb="3" eb="6">
      <t>ヒワダ</t>
    </rPh>
    <rPh sb="6" eb="7">
      <t>カイ</t>
    </rPh>
    <phoneticPr fontId="2"/>
  </si>
  <si>
    <t>第５かわせみ</t>
    <rPh sb="0" eb="1">
      <t>ダイ</t>
    </rPh>
    <phoneticPr fontId="2"/>
  </si>
  <si>
    <t>大字南平沢字四本木226-1</t>
    <rPh sb="0" eb="2">
      <t>オオアザ</t>
    </rPh>
    <rPh sb="2" eb="3">
      <t>ミナミ</t>
    </rPh>
    <rPh sb="3" eb="5">
      <t>ヒラサワ</t>
    </rPh>
    <rPh sb="5" eb="6">
      <t>アザ</t>
    </rPh>
    <rPh sb="6" eb="8">
      <t>ヨンホン</t>
    </rPh>
    <rPh sb="8" eb="9">
      <t>キ</t>
    </rPh>
    <phoneticPr fontId="2"/>
  </si>
  <si>
    <t>350-1206</t>
    <phoneticPr fontId="2"/>
  </si>
  <si>
    <t>042-980-7525</t>
    <phoneticPr fontId="2"/>
  </si>
  <si>
    <t>042-980-7526</t>
    <phoneticPr fontId="2"/>
  </si>
  <si>
    <t>ＪＲ八高線高麗川駅から埼玉医大行き国際興業バス「板仏」下車徒歩1分</t>
    <rPh sb="2" eb="5">
      <t>ハチコウセン</t>
    </rPh>
    <rPh sb="5" eb="9">
      <t>コマガワエキ</t>
    </rPh>
    <rPh sb="11" eb="13">
      <t>サイタマ</t>
    </rPh>
    <rPh sb="13" eb="15">
      <t>イダイ</t>
    </rPh>
    <rPh sb="15" eb="16">
      <t>イキ</t>
    </rPh>
    <rPh sb="17" eb="19">
      <t>コクサイ</t>
    </rPh>
    <rPh sb="19" eb="21">
      <t>コウギョウ</t>
    </rPh>
    <rPh sb="24" eb="25">
      <t>イタ</t>
    </rPh>
    <rPh sb="25" eb="26">
      <t>ホトケ</t>
    </rPh>
    <rPh sb="27" eb="29">
      <t>ゲシャ</t>
    </rPh>
    <rPh sb="29" eb="31">
      <t>トホ</t>
    </rPh>
    <rPh sb="32" eb="33">
      <t>ブン</t>
    </rPh>
    <phoneticPr fontId="2"/>
  </si>
  <si>
    <t>（一社）つむぎ</t>
    <rPh sb="1" eb="2">
      <t>イチ</t>
    </rPh>
    <rPh sb="2" eb="3">
      <t>シャ</t>
    </rPh>
    <phoneticPr fontId="2"/>
  </si>
  <si>
    <t>（株）ＬＩＴＡＬＩＣＯ</t>
    <rPh sb="1" eb="2">
      <t>カブ</t>
    </rPh>
    <phoneticPr fontId="5"/>
  </si>
  <si>
    <t>(医）春志会</t>
    <rPh sb="1" eb="2">
      <t>イ</t>
    </rPh>
    <rPh sb="3" eb="4">
      <t>シュン</t>
    </rPh>
    <rPh sb="4" eb="5">
      <t>シ</t>
    </rPh>
    <rPh sb="5" eb="6">
      <t>カイ</t>
    </rPh>
    <phoneticPr fontId="3"/>
  </si>
  <si>
    <t>（福）のびろ会</t>
    <rPh sb="1" eb="2">
      <t>フク</t>
    </rPh>
    <rPh sb="6" eb="7">
      <t>カイ</t>
    </rPh>
    <phoneticPr fontId="2"/>
  </si>
  <si>
    <t>のびろ作業所</t>
  </si>
  <si>
    <t>048-885-6163</t>
  </si>
  <si>
    <t>京浜東北線南浦和駅東口　国際興業バス細野循環蕨駅行「柳橋」下車徒歩２分</t>
    <rPh sb="12" eb="14">
      <t>コクサイ</t>
    </rPh>
    <rPh sb="14" eb="16">
      <t>コウギョウ</t>
    </rPh>
    <rPh sb="18" eb="20">
      <t>ホソノ</t>
    </rPh>
    <rPh sb="20" eb="22">
      <t>ジュンカン</t>
    </rPh>
    <rPh sb="22" eb="24">
      <t>ワラビエキ</t>
    </rPh>
    <rPh sb="24" eb="25">
      <t>イキ</t>
    </rPh>
    <rPh sb="26" eb="28">
      <t>ヤナギバシ</t>
    </rPh>
    <rPh sb="29" eb="31">
      <t>ゲシャ</t>
    </rPh>
    <rPh sb="31" eb="33">
      <t>トホ</t>
    </rPh>
    <rPh sb="34" eb="35">
      <t>フン</t>
    </rPh>
    <phoneticPr fontId="2"/>
  </si>
  <si>
    <t>生活介護事業所　みらいと</t>
    <rPh sb="0" eb="2">
      <t>セイカツ</t>
    </rPh>
    <rPh sb="2" eb="4">
      <t>カイゴ</t>
    </rPh>
    <rPh sb="4" eb="6">
      <t>ジギョウ</t>
    </rPh>
    <rPh sb="6" eb="7">
      <t>ショ</t>
    </rPh>
    <phoneticPr fontId="5"/>
  </si>
  <si>
    <t>さいたま市</t>
    <rPh sb="4" eb="5">
      <t>シ</t>
    </rPh>
    <phoneticPr fontId="3"/>
  </si>
  <si>
    <t>西区植田谷本４０２－２</t>
  </si>
  <si>
    <t>048-729-7330</t>
  </si>
  <si>
    <t>048-729-7331</t>
  </si>
  <si>
    <t>大宮駅西口から西武バス「賀茂川団地」行き20分
「賀茂川団地」停留所より徒歩5分</t>
    <rPh sb="0" eb="2">
      <t>オオミヤ</t>
    </rPh>
    <rPh sb="2" eb="3">
      <t>エキ</t>
    </rPh>
    <rPh sb="3" eb="5">
      <t>ニシグチ</t>
    </rPh>
    <rPh sb="7" eb="9">
      <t>セイブ</t>
    </rPh>
    <rPh sb="12" eb="15">
      <t>カモガワ</t>
    </rPh>
    <rPh sb="15" eb="17">
      <t>ダンチ</t>
    </rPh>
    <rPh sb="18" eb="19">
      <t>イ</t>
    </rPh>
    <rPh sb="22" eb="23">
      <t>プン</t>
    </rPh>
    <rPh sb="31" eb="34">
      <t>テイリュウジョ</t>
    </rPh>
    <rPh sb="36" eb="38">
      <t>トホ</t>
    </rPh>
    <rPh sb="39" eb="40">
      <t>フン</t>
    </rPh>
    <phoneticPr fontId="2"/>
  </si>
  <si>
    <t>(一社)みらいと福祉会</t>
    <rPh sb="1" eb="2">
      <t>イチ</t>
    </rPh>
    <rPh sb="2" eb="3">
      <t>シャ</t>
    </rPh>
    <rPh sb="8" eb="10">
      <t>フクシ</t>
    </rPh>
    <rPh sb="10" eb="11">
      <t>カイ</t>
    </rPh>
    <phoneticPr fontId="3"/>
  </si>
  <si>
    <t>336-0015</t>
    <phoneticPr fontId="2"/>
  </si>
  <si>
    <t>331-0053</t>
    <phoneticPr fontId="2"/>
  </si>
  <si>
    <t>らびっと</t>
    <phoneticPr fontId="2"/>
  </si>
  <si>
    <t>菅沢2-6-13</t>
    <rPh sb="0" eb="2">
      <t>スガサワ</t>
    </rPh>
    <phoneticPr fontId="2"/>
  </si>
  <si>
    <t>352-0017</t>
    <phoneticPr fontId="2"/>
  </si>
  <si>
    <t>048-423-6130</t>
    <phoneticPr fontId="2"/>
  </si>
  <si>
    <t>048-423-6133</t>
    <phoneticPr fontId="2"/>
  </si>
  <si>
    <t>JR武蔵野線新座駅南口から西武バス「中郷バス停」下車徒歩3分</t>
    <rPh sb="2" eb="6">
      <t>ムサシノセン</t>
    </rPh>
    <rPh sb="6" eb="8">
      <t>ニイザ</t>
    </rPh>
    <rPh sb="8" eb="9">
      <t>エキ</t>
    </rPh>
    <rPh sb="9" eb="11">
      <t>ミナミグチ</t>
    </rPh>
    <rPh sb="13" eb="15">
      <t>セイブ</t>
    </rPh>
    <rPh sb="18" eb="20">
      <t>ナカゴウ</t>
    </rPh>
    <rPh sb="22" eb="23">
      <t>テイ</t>
    </rPh>
    <rPh sb="24" eb="26">
      <t>ゲシャ</t>
    </rPh>
    <rPh sb="26" eb="28">
      <t>トホ</t>
    </rPh>
    <rPh sb="29" eb="30">
      <t>フン</t>
    </rPh>
    <phoneticPr fontId="2"/>
  </si>
  <si>
    <t>ＭＵＴ（株）</t>
    <rPh sb="4" eb="5">
      <t>カブ</t>
    </rPh>
    <phoneticPr fontId="2"/>
  </si>
  <si>
    <t>ラフロード</t>
    <phoneticPr fontId="2"/>
  </si>
  <si>
    <t>本郷394</t>
    <rPh sb="0" eb="2">
      <t>ホンゴウ</t>
    </rPh>
    <phoneticPr fontId="2"/>
  </si>
  <si>
    <t>0480-53-4539</t>
    <phoneticPr fontId="2"/>
  </si>
  <si>
    <t>○</t>
    <phoneticPr fontId="2"/>
  </si>
  <si>
    <t>北春日部駅から徒歩32分</t>
    <rPh sb="0" eb="4">
      <t>キタカスカベ</t>
    </rPh>
    <rPh sb="4" eb="5">
      <t>エキ</t>
    </rPh>
    <rPh sb="7" eb="9">
      <t>トホ</t>
    </rPh>
    <rPh sb="11" eb="12">
      <t>フン</t>
    </rPh>
    <phoneticPr fontId="2"/>
  </si>
  <si>
    <t>350‐0809</t>
    <phoneticPr fontId="2"/>
  </si>
  <si>
    <t>049‐298‐5934</t>
    <phoneticPr fontId="2"/>
  </si>
  <si>
    <t>049‐298‐5935</t>
    <phoneticPr fontId="2"/>
  </si>
  <si>
    <t>鶴ヶ島駅より徒歩１０分</t>
    <rPh sb="0" eb="3">
      <t>ツルガシマ</t>
    </rPh>
    <rPh sb="3" eb="4">
      <t>エキ</t>
    </rPh>
    <rPh sb="6" eb="8">
      <t>トホ</t>
    </rPh>
    <rPh sb="10" eb="11">
      <t>フン</t>
    </rPh>
    <phoneticPr fontId="2"/>
  </si>
  <si>
    <t>鯨井新田23-1</t>
    <rPh sb="0" eb="2">
      <t>クジライ</t>
    </rPh>
    <rPh sb="2" eb="4">
      <t>シンデン</t>
    </rPh>
    <phoneticPr fontId="2"/>
  </si>
  <si>
    <t>○</t>
    <phoneticPr fontId="2"/>
  </si>
  <si>
    <t>いちご</t>
    <phoneticPr fontId="2"/>
  </si>
  <si>
    <t>鶴ヶ曽根６０－１</t>
    <rPh sb="0" eb="1">
      <t>ツル</t>
    </rPh>
    <rPh sb="2" eb="4">
      <t>ソネ</t>
    </rPh>
    <phoneticPr fontId="2"/>
  </si>
  <si>
    <t>340-0802</t>
    <phoneticPr fontId="2"/>
  </si>
  <si>
    <t>048-994-2615</t>
    <phoneticPr fontId="2"/>
  </si>
  <si>
    <t>048-994-2616</t>
    <phoneticPr fontId="2"/>
  </si>
  <si>
    <t>○</t>
    <phoneticPr fontId="2"/>
  </si>
  <si>
    <t>草加駅東口から八潮団地行バス「鶴ヶ曽根北」下車徒歩５分
八潮駅北口から八潮駅北口巡回バス「鶴ヶ曽根北」下車徒歩５分</t>
    <rPh sb="0" eb="2">
      <t>ソウカ</t>
    </rPh>
    <rPh sb="2" eb="3">
      <t>エキ</t>
    </rPh>
    <rPh sb="3" eb="4">
      <t>ヒガシ</t>
    </rPh>
    <rPh sb="4" eb="5">
      <t>クチ</t>
    </rPh>
    <rPh sb="7" eb="9">
      <t>ヤシオ</t>
    </rPh>
    <rPh sb="9" eb="11">
      <t>ダンチ</t>
    </rPh>
    <rPh sb="11" eb="12">
      <t>イキ</t>
    </rPh>
    <rPh sb="15" eb="16">
      <t>ツル</t>
    </rPh>
    <rPh sb="17" eb="19">
      <t>ソネ</t>
    </rPh>
    <rPh sb="19" eb="20">
      <t>キタ</t>
    </rPh>
    <rPh sb="21" eb="23">
      <t>ゲシャ</t>
    </rPh>
    <rPh sb="23" eb="25">
      <t>トホ</t>
    </rPh>
    <rPh sb="26" eb="27">
      <t>フン</t>
    </rPh>
    <rPh sb="28" eb="30">
      <t>ヤシオ</t>
    </rPh>
    <rPh sb="30" eb="31">
      <t>エキ</t>
    </rPh>
    <rPh sb="31" eb="33">
      <t>キタグチ</t>
    </rPh>
    <rPh sb="35" eb="37">
      <t>ヤシオ</t>
    </rPh>
    <rPh sb="37" eb="38">
      <t>エキ</t>
    </rPh>
    <rPh sb="38" eb="39">
      <t>キタ</t>
    </rPh>
    <rPh sb="39" eb="40">
      <t>クチ</t>
    </rPh>
    <rPh sb="40" eb="42">
      <t>ジュンカイ</t>
    </rPh>
    <rPh sb="45" eb="46">
      <t>ツル</t>
    </rPh>
    <rPh sb="47" eb="49">
      <t>ソネ</t>
    </rPh>
    <rPh sb="49" eb="50">
      <t>キタ</t>
    </rPh>
    <rPh sb="51" eb="53">
      <t>ゲシャ</t>
    </rPh>
    <rPh sb="53" eb="55">
      <t>トホ</t>
    </rPh>
    <rPh sb="56" eb="57">
      <t>フン</t>
    </rPh>
    <phoneticPr fontId="2"/>
  </si>
  <si>
    <t>(特非)だいち</t>
    <rPh sb="1" eb="2">
      <t>トク</t>
    </rPh>
    <rPh sb="2" eb="3">
      <t>ヒ</t>
    </rPh>
    <phoneticPr fontId="2"/>
  </si>
  <si>
    <t>だいち</t>
    <phoneticPr fontId="2"/>
  </si>
  <si>
    <t>ふじみ野西3-14-4</t>
    <rPh sb="3" eb="4">
      <t>ノ</t>
    </rPh>
    <rPh sb="4" eb="5">
      <t>ニシ</t>
    </rPh>
    <phoneticPr fontId="2"/>
  </si>
  <si>
    <t>354-0035</t>
    <phoneticPr fontId="2"/>
  </si>
  <si>
    <t>049-262-7077</t>
    <phoneticPr fontId="2"/>
  </si>
  <si>
    <t>049-262-7075</t>
    <phoneticPr fontId="2"/>
  </si>
  <si>
    <t>東武東上線ふじみ野駅下車徒歩8分
※児童発達支援、放課後等デイサービスとの多機能</t>
    <rPh sb="8" eb="9">
      <t>ノ</t>
    </rPh>
    <rPh sb="18" eb="20">
      <t>ジドウ</t>
    </rPh>
    <rPh sb="20" eb="22">
      <t>ハッタツ</t>
    </rPh>
    <rPh sb="22" eb="24">
      <t>シエン</t>
    </rPh>
    <rPh sb="25" eb="28">
      <t>ホウカゴ</t>
    </rPh>
    <rPh sb="28" eb="29">
      <t>トウ</t>
    </rPh>
    <rPh sb="37" eb="40">
      <t>タキノウ</t>
    </rPh>
    <phoneticPr fontId="2"/>
  </si>
  <si>
    <t>(株)ヴェルペンファルマ</t>
    <rPh sb="0" eb="3">
      <t>カブ</t>
    </rPh>
    <phoneticPr fontId="2"/>
  </si>
  <si>
    <t>ビュッフェレストラン　WELPEN GRILL</t>
    <phoneticPr fontId="2"/>
  </si>
  <si>
    <t>中山319－4</t>
    <rPh sb="0" eb="2">
      <t>ナカヤマ</t>
    </rPh>
    <phoneticPr fontId="2"/>
  </si>
  <si>
    <t>042-983-8188</t>
    <phoneticPr fontId="2"/>
  </si>
  <si>
    <t>042-983-8201</t>
    <phoneticPr fontId="2"/>
  </si>
  <si>
    <t>西武池袋線東飯能駅徒歩15分</t>
    <rPh sb="0" eb="2">
      <t>セイブ</t>
    </rPh>
    <rPh sb="2" eb="4">
      <t>イケブクロ</t>
    </rPh>
    <rPh sb="4" eb="5">
      <t>セン</t>
    </rPh>
    <rPh sb="5" eb="8">
      <t>ヒガシハンノウ</t>
    </rPh>
    <rPh sb="8" eb="9">
      <t>エキ</t>
    </rPh>
    <rPh sb="9" eb="11">
      <t>トホ</t>
    </rPh>
    <rPh sb="13" eb="14">
      <t>プン</t>
    </rPh>
    <phoneticPr fontId="2"/>
  </si>
  <si>
    <t>医療型障害児入所施設　カリヨンの杜</t>
    <rPh sb="0" eb="2">
      <t>イリョウ</t>
    </rPh>
    <rPh sb="2" eb="3">
      <t>ガタ</t>
    </rPh>
    <rPh sb="3" eb="5">
      <t>ショウガイ</t>
    </rPh>
    <rPh sb="5" eb="6">
      <t>ジ</t>
    </rPh>
    <rPh sb="6" eb="8">
      <t>ニュウショ</t>
    </rPh>
    <rPh sb="8" eb="10">
      <t>シセツ</t>
    </rPh>
    <rPh sb="16" eb="17">
      <t>モリ</t>
    </rPh>
    <phoneticPr fontId="5"/>
  </si>
  <si>
    <t>岩槻区馬込２１００番地</t>
    <rPh sb="0" eb="2">
      <t>イワツキ</t>
    </rPh>
    <rPh sb="2" eb="3">
      <t>ク</t>
    </rPh>
    <rPh sb="3" eb="5">
      <t>マゴメ</t>
    </rPh>
    <rPh sb="9" eb="11">
      <t>バンチ</t>
    </rPh>
    <phoneticPr fontId="5"/>
  </si>
  <si>
    <t>339-0077</t>
  </si>
  <si>
    <t>048-797-6915</t>
  </si>
  <si>
    <t>048-797-6925</t>
  </si>
  <si>
    <t>JR蓮田駅から徒歩25分</t>
    <rPh sb="2" eb="5">
      <t>ハスダエキ</t>
    </rPh>
    <rPh sb="7" eb="9">
      <t>トホ</t>
    </rPh>
    <rPh sb="11" eb="12">
      <t>フン</t>
    </rPh>
    <phoneticPr fontId="2"/>
  </si>
  <si>
    <t>(福)桜楓会</t>
    <rPh sb="1" eb="2">
      <t>フク</t>
    </rPh>
    <rPh sb="3" eb="4">
      <t>オウ</t>
    </rPh>
    <rPh sb="4" eb="5">
      <t>フウ</t>
    </rPh>
    <rPh sb="5" eb="6">
      <t>カイ</t>
    </rPh>
    <phoneticPr fontId="5"/>
  </si>
  <si>
    <t>（有）エイミ</t>
    <rPh sb="1" eb="2">
      <t>ア</t>
    </rPh>
    <phoneticPr fontId="2"/>
  </si>
  <si>
    <t>デイリゾートMOMOYAオアフ</t>
    <phoneticPr fontId="2"/>
  </si>
  <si>
    <t>折之口234-5</t>
    <rPh sb="0" eb="1">
      <t>オリ</t>
    </rPh>
    <rPh sb="1" eb="2">
      <t>ノ</t>
    </rPh>
    <rPh sb="2" eb="3">
      <t>クチ</t>
    </rPh>
    <phoneticPr fontId="2"/>
  </si>
  <si>
    <t>366-0812</t>
    <phoneticPr fontId="2"/>
  </si>
  <si>
    <t>048-573-6752</t>
    <phoneticPr fontId="2"/>
  </si>
  <si>
    <t>048-573-6783</t>
    <phoneticPr fontId="2"/>
  </si>
  <si>
    <t>（株）エルサーブ</t>
    <rPh sb="0" eb="3">
      <t>カブ</t>
    </rPh>
    <phoneticPr fontId="2"/>
  </si>
  <si>
    <t>アイディアル就労移行支援</t>
    <rPh sb="6" eb="12">
      <t>シュウロウイコウシエン</t>
    </rPh>
    <phoneticPr fontId="2"/>
  </si>
  <si>
    <t>若宮2-33-4</t>
    <rPh sb="0" eb="2">
      <t>ワカミヤ</t>
    </rPh>
    <phoneticPr fontId="2"/>
  </si>
  <si>
    <t>048-783-3604</t>
    <phoneticPr fontId="2"/>
  </si>
  <si>
    <t>048-783-3826</t>
    <phoneticPr fontId="2"/>
  </si>
  <si>
    <t>JR高崎線桶川駅下車徒歩7分</t>
  </si>
  <si>
    <t>宇都宮線久喜駅から市循環バス東西連絡西行「皆代」下車徒歩1分</t>
    <phoneticPr fontId="2"/>
  </si>
  <si>
    <t>（同）ネクサスグリーン</t>
    <rPh sb="1" eb="2">
      <t>ドウ</t>
    </rPh>
    <phoneticPr fontId="2"/>
  </si>
  <si>
    <t>アグリ園</t>
    <rPh sb="3" eb="4">
      <t>エン</t>
    </rPh>
    <phoneticPr fontId="2"/>
  </si>
  <si>
    <t>吉羽5-12-9</t>
    <rPh sb="0" eb="2">
      <t>ヨシバ</t>
    </rPh>
    <phoneticPr fontId="2"/>
  </si>
  <si>
    <t>0480-47-0252</t>
    <phoneticPr fontId="2"/>
  </si>
  <si>
    <t>JR東北本線久喜駅から朝日バス「沼向公園入口」下車徒歩１分</t>
    <rPh sb="2" eb="4">
      <t>トウホク</t>
    </rPh>
    <rPh sb="4" eb="6">
      <t>ホンセン</t>
    </rPh>
    <rPh sb="6" eb="8">
      <t>クキ</t>
    </rPh>
    <rPh sb="8" eb="9">
      <t>エキ</t>
    </rPh>
    <rPh sb="11" eb="13">
      <t>アサヒ</t>
    </rPh>
    <rPh sb="16" eb="17">
      <t>ヌマ</t>
    </rPh>
    <rPh sb="17" eb="18">
      <t>ムカイ</t>
    </rPh>
    <rPh sb="18" eb="20">
      <t>コウエン</t>
    </rPh>
    <rPh sb="20" eb="22">
      <t>イリグチ</t>
    </rPh>
    <rPh sb="23" eb="25">
      <t>ゲシャ</t>
    </rPh>
    <rPh sb="25" eb="27">
      <t>トホ</t>
    </rPh>
    <rPh sb="28" eb="29">
      <t>フン</t>
    </rPh>
    <phoneticPr fontId="2"/>
  </si>
  <si>
    <t>ネリア</t>
    <phoneticPr fontId="2"/>
  </si>
  <si>
    <t>東3-4-6</t>
    <rPh sb="0" eb="1">
      <t>ヒガシ</t>
    </rPh>
    <phoneticPr fontId="2"/>
  </si>
  <si>
    <t>羽生駅東口から福祉バス（あいあいバス）「東３丁目」下車徒歩５分</t>
    <rPh sb="0" eb="2">
      <t>ハニュウ</t>
    </rPh>
    <rPh sb="2" eb="3">
      <t>エキ</t>
    </rPh>
    <rPh sb="3" eb="5">
      <t>ヒガシグチ</t>
    </rPh>
    <rPh sb="7" eb="9">
      <t>フクシ</t>
    </rPh>
    <rPh sb="20" eb="21">
      <t>ヒガシ</t>
    </rPh>
    <rPh sb="22" eb="24">
      <t>チョウメ</t>
    </rPh>
    <rPh sb="25" eb="27">
      <t>ゲシャ</t>
    </rPh>
    <rPh sb="27" eb="29">
      <t>トホ</t>
    </rPh>
    <rPh sb="30" eb="31">
      <t>フン</t>
    </rPh>
    <phoneticPr fontId="2"/>
  </si>
  <si>
    <t>多機能型デイサービスひだまり</t>
    <rPh sb="0" eb="4">
      <t>タキノウガタ</t>
    </rPh>
    <phoneticPr fontId="2"/>
  </si>
  <si>
    <t>赤山町3-158-1</t>
    <rPh sb="0" eb="3">
      <t>アカヤマチョウ</t>
    </rPh>
    <phoneticPr fontId="2"/>
  </si>
  <si>
    <t>343-8601</t>
    <phoneticPr fontId="2"/>
  </si>
  <si>
    <t>048-972-4742</t>
    <phoneticPr fontId="2"/>
  </si>
  <si>
    <t>048-972-4743</t>
    <phoneticPr fontId="2"/>
  </si>
  <si>
    <t>東武スカイツリーライン新越谷駅西口徒歩15分</t>
    <rPh sb="0" eb="2">
      <t>トウブ</t>
    </rPh>
    <rPh sb="11" eb="15">
      <t>シンコシガヤエキ</t>
    </rPh>
    <rPh sb="15" eb="17">
      <t>ニシグチ</t>
    </rPh>
    <rPh sb="17" eb="19">
      <t>トホ</t>
    </rPh>
    <rPh sb="21" eb="22">
      <t>フン</t>
    </rPh>
    <phoneticPr fontId="2"/>
  </si>
  <si>
    <t>331-0802</t>
  </si>
  <si>
    <t>秩父鉄道武川駅より徒歩35分
※共生型</t>
    <rPh sb="0" eb="2">
      <t>チチブ</t>
    </rPh>
    <rPh sb="2" eb="4">
      <t>テツドウ</t>
    </rPh>
    <rPh sb="4" eb="6">
      <t>ブカワ</t>
    </rPh>
    <rPh sb="6" eb="7">
      <t>エキ</t>
    </rPh>
    <rPh sb="9" eb="11">
      <t>トホ</t>
    </rPh>
    <rPh sb="13" eb="14">
      <t>フン</t>
    </rPh>
    <rPh sb="16" eb="19">
      <t>キョウセイガタ</t>
    </rPh>
    <phoneticPr fontId="2"/>
  </si>
  <si>
    <t>笹目7-7-11</t>
    <rPh sb="0" eb="2">
      <t>ササメ</t>
    </rPh>
    <phoneticPr fontId="2"/>
  </si>
  <si>
    <t>335-0034</t>
    <phoneticPr fontId="2"/>
  </si>
  <si>
    <t>048-455-8973</t>
    <phoneticPr fontId="2"/>
  </si>
  <si>
    <t>048-455-8978</t>
    <phoneticPr fontId="2"/>
  </si>
  <si>
    <t>平塚字荒井1629-3,4</t>
    <phoneticPr fontId="2"/>
  </si>
  <si>
    <t>048-783-3903</t>
    <phoneticPr fontId="2"/>
  </si>
  <si>
    <t>048-783-3904</t>
    <phoneticPr fontId="2"/>
  </si>
  <si>
    <t>志久駅から徒歩30分
※共同生活援助との併設</t>
    <rPh sb="0" eb="3">
      <t>シクエキ</t>
    </rPh>
    <rPh sb="5" eb="7">
      <t>トホ</t>
    </rPh>
    <rPh sb="9" eb="10">
      <t>フン</t>
    </rPh>
    <rPh sb="12" eb="18">
      <t>キョウドウセイカツエンジョ</t>
    </rPh>
    <rPh sb="20" eb="22">
      <t>ヘイセツ</t>
    </rPh>
    <phoneticPr fontId="2"/>
  </si>
  <si>
    <t>戸田駅からバス14分
※共同生活援助との併設</t>
    <rPh sb="0" eb="2">
      <t>トダ</t>
    </rPh>
    <rPh sb="2" eb="3">
      <t>エキ</t>
    </rPh>
    <rPh sb="9" eb="10">
      <t>フン</t>
    </rPh>
    <rPh sb="12" eb="18">
      <t>キョウドウセイカツエンジョ</t>
    </rPh>
    <rPh sb="20" eb="22">
      <t>ヘイセツ</t>
    </rPh>
    <phoneticPr fontId="2"/>
  </si>
  <si>
    <t>360-0022</t>
  </si>
  <si>
    <t>049-257-6401</t>
  </si>
  <si>
    <t>049-257-6402</t>
  </si>
  <si>
    <t>東武東上線上福岡駅より西武バス「福岡小学校」下車
※共同生活援助との併設</t>
    <rPh sb="0" eb="5">
      <t>トウブトウジョウセン</t>
    </rPh>
    <rPh sb="5" eb="8">
      <t>カミフクオカ</t>
    </rPh>
    <rPh sb="8" eb="9">
      <t>エキ</t>
    </rPh>
    <rPh sb="11" eb="13">
      <t>セイブ</t>
    </rPh>
    <rPh sb="16" eb="18">
      <t>フクオカ</t>
    </rPh>
    <rPh sb="18" eb="21">
      <t>ショウガッコウ</t>
    </rPh>
    <rPh sb="22" eb="24">
      <t>ゲシャ</t>
    </rPh>
    <rPh sb="26" eb="32">
      <t>キョウドウセイカツエンジョ</t>
    </rPh>
    <rPh sb="34" eb="36">
      <t>ヘイセツ</t>
    </rPh>
    <phoneticPr fontId="2"/>
  </si>
  <si>
    <t>野寺1-3-18</t>
    <rPh sb="0" eb="2">
      <t>ノデラ</t>
    </rPh>
    <phoneticPr fontId="6"/>
  </si>
  <si>
    <t>352-0034</t>
  </si>
  <si>
    <t>048-424-7208</t>
  </si>
  <si>
    <t>048-424-7202</t>
  </si>
  <si>
    <t>R1.11.1</t>
  </si>
  <si>
    <t>西武池袋線ひばりが丘駅北口から西武バス「貝沼」下車徒歩5分
※共同生活援助との併設</t>
    <rPh sb="0" eb="2">
      <t>セイブ</t>
    </rPh>
    <rPh sb="2" eb="4">
      <t>イケブクロ</t>
    </rPh>
    <rPh sb="4" eb="5">
      <t>セン</t>
    </rPh>
    <rPh sb="9" eb="10">
      <t>オカ</t>
    </rPh>
    <rPh sb="10" eb="11">
      <t>エキ</t>
    </rPh>
    <rPh sb="11" eb="13">
      <t>キタグチ</t>
    </rPh>
    <rPh sb="15" eb="17">
      <t>セイブ</t>
    </rPh>
    <rPh sb="20" eb="22">
      <t>カイヌマ</t>
    </rPh>
    <rPh sb="23" eb="25">
      <t>ゲシャ</t>
    </rPh>
    <rPh sb="25" eb="27">
      <t>トホ</t>
    </rPh>
    <rPh sb="28" eb="29">
      <t>フン</t>
    </rPh>
    <phoneticPr fontId="2"/>
  </si>
  <si>
    <t>クリード新座</t>
    <rPh sb="3" eb="5">
      <t>ニイザ</t>
    </rPh>
    <phoneticPr fontId="6"/>
  </si>
  <si>
    <t>(株）日本クリード</t>
    <rPh sb="1" eb="2">
      <t>カブ</t>
    </rPh>
    <rPh sb="3" eb="5">
      <t>ニホン</t>
    </rPh>
    <phoneticPr fontId="5"/>
  </si>
  <si>
    <t>菅沢2-6-15</t>
    <phoneticPr fontId="2"/>
  </si>
  <si>
    <t>352-0017</t>
  </si>
  <si>
    <t>048-423-6130</t>
  </si>
  <si>
    <t>048-423-6133</t>
  </si>
  <si>
    <t>ふじみ野市</t>
    <phoneticPr fontId="2"/>
  </si>
  <si>
    <t>長宮1－3－8</t>
    <rPh sb="0" eb="2">
      <t>ナガミヤ</t>
    </rPh>
    <phoneticPr fontId="6"/>
  </si>
  <si>
    <t>356-0022</t>
    <phoneticPr fontId="2"/>
  </si>
  <si>
    <t>049-293-3528</t>
  </si>
  <si>
    <t>049-293-3532</t>
  </si>
  <si>
    <t>R2.2.1</t>
  </si>
  <si>
    <t>東武東上線上福岡駅から西武バス「ふじみ野市役所」下車徒歩11分
※共同生活援助との併設</t>
    <rPh sb="0" eb="9">
      <t>トウブトウジョウセンカミフクオカエキ</t>
    </rPh>
    <rPh sb="11" eb="13">
      <t>セイブ</t>
    </rPh>
    <rPh sb="19" eb="20">
      <t>ノ</t>
    </rPh>
    <rPh sb="20" eb="21">
      <t>シ</t>
    </rPh>
    <rPh sb="21" eb="23">
      <t>ヤクショ</t>
    </rPh>
    <rPh sb="24" eb="25">
      <t>ゲ</t>
    </rPh>
    <rPh sb="25" eb="26">
      <t>クルマ</t>
    </rPh>
    <rPh sb="26" eb="28">
      <t>トホ</t>
    </rPh>
    <rPh sb="30" eb="31">
      <t>フン</t>
    </rPh>
    <phoneticPr fontId="2"/>
  </si>
  <si>
    <t>(有)ＺＥＲＯファーム</t>
    <phoneticPr fontId="2"/>
  </si>
  <si>
    <t>グラン・カッサ</t>
  </si>
  <si>
    <t>大字西本宿字松ノ木1696－1</t>
    <phoneticPr fontId="2"/>
  </si>
  <si>
    <t>0493-35-1010</t>
  </si>
  <si>
    <t>0493-35-1013</t>
  </si>
  <si>
    <t>355－0062</t>
  </si>
  <si>
    <t>東武東上線高坂駅から徒歩11分
※共同生活援助との併設</t>
    <rPh sb="0" eb="5">
      <t>トウブトウジョウセン</t>
    </rPh>
    <rPh sb="5" eb="7">
      <t>タカサカ</t>
    </rPh>
    <rPh sb="7" eb="8">
      <t>エキ</t>
    </rPh>
    <rPh sb="10" eb="12">
      <t>トホ</t>
    </rPh>
    <rPh sb="14" eb="15">
      <t>フン</t>
    </rPh>
    <phoneticPr fontId="2"/>
  </si>
  <si>
    <t>350-1313</t>
    <phoneticPr fontId="2"/>
  </si>
  <si>
    <t>04-2936-6251</t>
    <phoneticPr fontId="2"/>
  </si>
  <si>
    <t>04-2936-6352</t>
    <phoneticPr fontId="2"/>
  </si>
  <si>
    <t>西武新宿線新所沢駅新所沢駅から西武バス「上赤坂」下車徒歩6分
※共同生活援助との併設</t>
    <rPh sb="0" eb="2">
      <t>セイブ</t>
    </rPh>
    <rPh sb="2" eb="4">
      <t>シンジュク</t>
    </rPh>
    <rPh sb="4" eb="5">
      <t>セン</t>
    </rPh>
    <rPh sb="5" eb="9">
      <t>シントコロザワエキ</t>
    </rPh>
    <rPh sb="9" eb="13">
      <t>シントコロザワエキ</t>
    </rPh>
    <rPh sb="15" eb="17">
      <t>セイブ</t>
    </rPh>
    <rPh sb="20" eb="23">
      <t>カミアカサカ</t>
    </rPh>
    <rPh sb="24" eb="26">
      <t>ゲシャ</t>
    </rPh>
    <rPh sb="26" eb="28">
      <t>トホ</t>
    </rPh>
    <rPh sb="29" eb="30">
      <t>フン</t>
    </rPh>
    <phoneticPr fontId="2"/>
  </si>
  <si>
    <t>東町314</t>
    <rPh sb="0" eb="2">
      <t>アズマチョウ</t>
    </rPh>
    <phoneticPr fontId="2"/>
  </si>
  <si>
    <t>341-0036</t>
    <phoneticPr fontId="2"/>
  </si>
  <si>
    <t>048-954-7535</t>
    <phoneticPr fontId="2"/>
  </si>
  <si>
    <t>048-954-7536</t>
    <phoneticPr fontId="2"/>
  </si>
  <si>
    <t>京成線金町駅から東武バス「高須大入バス停」下車徒歩2分
※共同生活援助との併設</t>
    <rPh sb="0" eb="3">
      <t>ケイセイセン</t>
    </rPh>
    <rPh sb="3" eb="5">
      <t>カナマチ</t>
    </rPh>
    <rPh sb="5" eb="6">
      <t>エキ</t>
    </rPh>
    <rPh sb="8" eb="10">
      <t>トウブ</t>
    </rPh>
    <rPh sb="13" eb="15">
      <t>タカス</t>
    </rPh>
    <rPh sb="15" eb="17">
      <t>オオイリ</t>
    </rPh>
    <rPh sb="19" eb="20">
      <t>テイ</t>
    </rPh>
    <rPh sb="21" eb="23">
      <t>ゲシャ</t>
    </rPh>
    <rPh sb="23" eb="25">
      <t>トホ</t>
    </rPh>
    <rPh sb="26" eb="27">
      <t>フン</t>
    </rPh>
    <rPh sb="29" eb="31">
      <t>キョウドウ</t>
    </rPh>
    <rPh sb="31" eb="33">
      <t>セイカツ</t>
    </rPh>
    <rPh sb="33" eb="35">
      <t>エンジョ</t>
    </rPh>
    <rPh sb="37" eb="39">
      <t>ヘイセツ</t>
    </rPh>
    <phoneticPr fontId="2"/>
  </si>
  <si>
    <t>富士見町二丁目10-5、10-4</t>
    <rPh sb="0" eb="3">
      <t>フジミ</t>
    </rPh>
    <rPh sb="3" eb="4">
      <t>チョウ</t>
    </rPh>
    <rPh sb="4" eb="7">
      <t>ニチョウメ</t>
    </rPh>
    <phoneticPr fontId="2"/>
  </si>
  <si>
    <t>361-0021</t>
    <phoneticPr fontId="2"/>
  </si>
  <si>
    <t>048-579-5841</t>
    <phoneticPr fontId="2"/>
  </si>
  <si>
    <t>048-579-5842</t>
    <phoneticPr fontId="2"/>
  </si>
  <si>
    <t>ソーシャルインクルー（株）</t>
    <rPh sb="10" eb="11">
      <t>カブ</t>
    </rPh>
    <phoneticPr fontId="2"/>
  </si>
  <si>
    <t>備後西4丁目825-1、1210-3、1211-1</t>
    <rPh sb="0" eb="2">
      <t>ビンゴ</t>
    </rPh>
    <rPh sb="2" eb="3">
      <t>ニシ</t>
    </rPh>
    <rPh sb="4" eb="6">
      <t>チョウメ</t>
    </rPh>
    <phoneticPr fontId="2"/>
  </si>
  <si>
    <t>344-0033</t>
    <phoneticPr fontId="2"/>
  </si>
  <si>
    <t>048-797-7540</t>
    <phoneticPr fontId="2"/>
  </si>
  <si>
    <t>048-797-7545</t>
    <phoneticPr fontId="2"/>
  </si>
  <si>
    <t>東武伊勢崎線武里駅から徒歩11分
※共同生活援助の併設</t>
    <rPh sb="0" eb="2">
      <t>トウブ</t>
    </rPh>
    <rPh sb="2" eb="5">
      <t>イセサキ</t>
    </rPh>
    <rPh sb="5" eb="6">
      <t>セン</t>
    </rPh>
    <rPh sb="6" eb="7">
      <t>タケ</t>
    </rPh>
    <rPh sb="7" eb="8">
      <t>サト</t>
    </rPh>
    <rPh sb="8" eb="9">
      <t>エキ</t>
    </rPh>
    <rPh sb="11" eb="13">
      <t>トホ</t>
    </rPh>
    <rPh sb="15" eb="16">
      <t>フン</t>
    </rPh>
    <rPh sb="18" eb="20">
      <t>キョウドウ</t>
    </rPh>
    <rPh sb="20" eb="22">
      <t>セイカツ</t>
    </rPh>
    <rPh sb="22" eb="24">
      <t>エンジョ</t>
    </rPh>
    <rPh sb="25" eb="27">
      <t>ヘイセツ</t>
    </rPh>
    <phoneticPr fontId="2"/>
  </si>
  <si>
    <t>南中曽根633-1</t>
    <rPh sb="0" eb="4">
      <t>ミナミナカソネ</t>
    </rPh>
    <phoneticPr fontId="2"/>
  </si>
  <si>
    <t>344-0048</t>
    <phoneticPr fontId="2"/>
  </si>
  <si>
    <t>048-795-7137</t>
    <phoneticPr fontId="2"/>
  </si>
  <si>
    <t>東武野田線豊春駅から徒歩12分
※共同生活援助の併設</t>
    <rPh sb="0" eb="2">
      <t>トウブ</t>
    </rPh>
    <rPh sb="2" eb="5">
      <t>ノダセン</t>
    </rPh>
    <rPh sb="5" eb="7">
      <t>トヨハル</t>
    </rPh>
    <rPh sb="7" eb="8">
      <t>エキ</t>
    </rPh>
    <rPh sb="10" eb="12">
      <t>トホ</t>
    </rPh>
    <rPh sb="14" eb="15">
      <t>フン</t>
    </rPh>
    <rPh sb="17" eb="19">
      <t>キョウドウ</t>
    </rPh>
    <rPh sb="19" eb="21">
      <t>セイカツ</t>
    </rPh>
    <rPh sb="21" eb="23">
      <t>エンジョ</t>
    </rPh>
    <rPh sb="24" eb="26">
      <t>ヘイセツ</t>
    </rPh>
    <phoneticPr fontId="2"/>
  </si>
  <si>
    <t>グループホームさやか</t>
    <phoneticPr fontId="2"/>
  </si>
  <si>
    <t>大野原80-71</t>
    <rPh sb="0" eb="3">
      <t>オオノハラ</t>
    </rPh>
    <phoneticPr fontId="2"/>
  </si>
  <si>
    <t>368-0005</t>
    <phoneticPr fontId="2"/>
  </si>
  <si>
    <t>0494-25-0061</t>
    <phoneticPr fontId="2"/>
  </si>
  <si>
    <t>秩父鉄道大野原駅から車で6分
※共同生活援助の空床利用</t>
    <rPh sb="4" eb="7">
      <t>オオノハラ</t>
    </rPh>
    <rPh sb="7" eb="8">
      <t>エキ</t>
    </rPh>
    <rPh sb="10" eb="11">
      <t>クルマ</t>
    </rPh>
    <rPh sb="13" eb="14">
      <t>フン</t>
    </rPh>
    <rPh sb="16" eb="18">
      <t>キョウドウ</t>
    </rPh>
    <rPh sb="18" eb="20">
      <t>セイカツ</t>
    </rPh>
    <rPh sb="20" eb="22">
      <t>エンジョ</t>
    </rPh>
    <rPh sb="23" eb="24">
      <t>ソラ</t>
    </rPh>
    <rPh sb="24" eb="25">
      <t>ユカ</t>
    </rPh>
    <rPh sb="25" eb="27">
      <t>リヨウ</t>
    </rPh>
    <phoneticPr fontId="2"/>
  </si>
  <si>
    <t>ショートステイあじさい荘</t>
    <rPh sb="11" eb="12">
      <t>ソウ</t>
    </rPh>
    <phoneticPr fontId="2"/>
  </si>
  <si>
    <t>大瀬3-2-20</t>
    <rPh sb="0" eb="1">
      <t>オオ</t>
    </rPh>
    <rPh sb="1" eb="2">
      <t>セ</t>
    </rPh>
    <phoneticPr fontId="2"/>
  </si>
  <si>
    <t>340-0822</t>
    <phoneticPr fontId="2"/>
  </si>
  <si>
    <t>048-954-4536</t>
    <phoneticPr fontId="2"/>
  </si>
  <si>
    <t>048-954-4537</t>
    <phoneticPr fontId="2"/>
  </si>
  <si>
    <t>つくばエクスプレス八潮駅から徒歩7分
※共同生活援助との併設</t>
    <rPh sb="9" eb="11">
      <t>ヤシオ</t>
    </rPh>
    <rPh sb="11" eb="12">
      <t>エキ</t>
    </rPh>
    <rPh sb="14" eb="16">
      <t>トホ</t>
    </rPh>
    <rPh sb="17" eb="18">
      <t>フン</t>
    </rPh>
    <rPh sb="20" eb="22">
      <t>キョウドウ</t>
    </rPh>
    <rPh sb="22" eb="24">
      <t>セイカツ</t>
    </rPh>
    <rPh sb="24" eb="26">
      <t>エンジョ</t>
    </rPh>
    <rPh sb="28" eb="30">
      <t>ヘイセツ</t>
    </rPh>
    <phoneticPr fontId="2"/>
  </si>
  <si>
    <t>マイライフ工房</t>
    <rPh sb="5" eb="7">
      <t>コウボウ</t>
    </rPh>
    <phoneticPr fontId="2"/>
  </si>
  <si>
    <t>ふじみ野市</t>
    <rPh sb="3" eb="5">
      <t>ノシ</t>
    </rPh>
    <phoneticPr fontId="2"/>
  </si>
  <si>
    <t>西原2-3-35</t>
    <rPh sb="0" eb="2">
      <t>ニシハラ</t>
    </rPh>
    <phoneticPr fontId="2"/>
  </si>
  <si>
    <t>356-0028</t>
    <phoneticPr fontId="2"/>
  </si>
  <si>
    <t>049-293-2580</t>
    <phoneticPr fontId="2"/>
  </si>
  <si>
    <t>049-293-2580</t>
  </si>
  <si>
    <t>東武東上線上福岡駅から徒歩19分</t>
    <rPh sb="0" eb="5">
      <t>トウブトウジョウセン</t>
    </rPh>
    <rPh sb="5" eb="8">
      <t>カミフクオカ</t>
    </rPh>
    <rPh sb="8" eb="9">
      <t>エキ</t>
    </rPh>
    <rPh sb="11" eb="13">
      <t>トホ</t>
    </rPh>
    <rPh sb="15" eb="16">
      <t>フン</t>
    </rPh>
    <phoneticPr fontId="2"/>
  </si>
  <si>
    <t>（特非）あおい糸</t>
    <rPh sb="1" eb="2">
      <t>トク</t>
    </rPh>
    <rPh sb="2" eb="3">
      <t>ヒ</t>
    </rPh>
    <rPh sb="7" eb="8">
      <t>イト</t>
    </rPh>
    <phoneticPr fontId="2"/>
  </si>
  <si>
    <t>生活介護事業所てらす</t>
    <rPh sb="0" eb="7">
      <t>セイカツカイゴジギョウショ</t>
    </rPh>
    <phoneticPr fontId="2"/>
  </si>
  <si>
    <t>大字南畑新田字尻永682-3</t>
    <rPh sb="0" eb="2">
      <t>オオアザ</t>
    </rPh>
    <rPh sb="2" eb="3">
      <t>ミナミ</t>
    </rPh>
    <rPh sb="3" eb="4">
      <t>ハタケ</t>
    </rPh>
    <rPh sb="4" eb="6">
      <t>シンデン</t>
    </rPh>
    <rPh sb="6" eb="7">
      <t>アザ</t>
    </rPh>
    <rPh sb="7" eb="8">
      <t>シリ</t>
    </rPh>
    <rPh sb="8" eb="9">
      <t>ナガ</t>
    </rPh>
    <phoneticPr fontId="2"/>
  </si>
  <si>
    <t>049-265-5986</t>
  </si>
  <si>
    <t>東武東上線鶴瀬駅より市内循環バス（ふれあい号）「難波田城公園」下車徒歩15分</t>
    <rPh sb="0" eb="5">
      <t>トウブトウジョウセン</t>
    </rPh>
    <rPh sb="5" eb="8">
      <t>ツルセエキ</t>
    </rPh>
    <rPh sb="10" eb="12">
      <t>シナイ</t>
    </rPh>
    <rPh sb="12" eb="14">
      <t>ジュンカン</t>
    </rPh>
    <rPh sb="21" eb="22">
      <t>ゴウ</t>
    </rPh>
    <rPh sb="24" eb="26">
      <t>ナンバ</t>
    </rPh>
    <rPh sb="26" eb="27">
      <t>タ</t>
    </rPh>
    <rPh sb="27" eb="28">
      <t>シロ</t>
    </rPh>
    <rPh sb="28" eb="30">
      <t>コウエン</t>
    </rPh>
    <rPh sb="31" eb="33">
      <t>ゲシャ</t>
    </rPh>
    <rPh sb="33" eb="35">
      <t>トホ</t>
    </rPh>
    <rPh sb="37" eb="38">
      <t>フン</t>
    </rPh>
    <phoneticPr fontId="2"/>
  </si>
  <si>
    <t>(特非)ウェルハーモニー</t>
    <rPh sb="1" eb="2">
      <t>トク</t>
    </rPh>
    <rPh sb="2" eb="3">
      <t>ヒ</t>
    </rPh>
    <phoneticPr fontId="2"/>
  </si>
  <si>
    <t>ファームそら</t>
    <phoneticPr fontId="2"/>
  </si>
  <si>
    <t>大和田1-22-38</t>
    <rPh sb="0" eb="3">
      <t>オオワダ</t>
    </rPh>
    <phoneticPr fontId="2"/>
  </si>
  <si>
    <t>352-0004</t>
    <phoneticPr fontId="2"/>
  </si>
  <si>
    <t>048-483-4647</t>
    <phoneticPr fontId="2"/>
  </si>
  <si>
    <t>048-483-4648</t>
  </si>
  <si>
    <t>(特非)虹の郷</t>
    <rPh sb="1" eb="2">
      <t>トク</t>
    </rPh>
    <rPh sb="2" eb="3">
      <t>ヒ</t>
    </rPh>
    <rPh sb="4" eb="5">
      <t>ニジ</t>
    </rPh>
    <rPh sb="6" eb="7">
      <t>サト</t>
    </rPh>
    <phoneticPr fontId="2"/>
  </si>
  <si>
    <t>虹の郷福祉作業所</t>
    <rPh sb="0" eb="1">
      <t>ニジ</t>
    </rPh>
    <rPh sb="2" eb="3">
      <t>サト</t>
    </rPh>
    <rPh sb="3" eb="8">
      <t>フクシサギョウジョ</t>
    </rPh>
    <phoneticPr fontId="2"/>
  </si>
  <si>
    <t>高倉5-15-24</t>
    <rPh sb="0" eb="2">
      <t>タカクラ</t>
    </rPh>
    <phoneticPr fontId="2"/>
  </si>
  <si>
    <t>04-2936-8755</t>
    <phoneticPr fontId="2"/>
  </si>
  <si>
    <t>04-2936-8726</t>
    <phoneticPr fontId="2"/>
  </si>
  <si>
    <t>西武池袋線入間市駅より西武バス「扇町屋２丁目」下車徒歩17分</t>
    <rPh sb="0" eb="2">
      <t>セイブ</t>
    </rPh>
    <rPh sb="2" eb="4">
      <t>イケブクロ</t>
    </rPh>
    <rPh sb="4" eb="5">
      <t>セン</t>
    </rPh>
    <rPh sb="5" eb="8">
      <t>イルマシ</t>
    </rPh>
    <rPh sb="8" eb="9">
      <t>エキ</t>
    </rPh>
    <rPh sb="11" eb="13">
      <t>セイブ</t>
    </rPh>
    <rPh sb="16" eb="17">
      <t>オオギ</t>
    </rPh>
    <rPh sb="17" eb="18">
      <t>マチ</t>
    </rPh>
    <rPh sb="18" eb="19">
      <t>ヤ</t>
    </rPh>
    <rPh sb="20" eb="22">
      <t>チョウメ</t>
    </rPh>
    <rPh sb="23" eb="25">
      <t>ゲシャ</t>
    </rPh>
    <rPh sb="25" eb="27">
      <t>トホ</t>
    </rPh>
    <rPh sb="29" eb="30">
      <t>プン</t>
    </rPh>
    <phoneticPr fontId="2"/>
  </si>
  <si>
    <t>ルッカ</t>
    <phoneticPr fontId="2"/>
  </si>
  <si>
    <t>入間川2-6-22第2甲田ビル3階A・B号室</t>
    <rPh sb="0" eb="3">
      <t>イルマガワ</t>
    </rPh>
    <rPh sb="9" eb="10">
      <t>ダイ</t>
    </rPh>
    <rPh sb="11" eb="13">
      <t>コウダ</t>
    </rPh>
    <rPh sb="16" eb="17">
      <t>カイ</t>
    </rPh>
    <rPh sb="20" eb="22">
      <t>ゴウシツ</t>
    </rPh>
    <phoneticPr fontId="2"/>
  </si>
  <si>
    <t>04-2941-6422</t>
    <phoneticPr fontId="2"/>
  </si>
  <si>
    <t>04-2941-6422</t>
  </si>
  <si>
    <t>西武新宿線狭山市駅より徒歩4分</t>
    <rPh sb="0" eb="5">
      <t>セイブシンジュクセン</t>
    </rPh>
    <rPh sb="5" eb="7">
      <t>サヤマ</t>
    </rPh>
    <rPh sb="7" eb="8">
      <t>シ</t>
    </rPh>
    <rPh sb="8" eb="9">
      <t>エキ</t>
    </rPh>
    <rPh sb="11" eb="13">
      <t>トホ</t>
    </rPh>
    <rPh sb="14" eb="15">
      <t>フン</t>
    </rPh>
    <phoneticPr fontId="2"/>
  </si>
  <si>
    <t>359-1106</t>
    <phoneticPr fontId="2"/>
  </si>
  <si>
    <t>（福）藤の実会</t>
    <rPh sb="1" eb="2">
      <t>フク</t>
    </rPh>
    <rPh sb="3" eb="4">
      <t>フジ</t>
    </rPh>
    <rPh sb="5" eb="6">
      <t>ミ</t>
    </rPh>
    <rPh sb="6" eb="7">
      <t>カイ</t>
    </rPh>
    <phoneticPr fontId="2"/>
  </si>
  <si>
    <t>指定障害福祉サービス事業所きらめき</t>
    <rPh sb="0" eb="6">
      <t>シテイショウガイフクシ</t>
    </rPh>
    <rPh sb="10" eb="13">
      <t>ジギョウショ</t>
    </rPh>
    <phoneticPr fontId="2"/>
  </si>
  <si>
    <t>大字下富字月見原626－1</t>
    <rPh sb="0" eb="2">
      <t>オオアザ</t>
    </rPh>
    <rPh sb="2" eb="4">
      <t>シモトミ</t>
    </rPh>
    <rPh sb="4" eb="5">
      <t>アザ</t>
    </rPh>
    <rPh sb="5" eb="8">
      <t>ツキミハラ</t>
    </rPh>
    <phoneticPr fontId="2"/>
  </si>
  <si>
    <t>359-0001</t>
    <phoneticPr fontId="2"/>
  </si>
  <si>
    <t>04-2941-2666</t>
    <phoneticPr fontId="2"/>
  </si>
  <si>
    <t>04-2941-5959</t>
    <phoneticPr fontId="2"/>
  </si>
  <si>
    <t>西武新宿線新所沢駅東口よりところバス「JA富岡支店前」下車徒歩1分</t>
    <rPh sb="0" eb="2">
      <t>セイブ</t>
    </rPh>
    <rPh sb="2" eb="5">
      <t>シンジュクセン</t>
    </rPh>
    <rPh sb="5" eb="6">
      <t>シン</t>
    </rPh>
    <rPh sb="6" eb="8">
      <t>トコロザワ</t>
    </rPh>
    <rPh sb="8" eb="9">
      <t>エキ</t>
    </rPh>
    <rPh sb="9" eb="11">
      <t>ヒガシグチ</t>
    </rPh>
    <rPh sb="21" eb="23">
      <t>トミオカ</t>
    </rPh>
    <rPh sb="23" eb="25">
      <t>シテン</t>
    </rPh>
    <rPh sb="25" eb="26">
      <t>マエ</t>
    </rPh>
    <rPh sb="27" eb="29">
      <t>ゲシャ</t>
    </rPh>
    <rPh sb="29" eb="31">
      <t>トホ</t>
    </rPh>
    <rPh sb="32" eb="33">
      <t>フン</t>
    </rPh>
    <phoneticPr fontId="2"/>
  </si>
  <si>
    <t>（株）モードファイブ</t>
    <rPh sb="0" eb="3">
      <t>カブ</t>
    </rPh>
    <phoneticPr fontId="2"/>
  </si>
  <si>
    <t>aloha入間</t>
    <rPh sb="5" eb="7">
      <t>イルマ</t>
    </rPh>
    <phoneticPr fontId="2"/>
  </si>
  <si>
    <t>358-0008</t>
    <phoneticPr fontId="2"/>
  </si>
  <si>
    <t>04-2968-6317</t>
    <phoneticPr fontId="2"/>
  </si>
  <si>
    <t>04-2968-6355</t>
    <phoneticPr fontId="2"/>
  </si>
  <si>
    <t>西武鉄道池袋線入間市駅より徒歩1分</t>
    <rPh sb="0" eb="2">
      <t>セイブ</t>
    </rPh>
    <rPh sb="2" eb="4">
      <t>テツドウ</t>
    </rPh>
    <rPh sb="4" eb="6">
      <t>イケブクロ</t>
    </rPh>
    <rPh sb="6" eb="7">
      <t>セン</t>
    </rPh>
    <rPh sb="7" eb="10">
      <t>イルマシ</t>
    </rPh>
    <rPh sb="10" eb="11">
      <t>エキ</t>
    </rPh>
    <rPh sb="13" eb="15">
      <t>トホ</t>
    </rPh>
    <rPh sb="16" eb="17">
      <t>フン</t>
    </rPh>
    <phoneticPr fontId="2"/>
  </si>
  <si>
    <t>就労移行支援つばさ</t>
    <rPh sb="0" eb="6">
      <t>シュウロウイコウシエン</t>
    </rPh>
    <phoneticPr fontId="2"/>
  </si>
  <si>
    <t>豊岡1-3-22
エルドール入間403</t>
    <rPh sb="0" eb="2">
      <t>トヨオカ</t>
    </rPh>
    <rPh sb="14" eb="16">
      <t>イルマ</t>
    </rPh>
    <phoneticPr fontId="2"/>
  </si>
  <si>
    <t>04-2941-5150</t>
    <phoneticPr fontId="2"/>
  </si>
  <si>
    <t>042-2909-9043</t>
    <phoneticPr fontId="2"/>
  </si>
  <si>
    <t>西武鉄道池袋線入間市駅より徒歩6分</t>
    <rPh sb="0" eb="2">
      <t>セイブ</t>
    </rPh>
    <rPh sb="2" eb="4">
      <t>テツドウ</t>
    </rPh>
    <rPh sb="4" eb="6">
      <t>イケブクロ</t>
    </rPh>
    <rPh sb="6" eb="7">
      <t>セン</t>
    </rPh>
    <rPh sb="7" eb="10">
      <t>イルマシ</t>
    </rPh>
    <rPh sb="10" eb="11">
      <t>エキ</t>
    </rPh>
    <rPh sb="13" eb="15">
      <t>トホ</t>
    </rPh>
    <rPh sb="16" eb="17">
      <t>フン</t>
    </rPh>
    <phoneticPr fontId="2"/>
  </si>
  <si>
    <t>ＪＲ武蔵野線東所沢駅からところバス「やなせ荘入口」下車徒歩5分</t>
    <rPh sb="2" eb="6">
      <t>ムサシノセン</t>
    </rPh>
    <rPh sb="6" eb="9">
      <t>ヒガシトコロザワ</t>
    </rPh>
    <rPh sb="9" eb="10">
      <t>エキ</t>
    </rPh>
    <rPh sb="21" eb="22">
      <t>ソウ</t>
    </rPh>
    <rPh sb="22" eb="24">
      <t>イリグチ</t>
    </rPh>
    <rPh sb="25" eb="27">
      <t>ゲシャ</t>
    </rPh>
    <rPh sb="27" eb="29">
      <t>トホ</t>
    </rPh>
    <rPh sb="30" eb="31">
      <t>フン</t>
    </rPh>
    <phoneticPr fontId="2"/>
  </si>
  <si>
    <t>大字上赤坂471－23</t>
    <rPh sb="0" eb="2">
      <t>オオアザ</t>
    </rPh>
    <rPh sb="2" eb="5">
      <t>カミアカサカ</t>
    </rPh>
    <phoneticPr fontId="1"/>
  </si>
  <si>
    <t>(福)秀和会</t>
    <rPh sb="1" eb="2">
      <t>フク</t>
    </rPh>
    <rPh sb="3" eb="5">
      <t>シュウワ</t>
    </rPh>
    <rPh sb="5" eb="6">
      <t>カイ</t>
    </rPh>
    <phoneticPr fontId="2"/>
  </si>
  <si>
    <t>就労継続支援Ｂ型事業所
れんげの郷ところざわ</t>
    <rPh sb="0" eb="6">
      <t>シュウロウケイゾクシエン</t>
    </rPh>
    <rPh sb="7" eb="11">
      <t>ガタジギョウショ</t>
    </rPh>
    <rPh sb="16" eb="17">
      <t>サト</t>
    </rPh>
    <phoneticPr fontId="2"/>
  </si>
  <si>
    <t>東所沢3-38-11</t>
    <rPh sb="0" eb="3">
      <t>ヒガシトコロザワ</t>
    </rPh>
    <phoneticPr fontId="2"/>
  </si>
  <si>
    <t>04-2968-8230</t>
    <phoneticPr fontId="2"/>
  </si>
  <si>
    <t>04-2968-8230</t>
  </si>
  <si>
    <t>ＪＲ武蔵野線東所沢駅より徒歩20分</t>
    <rPh sb="2" eb="6">
      <t>ムサシノセン</t>
    </rPh>
    <rPh sb="6" eb="9">
      <t>ヒガシトコロザワ</t>
    </rPh>
    <rPh sb="9" eb="10">
      <t>エキ</t>
    </rPh>
    <rPh sb="12" eb="14">
      <t>トホ</t>
    </rPh>
    <rPh sb="16" eb="17">
      <t>フン</t>
    </rPh>
    <phoneticPr fontId="2"/>
  </si>
  <si>
    <t>旭町3-5-5東正ビル１階・２階</t>
    <rPh sb="0" eb="2">
      <t>アサヒチョウ</t>
    </rPh>
    <rPh sb="7" eb="8">
      <t>ヒガシ</t>
    </rPh>
    <rPh sb="8" eb="9">
      <t>セイ</t>
    </rPh>
    <rPh sb="12" eb="13">
      <t>カイ</t>
    </rPh>
    <rPh sb="15" eb="16">
      <t>カイ</t>
    </rPh>
    <phoneticPr fontId="2"/>
  </si>
  <si>
    <t>340-0053</t>
    <phoneticPr fontId="2"/>
  </si>
  <si>
    <t>（医）式場会</t>
    <rPh sb="1" eb="2">
      <t>イ</t>
    </rPh>
    <rPh sb="3" eb="5">
      <t>シキバ</t>
    </rPh>
    <rPh sb="5" eb="6">
      <t>カイ</t>
    </rPh>
    <phoneticPr fontId="2"/>
  </si>
  <si>
    <t>ｗａｃｃａ</t>
    <phoneticPr fontId="2"/>
  </si>
  <si>
    <t>栄町3-3-3-5</t>
    <rPh sb="0" eb="2">
      <t>サカエマチ</t>
    </rPh>
    <phoneticPr fontId="2"/>
  </si>
  <si>
    <t>048-954-5155</t>
    <phoneticPr fontId="2"/>
  </si>
  <si>
    <t>048-954-5156</t>
    <phoneticPr fontId="2"/>
  </si>
  <si>
    <t>東部スカイツリーライン獨協大学前駅東口下車徒歩3分</t>
    <rPh sb="0" eb="2">
      <t>トウブ</t>
    </rPh>
    <rPh sb="11" eb="15">
      <t>ドッキョウダイガク</t>
    </rPh>
    <rPh sb="15" eb="16">
      <t>マエ</t>
    </rPh>
    <rPh sb="16" eb="17">
      <t>エキ</t>
    </rPh>
    <rPh sb="17" eb="18">
      <t>ヒガシ</t>
    </rPh>
    <rPh sb="18" eb="19">
      <t>クチ</t>
    </rPh>
    <rPh sb="19" eb="21">
      <t>ゲシャ</t>
    </rPh>
    <rPh sb="21" eb="23">
      <t>トホ</t>
    </rPh>
    <rPh sb="24" eb="25">
      <t>フン</t>
    </rPh>
    <phoneticPr fontId="2"/>
  </si>
  <si>
    <t>（株）Ａｌｌｚ</t>
    <rPh sb="1" eb="2">
      <t>カブ</t>
    </rPh>
    <phoneticPr fontId="2"/>
  </si>
  <si>
    <t>ＯＮＥ＆ＯＮＬＹ</t>
    <phoneticPr fontId="2"/>
  </si>
  <si>
    <t>木曽根324-3
オータムヴィレッジⅡ</t>
    <rPh sb="0" eb="3">
      <t>キソネ</t>
    </rPh>
    <phoneticPr fontId="2"/>
  </si>
  <si>
    <t>340-0813</t>
    <phoneticPr fontId="2"/>
  </si>
  <si>
    <t>048-953-9085</t>
    <phoneticPr fontId="2"/>
  </si>
  <si>
    <t>048-953-9086</t>
    <phoneticPr fontId="2"/>
  </si>
  <si>
    <t>八潮駅から徒歩8分</t>
    <rPh sb="0" eb="2">
      <t>ヤシオ</t>
    </rPh>
    <rPh sb="2" eb="3">
      <t>エキ</t>
    </rPh>
    <rPh sb="5" eb="7">
      <t>トホ</t>
    </rPh>
    <rPh sb="8" eb="9">
      <t>フン</t>
    </rPh>
    <phoneticPr fontId="2"/>
  </si>
  <si>
    <t>(福)たいむ共生会</t>
    <rPh sb="1" eb="2">
      <t>フク</t>
    </rPh>
    <rPh sb="6" eb="8">
      <t>キョウセイ</t>
    </rPh>
    <rPh sb="8" eb="9">
      <t>カイ</t>
    </rPh>
    <phoneticPr fontId="2"/>
  </si>
  <si>
    <t>きらり</t>
    <phoneticPr fontId="2"/>
  </si>
  <si>
    <t>秩父市上影森762-1</t>
    <rPh sb="0" eb="3">
      <t>チチブシ</t>
    </rPh>
    <rPh sb="3" eb="4">
      <t>ウエ</t>
    </rPh>
    <rPh sb="4" eb="5">
      <t>カゲ</t>
    </rPh>
    <rPh sb="5" eb="6">
      <t>モリ</t>
    </rPh>
    <phoneticPr fontId="2"/>
  </si>
  <si>
    <t>0494-26-6689</t>
    <phoneticPr fontId="2"/>
  </si>
  <si>
    <t xml:space="preserve">秩父鉄道影森駅下車車5～8分 </t>
    <rPh sb="0" eb="2">
      <t>チチブ</t>
    </rPh>
    <rPh sb="2" eb="4">
      <t>テツドウ</t>
    </rPh>
    <rPh sb="4" eb="5">
      <t>カゲ</t>
    </rPh>
    <rPh sb="5" eb="6">
      <t>モリ</t>
    </rPh>
    <rPh sb="6" eb="7">
      <t>エキ</t>
    </rPh>
    <rPh sb="7" eb="9">
      <t>ゲシャ</t>
    </rPh>
    <rPh sb="9" eb="10">
      <t>クルマ</t>
    </rPh>
    <rPh sb="13" eb="14">
      <t>フン</t>
    </rPh>
    <phoneticPr fontId="2"/>
  </si>
  <si>
    <t>障害者活動センターキックオフ巴川</t>
    <rPh sb="0" eb="5">
      <t>ショウガイシャカツドウ</t>
    </rPh>
    <rPh sb="14" eb="15">
      <t>トモエ</t>
    </rPh>
    <rPh sb="15" eb="16">
      <t>カワ</t>
    </rPh>
    <phoneticPr fontId="2"/>
  </si>
  <si>
    <t>灯</t>
    <rPh sb="0" eb="1">
      <t>アカリ</t>
    </rPh>
    <phoneticPr fontId="2"/>
  </si>
  <si>
    <t>内ケ島725-1</t>
    <rPh sb="0" eb="3">
      <t>ウチガシマ</t>
    </rPh>
    <phoneticPr fontId="2"/>
  </si>
  <si>
    <t>366-0831</t>
    <phoneticPr fontId="2"/>
  </si>
  <si>
    <t>048-501-6667</t>
    <phoneticPr fontId="2"/>
  </si>
  <si>
    <t>048-501-2868</t>
    <phoneticPr fontId="2"/>
  </si>
  <si>
    <t>（特非）埼玉介護福祉協会・シリウス</t>
    <rPh sb="1" eb="2">
      <t>トク</t>
    </rPh>
    <rPh sb="2" eb="3">
      <t>ヒ</t>
    </rPh>
    <rPh sb="4" eb="6">
      <t>サイタマ</t>
    </rPh>
    <rPh sb="6" eb="8">
      <t>カイゴ</t>
    </rPh>
    <rPh sb="8" eb="10">
      <t>フクシ</t>
    </rPh>
    <rPh sb="10" eb="12">
      <t>キョウカイ</t>
    </rPh>
    <phoneticPr fontId="2"/>
  </si>
  <si>
    <t>埼玉敬愛学園・シリウス</t>
    <rPh sb="0" eb="2">
      <t>サイタマ</t>
    </rPh>
    <rPh sb="2" eb="4">
      <t>ケイアイ</t>
    </rPh>
    <rPh sb="4" eb="6">
      <t>ガクエン</t>
    </rPh>
    <phoneticPr fontId="2"/>
  </si>
  <si>
    <t>北根617</t>
    <rPh sb="0" eb="2">
      <t>キタネ</t>
    </rPh>
    <phoneticPr fontId="2"/>
  </si>
  <si>
    <t>365-0003</t>
    <phoneticPr fontId="2"/>
  </si>
  <si>
    <t>048-594-9150</t>
    <phoneticPr fontId="2"/>
  </si>
  <si>
    <t>048-594-9152</t>
    <phoneticPr fontId="2"/>
  </si>
  <si>
    <t>(特非）みのり</t>
    <rPh sb="1" eb="2">
      <t>トク</t>
    </rPh>
    <rPh sb="2" eb="3">
      <t>ヒ</t>
    </rPh>
    <phoneticPr fontId="2"/>
  </si>
  <si>
    <t>領家グリーンゲイブルズ</t>
    <rPh sb="0" eb="2">
      <t>リョウケ</t>
    </rPh>
    <phoneticPr fontId="2"/>
  </si>
  <si>
    <t>大字領家401-1</t>
    <rPh sb="0" eb="2">
      <t>オオアザ</t>
    </rPh>
    <rPh sb="2" eb="4">
      <t>リョウケ</t>
    </rPh>
    <phoneticPr fontId="2"/>
  </si>
  <si>
    <t>362-0066</t>
    <phoneticPr fontId="2"/>
  </si>
  <si>
    <t>048-729-8264</t>
    <phoneticPr fontId="2"/>
  </si>
  <si>
    <t>048-729-8265</t>
    <phoneticPr fontId="2"/>
  </si>
  <si>
    <t>上尾市内循環バス「恵和園」から徒歩1分</t>
    <rPh sb="0" eb="4">
      <t>アゲオシナイ</t>
    </rPh>
    <rPh sb="4" eb="6">
      <t>ジュンカン</t>
    </rPh>
    <rPh sb="9" eb="10">
      <t>メグミ</t>
    </rPh>
    <rPh sb="10" eb="11">
      <t>ワ</t>
    </rPh>
    <rPh sb="11" eb="12">
      <t>エン</t>
    </rPh>
    <rPh sb="15" eb="17">
      <t>トホ</t>
    </rPh>
    <rPh sb="18" eb="19">
      <t>フン</t>
    </rPh>
    <phoneticPr fontId="2"/>
  </si>
  <si>
    <t>深谷駅から国際十王バス「深谷商前」下車徒歩10分</t>
    <rPh sb="0" eb="2">
      <t>フカヤ</t>
    </rPh>
    <rPh sb="2" eb="3">
      <t>エキ</t>
    </rPh>
    <rPh sb="5" eb="7">
      <t>コクサイ</t>
    </rPh>
    <rPh sb="7" eb="8">
      <t>ジュウ</t>
    </rPh>
    <rPh sb="8" eb="9">
      <t>オウ</t>
    </rPh>
    <rPh sb="12" eb="14">
      <t>フカヤ</t>
    </rPh>
    <rPh sb="14" eb="15">
      <t>ショウ</t>
    </rPh>
    <rPh sb="15" eb="16">
      <t>マエ</t>
    </rPh>
    <rPh sb="17" eb="19">
      <t>ゲシャ</t>
    </rPh>
    <rPh sb="19" eb="21">
      <t>トホ</t>
    </rPh>
    <rPh sb="23" eb="24">
      <t>フン</t>
    </rPh>
    <phoneticPr fontId="2"/>
  </si>
  <si>
    <t>（福）ルピナス会</t>
    <rPh sb="1" eb="2">
      <t>フク</t>
    </rPh>
    <rPh sb="7" eb="8">
      <t>カイ</t>
    </rPh>
    <phoneticPr fontId="2"/>
  </si>
  <si>
    <t>かみさとデイサービスセンター</t>
    <phoneticPr fontId="2"/>
  </si>
  <si>
    <t>堤487-1</t>
    <rPh sb="0" eb="1">
      <t>ツツミ</t>
    </rPh>
    <phoneticPr fontId="2"/>
  </si>
  <si>
    <t>369-0313</t>
    <phoneticPr fontId="2"/>
  </si>
  <si>
    <t>0495-34-1471</t>
    <phoneticPr fontId="2"/>
  </si>
  <si>
    <t>0495-71-5524</t>
    <phoneticPr fontId="2"/>
  </si>
  <si>
    <t>（株）きさらぎ</t>
    <rPh sb="1" eb="2">
      <t>カブ</t>
    </rPh>
    <phoneticPr fontId="2"/>
  </si>
  <si>
    <t>デイサービスにこにこ</t>
    <phoneticPr fontId="2"/>
  </si>
  <si>
    <t>江原66-1</t>
    <rPh sb="0" eb="2">
      <t>エハラ</t>
    </rPh>
    <phoneticPr fontId="2"/>
  </si>
  <si>
    <t>366-0012</t>
    <phoneticPr fontId="2"/>
  </si>
  <si>
    <t>048-501-8865</t>
    <phoneticPr fontId="2"/>
  </si>
  <si>
    <t>048-501-8385</t>
    <phoneticPr fontId="2"/>
  </si>
  <si>
    <t>栗崎147-3</t>
    <rPh sb="0" eb="1">
      <t>クリ</t>
    </rPh>
    <rPh sb="1" eb="2">
      <t>サキ</t>
    </rPh>
    <phoneticPr fontId="2"/>
  </si>
  <si>
    <t>367-0032</t>
    <phoneticPr fontId="2"/>
  </si>
  <si>
    <t>本庄早稲田駅から徒歩18分</t>
    <rPh sb="0" eb="6">
      <t>ホンジョウワセダエキ</t>
    </rPh>
    <rPh sb="8" eb="10">
      <t>トホ</t>
    </rPh>
    <rPh sb="12" eb="13">
      <t>フン</t>
    </rPh>
    <phoneticPr fontId="2"/>
  </si>
  <si>
    <t>Bon Bon Terrasse</t>
    <phoneticPr fontId="2"/>
  </si>
  <si>
    <t>平方987-1</t>
    <rPh sb="0" eb="2">
      <t>ヒラカタ</t>
    </rPh>
    <phoneticPr fontId="2"/>
  </si>
  <si>
    <t>343-0002</t>
    <phoneticPr fontId="2"/>
  </si>
  <si>
    <t>048-973-7344</t>
    <phoneticPr fontId="2"/>
  </si>
  <si>
    <t>048-973-7345</t>
    <phoneticPr fontId="2"/>
  </si>
  <si>
    <t>東武スカイツリーラインせんげん台駅東口徒歩30分</t>
    <rPh sb="0" eb="2">
      <t>トウブ</t>
    </rPh>
    <rPh sb="15" eb="17">
      <t>ダイエキ</t>
    </rPh>
    <rPh sb="17" eb="19">
      <t>ヒガシグチ</t>
    </rPh>
    <rPh sb="19" eb="21">
      <t>トホ</t>
    </rPh>
    <rPh sb="23" eb="24">
      <t>フン</t>
    </rPh>
    <phoneticPr fontId="2"/>
  </si>
  <si>
    <t>生活介護事業所あおい空</t>
    <rPh sb="0" eb="2">
      <t>セイカツ</t>
    </rPh>
    <rPh sb="2" eb="4">
      <t>カイゴ</t>
    </rPh>
    <rPh sb="4" eb="7">
      <t>ジギョウショ</t>
    </rPh>
    <rPh sb="10" eb="11">
      <t>ソラ</t>
    </rPh>
    <phoneticPr fontId="2"/>
  </si>
  <si>
    <t>343-0021</t>
    <phoneticPr fontId="2"/>
  </si>
  <si>
    <t>048-971-0577</t>
    <phoneticPr fontId="2"/>
  </si>
  <si>
    <t>048-971-0071</t>
    <phoneticPr fontId="2"/>
  </si>
  <si>
    <t>東武スカイツリーライン北越谷駅東口徒歩25分</t>
    <rPh sb="0" eb="2">
      <t>トウブ</t>
    </rPh>
    <rPh sb="11" eb="14">
      <t>キタコシガヤ</t>
    </rPh>
    <rPh sb="14" eb="15">
      <t>エキ</t>
    </rPh>
    <rPh sb="15" eb="17">
      <t>ヒガシグチ</t>
    </rPh>
    <rPh sb="17" eb="19">
      <t>トホ</t>
    </rPh>
    <rPh sb="21" eb="22">
      <t>フン</t>
    </rPh>
    <phoneticPr fontId="2"/>
  </si>
  <si>
    <t>リズム南荻島</t>
    <rPh sb="3" eb="6">
      <t>ミナミオギシマ</t>
    </rPh>
    <phoneticPr fontId="2"/>
  </si>
  <si>
    <t>南荻島1023-1</t>
    <rPh sb="0" eb="3">
      <t>ミナミオギシマ</t>
    </rPh>
    <phoneticPr fontId="2"/>
  </si>
  <si>
    <t>343-0804</t>
    <phoneticPr fontId="2"/>
  </si>
  <si>
    <t>048-999-6668</t>
    <phoneticPr fontId="2"/>
  </si>
  <si>
    <t>048-999-6754</t>
    <phoneticPr fontId="2"/>
  </si>
  <si>
    <t>東武スカイツリーライン北越谷駅西口徒歩19分</t>
    <rPh sb="0" eb="2">
      <t>トウブ</t>
    </rPh>
    <rPh sb="11" eb="14">
      <t>キタコシガヤ</t>
    </rPh>
    <rPh sb="14" eb="15">
      <t>エキ</t>
    </rPh>
    <rPh sb="15" eb="17">
      <t>ニシグチ</t>
    </rPh>
    <rPh sb="17" eb="19">
      <t>トホ</t>
    </rPh>
    <rPh sb="21" eb="22">
      <t>フン</t>
    </rPh>
    <phoneticPr fontId="2"/>
  </si>
  <si>
    <t>重症者生活介護あすなろ</t>
    <rPh sb="0" eb="2">
      <t>ジュウショウ</t>
    </rPh>
    <rPh sb="2" eb="3">
      <t>シャ</t>
    </rPh>
    <rPh sb="3" eb="5">
      <t>セイカツ</t>
    </rPh>
    <rPh sb="5" eb="7">
      <t>カイゴ</t>
    </rPh>
    <phoneticPr fontId="2"/>
  </si>
  <si>
    <t>恩間新田280-4</t>
    <rPh sb="0" eb="4">
      <t>オンマシンデン</t>
    </rPh>
    <phoneticPr fontId="2"/>
  </si>
  <si>
    <t>048-971-9126</t>
    <phoneticPr fontId="2"/>
  </si>
  <si>
    <t>東武スカイツリーラインせんげん台駅西口徒歩24分</t>
    <rPh sb="0" eb="2">
      <t>トウブ</t>
    </rPh>
    <rPh sb="15" eb="16">
      <t>ダイ</t>
    </rPh>
    <rPh sb="16" eb="17">
      <t>エキ</t>
    </rPh>
    <rPh sb="17" eb="19">
      <t>ニシグチ</t>
    </rPh>
    <rPh sb="19" eb="21">
      <t>トホ</t>
    </rPh>
    <rPh sb="23" eb="24">
      <t>フン</t>
    </rPh>
    <phoneticPr fontId="2"/>
  </si>
  <si>
    <t>どっぽジョブセンター</t>
  </si>
  <si>
    <t>北区日進町二丁目１７６８番地３</t>
    <rPh sb="0" eb="2">
      <t>キタク</t>
    </rPh>
    <rPh sb="2" eb="5">
      <t>ニッシンチョウ</t>
    </rPh>
    <rPh sb="5" eb="6">
      <t>ニ</t>
    </rPh>
    <rPh sb="6" eb="8">
      <t>チョウメ</t>
    </rPh>
    <rPh sb="12" eb="14">
      <t>バンチ</t>
    </rPh>
    <phoneticPr fontId="5"/>
  </si>
  <si>
    <t>331-0823</t>
  </si>
  <si>
    <t>048-788-1222</t>
  </si>
  <si>
    <t>048-788-1161</t>
  </si>
  <si>
    <t>西区大字指扇字向1395-1</t>
  </si>
  <si>
    <t>331-0047</t>
  </si>
  <si>
    <t>西大宮駅徒歩15分</t>
  </si>
  <si>
    <t>藤間１０８９－１</t>
    <rPh sb="0" eb="2">
      <t>フジマ</t>
    </rPh>
    <phoneticPr fontId="2"/>
  </si>
  <si>
    <t>350-1142</t>
    <phoneticPr fontId="2"/>
  </si>
  <si>
    <t>新河岸駅から徒歩２６分</t>
    <rPh sb="0" eb="3">
      <t>シンガシ</t>
    </rPh>
    <rPh sb="3" eb="4">
      <t>エキ</t>
    </rPh>
    <rPh sb="6" eb="8">
      <t>トホ</t>
    </rPh>
    <rPh sb="10" eb="11">
      <t>フン</t>
    </rPh>
    <phoneticPr fontId="2"/>
  </si>
  <si>
    <t>生活介護　ゆかりの木</t>
    <rPh sb="0" eb="2">
      <t>セイカツ</t>
    </rPh>
    <rPh sb="2" eb="4">
      <t>カイゴ</t>
    </rPh>
    <rPh sb="9" eb="10">
      <t>キ</t>
    </rPh>
    <phoneticPr fontId="2"/>
  </si>
  <si>
    <t>下赤坂５５８－５</t>
    <rPh sb="0" eb="1">
      <t>シモ</t>
    </rPh>
    <rPh sb="1" eb="3">
      <t>アカサカ</t>
    </rPh>
    <phoneticPr fontId="2"/>
  </si>
  <si>
    <t>350-1155</t>
    <phoneticPr fontId="2"/>
  </si>
  <si>
    <t>090-6716-1029</t>
    <phoneticPr fontId="2"/>
  </si>
  <si>
    <t>049-231-0651</t>
    <phoneticPr fontId="2"/>
  </si>
  <si>
    <t>西武バス「八丁」バス停より徒歩５分</t>
    <rPh sb="0" eb="2">
      <t>セイブ</t>
    </rPh>
    <rPh sb="5" eb="7">
      <t>ハッチョウ</t>
    </rPh>
    <rPh sb="10" eb="11">
      <t>テイ</t>
    </rPh>
    <rPh sb="13" eb="15">
      <t>トホ</t>
    </rPh>
    <rPh sb="16" eb="17">
      <t>フン</t>
    </rPh>
    <phoneticPr fontId="2"/>
  </si>
  <si>
    <t>デイサービスセンターみどりのまち親愛</t>
    <rPh sb="16" eb="18">
      <t>シンアイ</t>
    </rPh>
    <phoneticPr fontId="2"/>
  </si>
  <si>
    <t>中台南２－１５－１０</t>
    <rPh sb="0" eb="2">
      <t>ナカダイ</t>
    </rPh>
    <rPh sb="2" eb="3">
      <t>ミナミ</t>
    </rPh>
    <phoneticPr fontId="2"/>
  </si>
  <si>
    <t>049-246-5617</t>
    <phoneticPr fontId="2"/>
  </si>
  <si>
    <t>049-246-5618</t>
    <phoneticPr fontId="2"/>
  </si>
  <si>
    <t>デイサービスLinoこまち</t>
    <phoneticPr fontId="2"/>
  </si>
  <si>
    <t>小室４７８－１</t>
    <rPh sb="0" eb="2">
      <t>コムロ</t>
    </rPh>
    <phoneticPr fontId="2"/>
  </si>
  <si>
    <t>350-1106</t>
    <phoneticPr fontId="2"/>
  </si>
  <si>
    <t>049-265-3221</t>
    <phoneticPr fontId="2"/>
  </si>
  <si>
    <t>049-247-8870</t>
    <phoneticPr fontId="2"/>
  </si>
  <si>
    <t>西川越駅から徒歩８分。
※共生型生活介護</t>
    <rPh sb="0" eb="1">
      <t>ニシ</t>
    </rPh>
    <rPh sb="1" eb="3">
      <t>カワゴエ</t>
    </rPh>
    <rPh sb="3" eb="4">
      <t>エキ</t>
    </rPh>
    <rPh sb="6" eb="8">
      <t>トホ</t>
    </rPh>
    <rPh sb="9" eb="10">
      <t>フン</t>
    </rPh>
    <rPh sb="13" eb="16">
      <t>キョウセイガタ</t>
    </rPh>
    <rPh sb="16" eb="18">
      <t>セイカツ</t>
    </rPh>
    <rPh sb="18" eb="20">
      <t>カイゴ</t>
    </rPh>
    <phoneticPr fontId="2"/>
  </si>
  <si>
    <t>リズム南鳩ヶ谷</t>
    <rPh sb="3" eb="4">
      <t>みなみ</t>
    </rPh>
    <rPh sb="4" eb="7">
      <t>はとがや</t>
    </rPh>
    <phoneticPr fontId="2" type="Hiragana"/>
  </si>
  <si>
    <t>南鳩ヶ谷２－１７－４</t>
    <rPh sb="0" eb="1">
      <t>みなみ</t>
    </rPh>
    <rPh sb="1" eb="4">
      <t>はとがや</t>
    </rPh>
    <phoneticPr fontId="2" type="Hiragana"/>
  </si>
  <si>
    <t>334-0013</t>
    <phoneticPr fontId="2" type="Hiragana"/>
  </si>
  <si>
    <t>048-229-3512</t>
    <phoneticPr fontId="2" type="Hiragana"/>
  </si>
  <si>
    <t>048-229-3513</t>
    <phoneticPr fontId="2" type="Hiragana"/>
  </si>
  <si>
    <t>埼玉高速鉄道「南鳩ヶ谷駅」より国際興業バス「サンテピア行き」南鳩ヶ谷二丁目バス停より徒歩３分</t>
    <rPh sb="7" eb="8">
      <t>みなみ</t>
    </rPh>
    <rPh sb="8" eb="11">
      <t>はとがや</t>
    </rPh>
    <rPh sb="30" eb="31">
      <t>みなみ</t>
    </rPh>
    <rPh sb="31" eb="34">
      <t>はとがや</t>
    </rPh>
    <rPh sb="34" eb="37">
      <t>２ちょうめ</t>
    </rPh>
    <phoneticPr fontId="2" type="Hiragana"/>
  </si>
  <si>
    <t>さいたま市与野本町デイサービスセンター</t>
    <rPh sb="4" eb="5">
      <t>シ</t>
    </rPh>
    <rPh sb="5" eb="9">
      <t>ヨノホンマチ</t>
    </rPh>
    <phoneticPr fontId="5"/>
  </si>
  <si>
    <t>中央区本町東4-7-20</t>
  </si>
  <si>
    <t>338-0003</t>
  </si>
  <si>
    <t>048-853-5000</t>
  </si>
  <si>
    <t>048-853-5010</t>
  </si>
  <si>
    <t>共生型（定員は合計数）
ＪＲ与野本町駅徒歩８分</t>
    <rPh sb="0" eb="2">
      <t>キョウセイ</t>
    </rPh>
    <rPh sb="2" eb="3">
      <t>ガタ</t>
    </rPh>
    <rPh sb="4" eb="6">
      <t>テイイン</t>
    </rPh>
    <rPh sb="7" eb="9">
      <t>ゴウケイ</t>
    </rPh>
    <rPh sb="9" eb="10">
      <t>スウ</t>
    </rPh>
    <rPh sb="14" eb="18">
      <t>ヨノホンマチ</t>
    </rPh>
    <rPh sb="18" eb="19">
      <t>エキ</t>
    </rPh>
    <rPh sb="19" eb="21">
      <t>トホ</t>
    </rPh>
    <rPh sb="22" eb="23">
      <t>フン</t>
    </rPh>
    <phoneticPr fontId="2"/>
  </si>
  <si>
    <t>障害福祉サービス事業所てとて</t>
    <rPh sb="0" eb="2">
      <t>ショウガイ</t>
    </rPh>
    <rPh sb="2" eb="4">
      <t>フクシ</t>
    </rPh>
    <rPh sb="8" eb="11">
      <t>ジギョウショ</t>
    </rPh>
    <phoneticPr fontId="5"/>
  </si>
  <si>
    <t>336-0911</t>
  </si>
  <si>
    <t>京浜東北線北浦和駅東口から市立病院行バス「教育センター前」下車徒歩3分　</t>
    <rPh sb="0" eb="2">
      <t>ケイヒン</t>
    </rPh>
    <rPh sb="2" eb="4">
      <t>トウホク</t>
    </rPh>
    <rPh sb="4" eb="5">
      <t>セン</t>
    </rPh>
    <rPh sb="5" eb="8">
      <t>キタウラワ</t>
    </rPh>
    <rPh sb="8" eb="9">
      <t>エキ</t>
    </rPh>
    <rPh sb="9" eb="11">
      <t>ヒガシグチ</t>
    </rPh>
    <rPh sb="13" eb="15">
      <t>シリツ</t>
    </rPh>
    <rPh sb="15" eb="17">
      <t>ビョウイン</t>
    </rPh>
    <rPh sb="17" eb="18">
      <t>イ</t>
    </rPh>
    <rPh sb="21" eb="23">
      <t>キョウイク</t>
    </rPh>
    <rPh sb="27" eb="28">
      <t>マエ</t>
    </rPh>
    <rPh sb="29" eb="31">
      <t>ゲシャ</t>
    </rPh>
    <rPh sb="31" eb="33">
      <t>トホ</t>
    </rPh>
    <rPh sb="34" eb="35">
      <t>プン</t>
    </rPh>
    <phoneticPr fontId="2"/>
  </si>
  <si>
    <t>プリムローズⅡ</t>
  </si>
  <si>
    <t>西区西大宮４－２－３</t>
    <phoneticPr fontId="2"/>
  </si>
  <si>
    <t>331-0078</t>
  </si>
  <si>
    <t>ＪＲ西大宮駅　東武バス「清河寺バス停」徒歩３分</t>
    <rPh sb="2" eb="3">
      <t>ニシ</t>
    </rPh>
    <rPh sb="3" eb="5">
      <t>オオミヤ</t>
    </rPh>
    <rPh sb="5" eb="6">
      <t>エキ</t>
    </rPh>
    <rPh sb="7" eb="9">
      <t>トウブ</t>
    </rPh>
    <rPh sb="12" eb="15">
      <t>セイガンジ</t>
    </rPh>
    <rPh sb="17" eb="18">
      <t>テイ</t>
    </rPh>
    <rPh sb="19" eb="21">
      <t>トホ</t>
    </rPh>
    <rPh sb="22" eb="23">
      <t>フン</t>
    </rPh>
    <phoneticPr fontId="2"/>
  </si>
  <si>
    <t>ことぶきハウス</t>
  </si>
  <si>
    <t>南区白幡３－２－７　オリオンビル１Ｆ</t>
    <rPh sb="0" eb="2">
      <t>ミナミク</t>
    </rPh>
    <rPh sb="2" eb="4">
      <t>シラハタ</t>
    </rPh>
    <phoneticPr fontId="2"/>
  </si>
  <si>
    <t>048-829-9598</t>
  </si>
  <si>
    <t>048-829-9198</t>
  </si>
  <si>
    <t>共生型（定員は合計数）
ＪＲ武蔵浦和駅徒歩８分</t>
    <rPh sb="0" eb="2">
      <t>キョウセイ</t>
    </rPh>
    <rPh sb="2" eb="3">
      <t>ガタ</t>
    </rPh>
    <rPh sb="4" eb="6">
      <t>テイイン</t>
    </rPh>
    <rPh sb="7" eb="9">
      <t>ゴウケイ</t>
    </rPh>
    <rPh sb="9" eb="10">
      <t>スウ</t>
    </rPh>
    <rPh sb="14" eb="19">
      <t>ムサシウラワエキ</t>
    </rPh>
    <rPh sb="19" eb="21">
      <t>トホ</t>
    </rPh>
    <rPh sb="22" eb="23">
      <t>フン</t>
    </rPh>
    <phoneticPr fontId="2"/>
  </si>
  <si>
    <t>デイセンターかりん</t>
  </si>
  <si>
    <t>南区大字大谷口１５８４－１</t>
    <rPh sb="0" eb="2">
      <t>ミナミク</t>
    </rPh>
    <rPh sb="2" eb="4">
      <t>オオアザ</t>
    </rPh>
    <rPh sb="4" eb="7">
      <t>オオヤグチ</t>
    </rPh>
    <phoneticPr fontId="5"/>
  </si>
  <si>
    <t>048-813-5262</t>
  </si>
  <si>
    <t>048-813-5263</t>
  </si>
  <si>
    <t>ＪＲ南浦和駅より国際興業バス「太田窪５丁目」停留所より徒歩8分</t>
  </si>
  <si>
    <t>和光市・(福)和光市社会福祉協議会</t>
    <rPh sb="0" eb="3">
      <t>ワコウシ</t>
    </rPh>
    <rPh sb="5" eb="6">
      <t>フク</t>
    </rPh>
    <rPh sb="7" eb="10">
      <t>ワコウシ</t>
    </rPh>
    <rPh sb="10" eb="12">
      <t>シャカイ</t>
    </rPh>
    <rPh sb="12" eb="14">
      <t>フクシ</t>
    </rPh>
    <rPh sb="14" eb="17">
      <t>キョウギカイ</t>
    </rPh>
    <phoneticPr fontId="31"/>
  </si>
  <si>
    <t>和光市就労継続支援Ｂ型施設　すまいる工房</t>
    <rPh sb="0" eb="3">
      <t>ワコウシ</t>
    </rPh>
    <rPh sb="3" eb="5">
      <t>シュウロウ</t>
    </rPh>
    <rPh sb="5" eb="7">
      <t>ケイゾク</t>
    </rPh>
    <rPh sb="7" eb="9">
      <t>シエン</t>
    </rPh>
    <rPh sb="10" eb="11">
      <t>ガタ</t>
    </rPh>
    <rPh sb="11" eb="13">
      <t>シセツ</t>
    </rPh>
    <rPh sb="18" eb="20">
      <t>コウボウ</t>
    </rPh>
    <phoneticPr fontId="31"/>
  </si>
  <si>
    <t>南1-23-1総合福祉会館内</t>
    <rPh sb="7" eb="11">
      <t>ソウゴウフクシ</t>
    </rPh>
    <rPh sb="11" eb="14">
      <t>カイカンナイ</t>
    </rPh>
    <phoneticPr fontId="31"/>
  </si>
  <si>
    <t>048-452-7102</t>
  </si>
  <si>
    <t>048-452-7103</t>
  </si>
  <si>
    <t>東武東上線和光市駅南口から司法研修所循環バス「司法研修所前」下車徒歩3分</t>
    <rPh sb="0" eb="2">
      <t>トウブ</t>
    </rPh>
    <rPh sb="2" eb="4">
      <t>トウジョウ</t>
    </rPh>
    <rPh sb="4" eb="5">
      <t>セン</t>
    </rPh>
    <rPh sb="5" eb="7">
      <t>ワコウ</t>
    </rPh>
    <rPh sb="7" eb="8">
      <t>シ</t>
    </rPh>
    <rPh sb="8" eb="9">
      <t>エキ</t>
    </rPh>
    <rPh sb="9" eb="11">
      <t>ミナミグチ</t>
    </rPh>
    <rPh sb="13" eb="15">
      <t>シホウ</t>
    </rPh>
    <rPh sb="15" eb="18">
      <t>ケンシュウジョ</t>
    </rPh>
    <rPh sb="18" eb="20">
      <t>ジュンカン</t>
    </rPh>
    <rPh sb="23" eb="25">
      <t>シホウ</t>
    </rPh>
    <rPh sb="25" eb="28">
      <t>ケンシュウジョ</t>
    </rPh>
    <rPh sb="28" eb="29">
      <t>マエ</t>
    </rPh>
    <rPh sb="30" eb="32">
      <t>ゲシャ</t>
    </rPh>
    <rPh sb="32" eb="34">
      <t>トホ</t>
    </rPh>
    <rPh sb="35" eb="36">
      <t>プン</t>
    </rPh>
    <phoneticPr fontId="31"/>
  </si>
  <si>
    <t>和光市生活介護施設　ゆめちか</t>
    <rPh sb="0" eb="3">
      <t>ワコウシ</t>
    </rPh>
    <rPh sb="3" eb="5">
      <t>セイカツ</t>
    </rPh>
    <rPh sb="5" eb="7">
      <t>カイゴ</t>
    </rPh>
    <rPh sb="7" eb="9">
      <t>シセツ</t>
    </rPh>
    <phoneticPr fontId="31"/>
  </si>
  <si>
    <t>048-452-7100</t>
  </si>
  <si>
    <t>048-452-7101</t>
  </si>
  <si>
    <t>アトリエ・アンノウン</t>
    <phoneticPr fontId="2"/>
  </si>
  <si>
    <t>南荻島1023-1　1階</t>
    <rPh sb="0" eb="3">
      <t>ミナミオギシマ</t>
    </rPh>
    <rPh sb="11" eb="12">
      <t>カイ</t>
    </rPh>
    <phoneticPr fontId="2"/>
  </si>
  <si>
    <t>048-940-7318</t>
    <phoneticPr fontId="2"/>
  </si>
  <si>
    <t>048-940-7319</t>
    <phoneticPr fontId="2"/>
  </si>
  <si>
    <t>東武スカイツリーライン北越谷駅西口徒歩20分</t>
    <rPh sb="0" eb="2">
      <t>トウブ</t>
    </rPh>
    <rPh sb="11" eb="14">
      <t>キタコシガヤ</t>
    </rPh>
    <rPh sb="14" eb="15">
      <t>エキ</t>
    </rPh>
    <rPh sb="15" eb="17">
      <t>ニシグチ</t>
    </rPh>
    <rPh sb="17" eb="19">
      <t>トホ</t>
    </rPh>
    <rPh sb="21" eb="22">
      <t>フン</t>
    </rPh>
    <phoneticPr fontId="2"/>
  </si>
  <si>
    <t>049-266-2917</t>
    <phoneticPr fontId="2"/>
  </si>
  <si>
    <t>048-999-6853</t>
    <phoneticPr fontId="2"/>
  </si>
  <si>
    <t>上樋遣川3893-1</t>
    <rPh sb="0" eb="1">
      <t>ウエ</t>
    </rPh>
    <rPh sb="1" eb="4">
      <t>ヒヤリカワ</t>
    </rPh>
    <phoneticPr fontId="2"/>
  </si>
  <si>
    <t>0480-53-9773</t>
    <phoneticPr fontId="2"/>
  </si>
  <si>
    <t>0480-53-9766</t>
    <phoneticPr fontId="2"/>
  </si>
  <si>
    <t>04-2935-4799</t>
    <phoneticPr fontId="2"/>
  </si>
  <si>
    <t>(特非)あい</t>
    <phoneticPr fontId="2"/>
  </si>
  <si>
    <t>多機能型事業所ぐっじょぶ</t>
    <rPh sb="0" eb="4">
      <t>タキノウガタ</t>
    </rPh>
    <rPh sb="4" eb="7">
      <t>ジギョウショ</t>
    </rPh>
    <phoneticPr fontId="2"/>
  </si>
  <si>
    <t>北足立郡伊奈町</t>
    <rPh sb="0" eb="1">
      <t>キタ</t>
    </rPh>
    <rPh sb="1" eb="3">
      <t>アダチ</t>
    </rPh>
    <rPh sb="3" eb="4">
      <t>グン</t>
    </rPh>
    <rPh sb="4" eb="7">
      <t>イナマチ</t>
    </rPh>
    <phoneticPr fontId="2"/>
  </si>
  <si>
    <t>小針新宿733-1</t>
    <rPh sb="0" eb="2">
      <t>コバリ</t>
    </rPh>
    <rPh sb="2" eb="4">
      <t>シンジュク</t>
    </rPh>
    <phoneticPr fontId="2"/>
  </si>
  <si>
    <t>362-0808</t>
    <phoneticPr fontId="2"/>
  </si>
  <si>
    <t>048-729-8278</t>
    <phoneticPr fontId="2"/>
  </si>
  <si>
    <t>048-729-8279</t>
    <phoneticPr fontId="2"/>
  </si>
  <si>
    <t>埼玉都市交通伊奈線（ニューシャトル）内宿駅から徒歩10分</t>
    <rPh sb="0" eb="2">
      <t>サイタマ</t>
    </rPh>
    <rPh sb="2" eb="4">
      <t>トシ</t>
    </rPh>
    <rPh sb="4" eb="6">
      <t>コウツウ</t>
    </rPh>
    <rPh sb="6" eb="8">
      <t>イナ</t>
    </rPh>
    <rPh sb="8" eb="9">
      <t>セン</t>
    </rPh>
    <rPh sb="18" eb="19">
      <t>ウチ</t>
    </rPh>
    <rPh sb="19" eb="20">
      <t>シュク</t>
    </rPh>
    <rPh sb="20" eb="21">
      <t>エキ</t>
    </rPh>
    <rPh sb="23" eb="25">
      <t>トホ</t>
    </rPh>
    <rPh sb="27" eb="28">
      <t>フン</t>
    </rPh>
    <phoneticPr fontId="2"/>
  </si>
  <si>
    <t>（株）トーマス</t>
    <rPh sb="0" eb="3">
      <t>カブ</t>
    </rPh>
    <phoneticPr fontId="2"/>
  </si>
  <si>
    <t>東所沢和田2-23-5-102</t>
    <rPh sb="0" eb="3">
      <t>ヒガシトコロザワ</t>
    </rPh>
    <rPh sb="3" eb="5">
      <t>ワダ</t>
    </rPh>
    <phoneticPr fontId="2"/>
  </si>
  <si>
    <t>04-2946-8431</t>
    <phoneticPr fontId="2"/>
  </si>
  <si>
    <t>ＪＲ武蔵野線東所沢駅より徒歩10分</t>
    <rPh sb="2" eb="6">
      <t>ムサシノセン</t>
    </rPh>
    <rPh sb="6" eb="9">
      <t>ヒガシトコロザワ</t>
    </rPh>
    <rPh sb="9" eb="10">
      <t>エキ</t>
    </rPh>
    <rPh sb="12" eb="14">
      <t>トホ</t>
    </rPh>
    <rPh sb="16" eb="17">
      <t>フン</t>
    </rPh>
    <phoneticPr fontId="2"/>
  </si>
  <si>
    <t>（株）ココルポート</t>
    <rPh sb="0" eb="3">
      <t>カブ</t>
    </rPh>
    <phoneticPr fontId="2"/>
  </si>
  <si>
    <t>Cocorport北朝霞Office</t>
    <rPh sb="9" eb="12">
      <t>キタアサカ</t>
    </rPh>
    <phoneticPr fontId="2"/>
  </si>
  <si>
    <t>351-0034</t>
    <phoneticPr fontId="2"/>
  </si>
  <si>
    <t>048-424-7342</t>
    <phoneticPr fontId="2"/>
  </si>
  <si>
    <t>048-424-7343</t>
  </si>
  <si>
    <t>ＪＲ武蔵野線北朝霞駅より徒歩3分</t>
    <rPh sb="2" eb="6">
      <t>ムサシノセン</t>
    </rPh>
    <rPh sb="6" eb="9">
      <t>キタアサカ</t>
    </rPh>
    <rPh sb="9" eb="10">
      <t>エキ</t>
    </rPh>
    <rPh sb="12" eb="14">
      <t>トホ</t>
    </rPh>
    <rPh sb="15" eb="16">
      <t>フン</t>
    </rPh>
    <phoneticPr fontId="2"/>
  </si>
  <si>
    <t>大字高倉108-1</t>
    <rPh sb="0" eb="2">
      <t>オオアザ</t>
    </rPh>
    <rPh sb="2" eb="4">
      <t>タカクラ</t>
    </rPh>
    <phoneticPr fontId="2"/>
  </si>
  <si>
    <t>東武東上線若葉駅から鶴ヶ島市コミュニティバス「農業交流センター」下車徒歩3分</t>
    <rPh sb="0" eb="2">
      <t>トウブ</t>
    </rPh>
    <rPh sb="2" eb="4">
      <t>トウジョウ</t>
    </rPh>
    <rPh sb="4" eb="5">
      <t>セン</t>
    </rPh>
    <rPh sb="5" eb="7">
      <t>ワカバ</t>
    </rPh>
    <rPh sb="7" eb="8">
      <t>エキ</t>
    </rPh>
    <rPh sb="10" eb="14">
      <t>ツルガシマシ</t>
    </rPh>
    <rPh sb="23" eb="25">
      <t>ノウギョウ</t>
    </rPh>
    <rPh sb="25" eb="27">
      <t>コウリュウ</t>
    </rPh>
    <rPh sb="32" eb="34">
      <t>ゲシャ</t>
    </rPh>
    <rPh sb="34" eb="36">
      <t>トホ</t>
    </rPh>
    <rPh sb="37" eb="38">
      <t>プン</t>
    </rPh>
    <phoneticPr fontId="2"/>
  </si>
  <si>
    <t>グループホームなないろ</t>
    <phoneticPr fontId="2"/>
  </si>
  <si>
    <t>藤塚1245-1</t>
    <rPh sb="0" eb="2">
      <t>フジツカ</t>
    </rPh>
    <phoneticPr fontId="2"/>
  </si>
  <si>
    <t>048-797-8112</t>
    <phoneticPr fontId="2"/>
  </si>
  <si>
    <t>048-797-8113</t>
    <phoneticPr fontId="2"/>
  </si>
  <si>
    <t>東部アーバンパークライン藤の牛島駅下車　徒歩10～15分</t>
    <rPh sb="0" eb="2">
      <t>トウブ</t>
    </rPh>
    <rPh sb="12" eb="13">
      <t>フジ</t>
    </rPh>
    <rPh sb="14" eb="16">
      <t>ウシジマ</t>
    </rPh>
    <rPh sb="16" eb="17">
      <t>エキ</t>
    </rPh>
    <rPh sb="17" eb="19">
      <t>ゲシャ</t>
    </rPh>
    <rPh sb="20" eb="22">
      <t>トホ</t>
    </rPh>
    <rPh sb="27" eb="28">
      <t>フン</t>
    </rPh>
    <phoneticPr fontId="2"/>
  </si>
  <si>
    <t>ディーキャリア　大宮第二オフィス</t>
    <rPh sb="8" eb="10">
      <t>オオミヤ</t>
    </rPh>
    <rPh sb="10" eb="11">
      <t>ダイ</t>
    </rPh>
    <rPh sb="11" eb="12">
      <t>２</t>
    </rPh>
    <phoneticPr fontId="5"/>
  </si>
  <si>
    <t>大宮区桜木町４－２０９　グランディ桜木ビル３階</t>
    <rPh sb="0" eb="2">
      <t>オオミヤ</t>
    </rPh>
    <rPh sb="2" eb="3">
      <t>ク</t>
    </rPh>
    <rPh sb="3" eb="6">
      <t>サクラギチョウ</t>
    </rPh>
    <rPh sb="17" eb="19">
      <t>サクラギ</t>
    </rPh>
    <rPh sb="22" eb="23">
      <t>カイ</t>
    </rPh>
    <phoneticPr fontId="5"/>
  </si>
  <si>
    <t>330-0854</t>
  </si>
  <si>
    <t>048-729-7755</t>
  </si>
  <si>
    <t>048-729-7757</t>
  </si>
  <si>
    <t>JR大宮駅から徒歩7分</t>
    <rPh sb="2" eb="5">
      <t>オオミヤエキ</t>
    </rPh>
    <rPh sb="7" eb="9">
      <t>トホ</t>
    </rPh>
    <rPh sb="10" eb="11">
      <t>フン</t>
    </rPh>
    <phoneticPr fontId="2"/>
  </si>
  <si>
    <t>331-0812</t>
  </si>
  <si>
    <t>048-729-7729</t>
  </si>
  <si>
    <t>048-729-7727</t>
  </si>
  <si>
    <t>埼玉新都市交通ニューシャトル加茂宮駅から徒歩9分</t>
    <rPh sb="14" eb="18">
      <t>カモノミヤエキ</t>
    </rPh>
    <rPh sb="20" eb="22">
      <t>トホ</t>
    </rPh>
    <rPh sb="23" eb="24">
      <t>フン</t>
    </rPh>
    <phoneticPr fontId="2"/>
  </si>
  <si>
    <t>ありがとう生活介護事業所</t>
    <rPh sb="5" eb="12">
      <t>セイカツカイゴジギョウショ</t>
    </rPh>
    <phoneticPr fontId="5"/>
  </si>
  <si>
    <t>西区指扇１７１１－１　ガレリア西大宮</t>
    <rPh sb="0" eb="2">
      <t>ニシク</t>
    </rPh>
    <rPh sb="2" eb="4">
      <t>サシオウギ</t>
    </rPh>
    <rPh sb="15" eb="16">
      <t>ニシ</t>
    </rPh>
    <rPh sb="16" eb="18">
      <t>オオミヤ</t>
    </rPh>
    <phoneticPr fontId="5"/>
  </si>
  <si>
    <t>048-729-7981</t>
  </si>
  <si>
    <t>048-729-7982</t>
  </si>
  <si>
    <t>JR西大宮駅から徒歩4分</t>
    <rPh sb="2" eb="3">
      <t>ニシ</t>
    </rPh>
    <rPh sb="3" eb="6">
      <t>オオミヤエキ</t>
    </rPh>
    <rPh sb="8" eb="10">
      <t>トホ</t>
    </rPh>
    <rPh sb="11" eb="12">
      <t>フン</t>
    </rPh>
    <phoneticPr fontId="2"/>
  </si>
  <si>
    <t>オフィスキュア</t>
  </si>
  <si>
    <t>大宮区大成町３－５１３　セブンビル３Ｆ</t>
    <rPh sb="0" eb="2">
      <t>オオミヤ</t>
    </rPh>
    <rPh sb="2" eb="3">
      <t>ク</t>
    </rPh>
    <rPh sb="3" eb="6">
      <t>オオナリチョウ</t>
    </rPh>
    <phoneticPr fontId="5"/>
  </si>
  <si>
    <t>ニューシャトル鉄道博物館駅から徒歩5分</t>
    <rPh sb="7" eb="12">
      <t>テツドウハクブツカン</t>
    </rPh>
    <rPh sb="12" eb="13">
      <t>エキ</t>
    </rPh>
    <rPh sb="15" eb="17">
      <t>トホ</t>
    </rPh>
    <rPh sb="18" eb="19">
      <t>フン</t>
    </rPh>
    <phoneticPr fontId="2"/>
  </si>
  <si>
    <t>サポートステーションやどかり</t>
  </si>
  <si>
    <t>337-0043</t>
  </si>
  <si>
    <t>048-687-2834</t>
  </si>
  <si>
    <t>048-686-9812</t>
  </si>
  <si>
    <t>和光市・(福)和光市社会福祉協議会</t>
    <rPh sb="0" eb="3">
      <t>ワコウシ</t>
    </rPh>
    <rPh sb="5" eb="6">
      <t>フク</t>
    </rPh>
    <rPh sb="7" eb="10">
      <t>ワコウシ</t>
    </rPh>
    <rPh sb="10" eb="12">
      <t>シャカイ</t>
    </rPh>
    <rPh sb="12" eb="14">
      <t>フクシ</t>
    </rPh>
    <rPh sb="14" eb="17">
      <t>キョウギカイ</t>
    </rPh>
    <phoneticPr fontId="32"/>
  </si>
  <si>
    <t>さつき苑</t>
    <rPh sb="3" eb="4">
      <t>エン</t>
    </rPh>
    <phoneticPr fontId="32"/>
  </si>
  <si>
    <t>下新倉1-3-5</t>
    <rPh sb="0" eb="3">
      <t>シモニイクラ</t>
    </rPh>
    <phoneticPr fontId="32"/>
  </si>
  <si>
    <t>048-466-3457</t>
  </si>
  <si>
    <t>048-467-8281</t>
  </si>
  <si>
    <t>東武東上線和光市駅北口下車徒歩3分</t>
  </si>
  <si>
    <t>このまんま</t>
    <phoneticPr fontId="2" type="Hiragana"/>
  </si>
  <si>
    <t>333-0854</t>
    <phoneticPr fontId="2" type="Hiragana"/>
  </si>
  <si>
    <t>048-423-5180</t>
    <phoneticPr fontId="2" type="Hiragana"/>
  </si>
  <si>
    <t>048-423-5181</t>
    <phoneticPr fontId="2" type="Hiragana"/>
  </si>
  <si>
    <t>Ｒ2.5.1</t>
    <phoneticPr fontId="2" type="Hiragana"/>
  </si>
  <si>
    <t>Colourful Design Works</t>
    <phoneticPr fontId="2" type="Hiragana"/>
  </si>
  <si>
    <t>鳩ヶ谷緑町二丁目２０番地の１５</t>
    <phoneticPr fontId="2" type="Hiragana"/>
  </si>
  <si>
    <t>334-0015</t>
    <phoneticPr fontId="2" type="Hiragana"/>
  </si>
  <si>
    <t>048-299-6271</t>
    <phoneticPr fontId="2" type="Hiragana"/>
  </si>
  <si>
    <t>埼玉高速鉄道「南鳩ヶ谷駅」より徒歩10分</t>
    <rPh sb="0" eb="2">
      <t>さいたま</t>
    </rPh>
    <rPh sb="2" eb="4">
      <t>こうそく</t>
    </rPh>
    <rPh sb="4" eb="6">
      <t>てつどう</t>
    </rPh>
    <rPh sb="7" eb="8">
      <t>みなみ</t>
    </rPh>
    <rPh sb="8" eb="11">
      <t>はとがや</t>
    </rPh>
    <rPh sb="11" eb="12">
      <t>えき</t>
    </rPh>
    <rPh sb="15" eb="17">
      <t>とほ</t>
    </rPh>
    <rPh sb="19" eb="20">
      <t>ふん</t>
    </rPh>
    <phoneticPr fontId="2" type="Hiragana"/>
  </si>
  <si>
    <t>359-1123</t>
  </si>
  <si>
    <t>359-1123</t>
    <phoneticPr fontId="2"/>
  </si>
  <si>
    <t>溝端町3-3</t>
    <rPh sb="0" eb="3">
      <t>ミゾバタマチ</t>
    </rPh>
    <phoneticPr fontId="1"/>
  </si>
  <si>
    <t>350-0274</t>
    <phoneticPr fontId="2"/>
  </si>
  <si>
    <t>049-298-5823</t>
    <phoneticPr fontId="2"/>
  </si>
  <si>
    <t>049-298-5824</t>
  </si>
  <si>
    <t>東武東上線北坂戸駅から徒歩1分
※共同生活援助との併設</t>
    <rPh sb="0" eb="5">
      <t>トウブトウジョウセン</t>
    </rPh>
    <rPh sb="5" eb="8">
      <t>キタサカド</t>
    </rPh>
    <rPh sb="8" eb="9">
      <t>エキ</t>
    </rPh>
    <rPh sb="11" eb="13">
      <t>トホ</t>
    </rPh>
    <rPh sb="14" eb="15">
      <t>フン</t>
    </rPh>
    <phoneticPr fontId="2"/>
  </si>
  <si>
    <t>（特非）糸ぐるま</t>
    <rPh sb="1" eb="2">
      <t>トク</t>
    </rPh>
    <rPh sb="2" eb="3">
      <t>ヒ</t>
    </rPh>
    <rPh sb="4" eb="5">
      <t>イト</t>
    </rPh>
    <phoneticPr fontId="2"/>
  </si>
  <si>
    <t>つむぎ</t>
    <phoneticPr fontId="2"/>
  </si>
  <si>
    <t>北町2-9-23</t>
    <rPh sb="0" eb="2">
      <t>キタマチ</t>
    </rPh>
    <phoneticPr fontId="2"/>
  </si>
  <si>
    <t>048-430-7552</t>
    <phoneticPr fontId="2"/>
  </si>
  <si>
    <t>蕨駅から徒歩15分</t>
    <rPh sb="0" eb="1">
      <t>ワラビ</t>
    </rPh>
    <rPh sb="1" eb="2">
      <t>エキ</t>
    </rPh>
    <rPh sb="4" eb="6">
      <t>トホ</t>
    </rPh>
    <rPh sb="8" eb="9">
      <t>フン</t>
    </rPh>
    <phoneticPr fontId="2"/>
  </si>
  <si>
    <t>（一社）ねむの木の丘</t>
    <rPh sb="1" eb="3">
      <t>イッシャ</t>
    </rPh>
    <rPh sb="7" eb="8">
      <t>キ</t>
    </rPh>
    <rPh sb="9" eb="10">
      <t>オカ</t>
    </rPh>
    <phoneticPr fontId="2"/>
  </si>
  <si>
    <t>デイサービス比企の丘</t>
    <rPh sb="6" eb="8">
      <t>ヒキ</t>
    </rPh>
    <rPh sb="9" eb="10">
      <t>オカ</t>
    </rPh>
    <phoneticPr fontId="2"/>
  </si>
  <si>
    <t>楊井1615-6</t>
    <rPh sb="0" eb="2">
      <t>ヤギイ</t>
    </rPh>
    <phoneticPr fontId="2"/>
  </si>
  <si>
    <t>048-579-5846</t>
    <phoneticPr fontId="2"/>
  </si>
  <si>
    <t>048-579-5847</t>
    <phoneticPr fontId="2"/>
  </si>
  <si>
    <t>熊谷駅南口から国際十王交通バス立正大学行き「平塚バス停」下車徒歩約13分</t>
    <rPh sb="0" eb="2">
      <t>クマガヤ</t>
    </rPh>
    <rPh sb="2" eb="3">
      <t>エキ</t>
    </rPh>
    <rPh sb="3" eb="5">
      <t>ミナミグチ</t>
    </rPh>
    <rPh sb="7" eb="9">
      <t>コクサイ</t>
    </rPh>
    <rPh sb="9" eb="11">
      <t>ジュウオウ</t>
    </rPh>
    <rPh sb="11" eb="13">
      <t>コウツウ</t>
    </rPh>
    <rPh sb="15" eb="17">
      <t>リッショウ</t>
    </rPh>
    <rPh sb="17" eb="19">
      <t>ダイガク</t>
    </rPh>
    <rPh sb="19" eb="20">
      <t>ユ</t>
    </rPh>
    <rPh sb="22" eb="24">
      <t>ヒラツカ</t>
    </rPh>
    <rPh sb="26" eb="27">
      <t>テイ</t>
    </rPh>
    <rPh sb="28" eb="30">
      <t>ゲシャ</t>
    </rPh>
    <rPh sb="30" eb="32">
      <t>トホ</t>
    </rPh>
    <rPh sb="32" eb="33">
      <t>ヤク</t>
    </rPh>
    <rPh sb="35" eb="36">
      <t>フン</t>
    </rPh>
    <phoneticPr fontId="2"/>
  </si>
  <si>
    <t>（特非）合</t>
    <rPh sb="1" eb="2">
      <t>トク</t>
    </rPh>
    <rPh sb="2" eb="3">
      <t>ヒ</t>
    </rPh>
    <rPh sb="4" eb="5">
      <t>ゴウ</t>
    </rPh>
    <phoneticPr fontId="2"/>
  </si>
  <si>
    <t>重症児者デイサービスyes</t>
    <rPh sb="0" eb="2">
      <t>ジュウショウ</t>
    </rPh>
    <rPh sb="2" eb="3">
      <t>ジ</t>
    </rPh>
    <rPh sb="3" eb="4">
      <t>シャ</t>
    </rPh>
    <phoneticPr fontId="2"/>
  </si>
  <si>
    <t>ぽたら</t>
    <phoneticPr fontId="2"/>
  </si>
  <si>
    <t>東町5-245-3</t>
    <rPh sb="0" eb="2">
      <t>アズマチョウ</t>
    </rPh>
    <phoneticPr fontId="2"/>
  </si>
  <si>
    <t>343-0826</t>
    <phoneticPr fontId="2"/>
  </si>
  <si>
    <t>048-940-0302</t>
    <phoneticPr fontId="2"/>
  </si>
  <si>
    <t>ＪＲ武蔵野線越谷レイクタウン駅南口徒歩30分</t>
    <rPh sb="2" eb="6">
      <t>ムサシノセン</t>
    </rPh>
    <rPh sb="6" eb="8">
      <t>コシガヤ</t>
    </rPh>
    <rPh sb="14" eb="15">
      <t>エキ</t>
    </rPh>
    <rPh sb="15" eb="17">
      <t>ミナミグチ</t>
    </rPh>
    <rPh sb="17" eb="19">
      <t>トホ</t>
    </rPh>
    <rPh sb="21" eb="22">
      <t>フン</t>
    </rPh>
    <phoneticPr fontId="2"/>
  </si>
  <si>
    <t>南越谷4-13-20
JOYSUMU第二ビル4階</t>
    <rPh sb="0" eb="3">
      <t>ミナミコシガヤ</t>
    </rPh>
    <phoneticPr fontId="2"/>
  </si>
  <si>
    <t>千間台西5-3-15</t>
    <rPh sb="0" eb="3">
      <t>センゲンダイ</t>
    </rPh>
    <rPh sb="3" eb="4">
      <t>ニシ</t>
    </rPh>
    <phoneticPr fontId="2"/>
  </si>
  <si>
    <t>東武スカイツリーラインせんげん台駅西口徒歩13分</t>
    <rPh sb="0" eb="2">
      <t>トウブ</t>
    </rPh>
    <rPh sb="15" eb="16">
      <t>ダイ</t>
    </rPh>
    <rPh sb="16" eb="17">
      <t>エキ</t>
    </rPh>
    <rPh sb="17" eb="19">
      <t>ニシグチ</t>
    </rPh>
    <rPh sb="19" eb="21">
      <t>トホ</t>
    </rPh>
    <rPh sb="23" eb="24">
      <t>フン</t>
    </rPh>
    <phoneticPr fontId="2"/>
  </si>
  <si>
    <t>風見鶏</t>
    <phoneticPr fontId="2"/>
  </si>
  <si>
    <t>080-7639-5963</t>
    <phoneticPr fontId="2"/>
  </si>
  <si>
    <t>（合）ラボリ</t>
    <rPh sb="1" eb="2">
      <t>ゴウ</t>
    </rPh>
    <phoneticPr fontId="2"/>
  </si>
  <si>
    <t>グループホームラボリ暖</t>
    <rPh sb="10" eb="11">
      <t>ダン</t>
    </rPh>
    <phoneticPr fontId="2"/>
  </si>
  <si>
    <t>関間4-4-6</t>
    <rPh sb="0" eb="1">
      <t>セキ</t>
    </rPh>
    <rPh sb="1" eb="2">
      <t>カン</t>
    </rPh>
    <phoneticPr fontId="2"/>
  </si>
  <si>
    <t>049-272-7894</t>
    <phoneticPr fontId="2"/>
  </si>
  <si>
    <t>東武東上線若葉駅から徒歩10分
※共同生活援助の空床利用</t>
    <rPh sb="0" eb="5">
      <t>トウブトウジョウセン</t>
    </rPh>
    <rPh sb="5" eb="8">
      <t>ワカバエキ</t>
    </rPh>
    <rPh sb="10" eb="12">
      <t>トホ</t>
    </rPh>
    <rPh sb="14" eb="15">
      <t>フン</t>
    </rPh>
    <rPh sb="17" eb="23">
      <t>キョウドウセイカツエンジョ</t>
    </rPh>
    <rPh sb="24" eb="26">
      <t>クウショウ</t>
    </rPh>
    <rPh sb="26" eb="28">
      <t>リヨウ</t>
    </rPh>
    <phoneticPr fontId="2"/>
  </si>
  <si>
    <t>048-622-6316</t>
    <phoneticPr fontId="2"/>
  </si>
  <si>
    <t>048-788-2661</t>
  </si>
  <si>
    <t>048-788-2170</t>
  </si>
  <si>
    <t>048-782-8357</t>
  </si>
  <si>
    <t>048-872-7808</t>
    <phoneticPr fontId="2"/>
  </si>
  <si>
    <t>東浦和駅から徒歩７分</t>
    <phoneticPr fontId="2"/>
  </si>
  <si>
    <t>048-884-8787</t>
  </si>
  <si>
    <t>330-0055</t>
  </si>
  <si>
    <t>あさひ元気村</t>
    <rPh sb="3" eb="5">
      <t>ゲンキ</t>
    </rPh>
    <rPh sb="5" eb="6">
      <t>ムラ</t>
    </rPh>
    <phoneticPr fontId="5"/>
  </si>
  <si>
    <t>南区辻2-1-16</t>
    <phoneticPr fontId="2"/>
  </si>
  <si>
    <t>048-782-6368</t>
  </si>
  <si>
    <t>048-762-6627</t>
  </si>
  <si>
    <t>インクルード（株）</t>
    <rPh sb="6" eb="9">
      <t>カブ</t>
    </rPh>
    <phoneticPr fontId="5"/>
  </si>
  <si>
    <t>（福）久美愛園</t>
    <rPh sb="1" eb="2">
      <t>フク</t>
    </rPh>
    <rPh sb="3" eb="5">
      <t>クミ</t>
    </rPh>
    <rPh sb="5" eb="6">
      <t>アイ</t>
    </rPh>
    <rPh sb="6" eb="7">
      <t>エン</t>
    </rPh>
    <phoneticPr fontId="5"/>
  </si>
  <si>
    <t>048-829-9422</t>
  </si>
  <si>
    <t>048-829-9488</t>
  </si>
  <si>
    <t>（福）シナプス</t>
    <rPh sb="1" eb="2">
      <t>フク</t>
    </rPh>
    <phoneticPr fontId="5"/>
  </si>
  <si>
    <t>ＫＴＢＩ（福）</t>
    <rPh sb="5" eb="6">
      <t>フク</t>
    </rPh>
    <phoneticPr fontId="2"/>
  </si>
  <si>
    <t>（株）ライフサービス</t>
    <rPh sb="1" eb="2">
      <t>カブ</t>
    </rPh>
    <phoneticPr fontId="5"/>
  </si>
  <si>
    <t>（一社）地域支援協会</t>
    <rPh sb="1" eb="3">
      <t>イッシャ</t>
    </rPh>
    <rPh sb="4" eb="6">
      <t>チイキ</t>
    </rPh>
    <rPh sb="6" eb="8">
      <t>シエン</t>
    </rPh>
    <rPh sb="8" eb="10">
      <t>キョウカイ</t>
    </rPh>
    <phoneticPr fontId="5"/>
  </si>
  <si>
    <t>（株）ヒューマンキュア</t>
    <rPh sb="1" eb="2">
      <t>カブ</t>
    </rPh>
    <phoneticPr fontId="5"/>
  </si>
  <si>
    <t>048-729-6348</t>
  </si>
  <si>
    <t>048-729-6349</t>
  </si>
  <si>
    <t>048-878-3721</t>
  </si>
  <si>
    <t>048-878-3720</t>
  </si>
  <si>
    <t>岩槻区黒谷1135-2（岩槻区大字黒谷1282-1）</t>
    <rPh sb="12" eb="15">
      <t>イワツキク</t>
    </rPh>
    <rPh sb="15" eb="17">
      <t>オオアザ</t>
    </rPh>
    <rPh sb="17" eb="19">
      <t>クロヤ</t>
    </rPh>
    <phoneticPr fontId="2"/>
  </si>
  <si>
    <t>048-797-0851</t>
  </si>
  <si>
    <t>生活介護事業いーはとーぶ</t>
  </si>
  <si>
    <t>048-864-9666</t>
  </si>
  <si>
    <t>048-864-9687</t>
  </si>
  <si>
    <t>338-0005</t>
    <phoneticPr fontId="2"/>
  </si>
  <si>
    <t>048-854-4854</t>
  </si>
  <si>
    <t>さいたま新都心駅西口から北浦和駅西口行国際興業バス「内道」下車徒歩6分</t>
  </si>
  <si>
    <t>048-851-9373</t>
    <phoneticPr fontId="2"/>
  </si>
  <si>
    <t>048-816-4323</t>
  </si>
  <si>
    <t>北区植竹町2-4-14</t>
    <rPh sb="0" eb="2">
      <t>キタク</t>
    </rPh>
    <rPh sb="2" eb="5">
      <t>ウエタケチョウ</t>
    </rPh>
    <phoneticPr fontId="2"/>
  </si>
  <si>
    <t>331-0813</t>
    <phoneticPr fontId="2"/>
  </si>
  <si>
    <t>048-652-1388</t>
  </si>
  <si>
    <t>048-652-1463</t>
  </si>
  <si>
    <t>フレンズＮＥＴ</t>
  </si>
  <si>
    <t>048-838-6863</t>
  </si>
  <si>
    <t>048-675-7750</t>
    <phoneticPr fontId="2"/>
  </si>
  <si>
    <t>048-675-7755</t>
    <phoneticPr fontId="2"/>
  </si>
  <si>
    <t>宇都宮線東大宮駅下車徒歩5分</t>
  </si>
  <si>
    <t>048-757-8923</t>
  </si>
  <si>
    <t>338-0007</t>
  </si>
  <si>
    <t>048-853-3911</t>
  </si>
  <si>
    <t>048-854-6942</t>
  </si>
  <si>
    <t>337-0026</t>
  </si>
  <si>
    <t>048-684-1101</t>
  </si>
  <si>
    <t>048-684-1019</t>
  </si>
  <si>
    <t>048-684-1632</t>
  </si>
  <si>
    <t>048-684-1753</t>
  </si>
  <si>
    <t>さいたま市生活介護春光園うえみず</t>
    <rPh sb="4" eb="5">
      <t>シ</t>
    </rPh>
    <phoneticPr fontId="2"/>
  </si>
  <si>
    <t>048-620-2589</t>
  </si>
  <si>
    <t>岩槻区南下新井1538-7</t>
    <rPh sb="0" eb="2">
      <t>イワツキ</t>
    </rPh>
    <rPh sb="2" eb="3">
      <t>ク</t>
    </rPh>
    <rPh sb="3" eb="7">
      <t>ミナミシモアライ</t>
    </rPh>
    <phoneticPr fontId="5"/>
  </si>
  <si>
    <t>（医）若杉会</t>
    <rPh sb="1" eb="2">
      <t>イ</t>
    </rPh>
    <rPh sb="3" eb="5">
      <t>ワカスギ</t>
    </rPh>
    <rPh sb="5" eb="6">
      <t>カイ</t>
    </rPh>
    <phoneticPr fontId="2"/>
  </si>
  <si>
    <t>医療型短期入所施設　南平野クリニック</t>
    <rPh sb="0" eb="2">
      <t>イリョウ</t>
    </rPh>
    <rPh sb="2" eb="3">
      <t>ガタ</t>
    </rPh>
    <rPh sb="3" eb="5">
      <t>タンキ</t>
    </rPh>
    <rPh sb="5" eb="7">
      <t>ニュウショ</t>
    </rPh>
    <rPh sb="7" eb="9">
      <t>シセツ</t>
    </rPh>
    <rPh sb="10" eb="13">
      <t>ミナミヒラノ</t>
    </rPh>
    <phoneticPr fontId="2"/>
  </si>
  <si>
    <t>岩槻区南平野３－３２－５</t>
    <phoneticPr fontId="2"/>
  </si>
  <si>
    <t>048-812-7701</t>
    <phoneticPr fontId="2"/>
  </si>
  <si>
    <t>岩槻駅から朝日自動車「富士見町」停留所下車後徒歩15分</t>
    <rPh sb="0" eb="2">
      <t>イワツキ</t>
    </rPh>
    <rPh sb="2" eb="3">
      <t>エキ</t>
    </rPh>
    <rPh sb="5" eb="7">
      <t>アサヒ</t>
    </rPh>
    <rPh sb="7" eb="10">
      <t>ジドウシャ</t>
    </rPh>
    <rPh sb="11" eb="14">
      <t>フジミ</t>
    </rPh>
    <rPh sb="14" eb="15">
      <t>マチ</t>
    </rPh>
    <rPh sb="16" eb="19">
      <t>テイリュウジョ</t>
    </rPh>
    <rPh sb="19" eb="21">
      <t>ゲシャ</t>
    </rPh>
    <rPh sb="21" eb="22">
      <t>ゴ</t>
    </rPh>
    <rPh sb="22" eb="24">
      <t>トホ</t>
    </rPh>
    <rPh sb="26" eb="27">
      <t>フン</t>
    </rPh>
    <phoneticPr fontId="2"/>
  </si>
  <si>
    <t>（福）桜楓会</t>
    <rPh sb="1" eb="2">
      <t>フク</t>
    </rPh>
    <rPh sb="3" eb="4">
      <t>オウ</t>
    </rPh>
    <rPh sb="4" eb="5">
      <t>フウ</t>
    </rPh>
    <rPh sb="5" eb="6">
      <t>カイ</t>
    </rPh>
    <phoneticPr fontId="4"/>
  </si>
  <si>
    <t>医療型障害児入所施設　カリヨンの杜</t>
    <rPh sb="0" eb="2">
      <t>イリョウ</t>
    </rPh>
    <rPh sb="2" eb="3">
      <t>ガタ</t>
    </rPh>
    <rPh sb="3" eb="5">
      <t>ショウガイ</t>
    </rPh>
    <rPh sb="5" eb="6">
      <t>ジ</t>
    </rPh>
    <rPh sb="6" eb="8">
      <t>ニュウショ</t>
    </rPh>
    <rPh sb="8" eb="10">
      <t>シセツ</t>
    </rPh>
    <rPh sb="16" eb="17">
      <t>モリ</t>
    </rPh>
    <phoneticPr fontId="4"/>
  </si>
  <si>
    <t>蓮田駅から国際興業バス「のくぼ通り南」停留所下車後徒歩10分</t>
    <rPh sb="5" eb="7">
      <t>コクサイ</t>
    </rPh>
    <rPh sb="7" eb="9">
      <t>コウギョウ</t>
    </rPh>
    <rPh sb="19" eb="22">
      <t>テイリュウジョ</t>
    </rPh>
    <rPh sb="22" eb="24">
      <t>ゲシャ</t>
    </rPh>
    <rPh sb="24" eb="25">
      <t>ゴ</t>
    </rPh>
    <rPh sb="25" eb="27">
      <t>トホ</t>
    </rPh>
    <rPh sb="29" eb="30">
      <t>フン</t>
    </rPh>
    <phoneticPr fontId="2"/>
  </si>
  <si>
    <t>（福）鴻沼福祉会</t>
    <rPh sb="1" eb="2">
      <t>フク</t>
    </rPh>
    <rPh sb="3" eb="4">
      <t>コウ</t>
    </rPh>
    <rPh sb="4" eb="5">
      <t>ヌマ</t>
    </rPh>
    <rPh sb="5" eb="7">
      <t>フクシ</t>
    </rPh>
    <rPh sb="7" eb="8">
      <t>カイ</t>
    </rPh>
    <phoneticPr fontId="4"/>
  </si>
  <si>
    <t>西区植田谷本８３２－１</t>
    <rPh sb="0" eb="2">
      <t>ニシク</t>
    </rPh>
    <rPh sb="2" eb="6">
      <t>ウエタヤホン</t>
    </rPh>
    <phoneticPr fontId="4"/>
  </si>
  <si>
    <t>331-0053</t>
  </si>
  <si>
    <t>大宮駅から西武バス「植田谷」停留所下車後徒歩1分</t>
    <rPh sb="5" eb="7">
      <t>セイブ</t>
    </rPh>
    <rPh sb="10" eb="12">
      <t>ウエダ</t>
    </rPh>
    <rPh sb="12" eb="13">
      <t>ヤ</t>
    </rPh>
    <rPh sb="14" eb="17">
      <t>テイリュウジョ</t>
    </rPh>
    <rPh sb="17" eb="19">
      <t>ゲシャ</t>
    </rPh>
    <rPh sb="19" eb="20">
      <t>ゴ</t>
    </rPh>
    <rPh sb="20" eb="22">
      <t>トホ</t>
    </rPh>
    <rPh sb="23" eb="24">
      <t>フン</t>
    </rPh>
    <phoneticPr fontId="2"/>
  </si>
  <si>
    <t>（福）北友会</t>
    <rPh sb="1" eb="2">
      <t>フク</t>
    </rPh>
    <rPh sb="2" eb="3">
      <t>シャフク</t>
    </rPh>
    <rPh sb="3" eb="5">
      <t>ホクユウ</t>
    </rPh>
    <rPh sb="5" eb="6">
      <t>カイ</t>
    </rPh>
    <phoneticPr fontId="5"/>
  </si>
  <si>
    <t>障害福祉サービス事業所　フロス岩槻</t>
    <rPh sb="0" eb="2">
      <t>ショウガイ</t>
    </rPh>
    <rPh sb="2" eb="4">
      <t>フクシ</t>
    </rPh>
    <rPh sb="8" eb="11">
      <t>ジギョウショ</t>
    </rPh>
    <rPh sb="15" eb="17">
      <t>イワツキ</t>
    </rPh>
    <phoneticPr fontId="5"/>
  </si>
  <si>
    <t>岩槻区加倉２８５－１</t>
    <rPh sb="0" eb="2">
      <t>イワツキ</t>
    </rPh>
    <rPh sb="2" eb="3">
      <t>ク</t>
    </rPh>
    <rPh sb="3" eb="5">
      <t>カクラ</t>
    </rPh>
    <phoneticPr fontId="5"/>
  </si>
  <si>
    <t>339-0056</t>
  </si>
  <si>
    <t>048-748-5428</t>
  </si>
  <si>
    <t>048-748-5429</t>
  </si>
  <si>
    <t>岩槻駅から東武バス「大橋」停留所下車後徒歩12分</t>
    <rPh sb="0" eb="2">
      <t>イワツキ</t>
    </rPh>
    <rPh sb="2" eb="3">
      <t>エキ</t>
    </rPh>
    <rPh sb="5" eb="7">
      <t>トウブ</t>
    </rPh>
    <rPh sb="10" eb="12">
      <t>オオハシ</t>
    </rPh>
    <rPh sb="13" eb="16">
      <t>テイリュウジョ</t>
    </rPh>
    <rPh sb="16" eb="18">
      <t>ゲシャ</t>
    </rPh>
    <rPh sb="18" eb="19">
      <t>ゴ</t>
    </rPh>
    <rPh sb="19" eb="21">
      <t>トホ</t>
    </rPh>
    <rPh sb="23" eb="24">
      <t>フン</t>
    </rPh>
    <phoneticPr fontId="2"/>
  </si>
  <si>
    <t>（福）フルホープ</t>
    <rPh sb="1" eb="2">
      <t>フク</t>
    </rPh>
    <rPh sb="2" eb="3">
      <t>シャフク</t>
    </rPh>
    <phoneticPr fontId="8"/>
  </si>
  <si>
    <t>共同生活援助事業所イリス指扇</t>
    <rPh sb="0" eb="2">
      <t>キョウドウ</t>
    </rPh>
    <rPh sb="2" eb="4">
      <t>セイカツ</t>
    </rPh>
    <rPh sb="4" eb="6">
      <t>エンジョ</t>
    </rPh>
    <rPh sb="6" eb="9">
      <t>ジギョウショ</t>
    </rPh>
    <rPh sb="12" eb="14">
      <t>サシオウギ</t>
    </rPh>
    <phoneticPr fontId="8"/>
  </si>
  <si>
    <t>西区指扇１３６９</t>
    <rPh sb="0" eb="2">
      <t>ニシク</t>
    </rPh>
    <rPh sb="2" eb="4">
      <t>サシオウギ</t>
    </rPh>
    <phoneticPr fontId="8"/>
  </si>
  <si>
    <t>048-657-8656</t>
  </si>
  <si>
    <t>048-657-8688</t>
  </si>
  <si>
    <t>ＪＲ西大宮駅徒歩１５分</t>
    <phoneticPr fontId="2"/>
  </si>
  <si>
    <t>（特非）かわぐち健康福祉サービス振興会</t>
    <rPh sb="1" eb="2">
      <t>とく</t>
    </rPh>
    <rPh sb="2" eb="3">
      <t>ひ</t>
    </rPh>
    <rPh sb="8" eb="10">
      <t>けんこう</t>
    </rPh>
    <rPh sb="10" eb="12">
      <t>ふくし</t>
    </rPh>
    <rPh sb="16" eb="19">
      <t>しんこうかい</t>
    </rPh>
    <phoneticPr fontId="2" type="Hiragana"/>
  </si>
  <si>
    <t>多機能型　ひまわりの友</t>
    <rPh sb="0" eb="4">
      <t>たきのうがた</t>
    </rPh>
    <rPh sb="10" eb="11">
      <t>とも</t>
    </rPh>
    <phoneticPr fontId="2" type="Hiragana"/>
  </si>
  <si>
    <t>赤山８３１－６</t>
    <rPh sb="0" eb="2">
      <t>あかやま</t>
    </rPh>
    <phoneticPr fontId="2" type="Hiragana"/>
  </si>
  <si>
    <t>333-0825</t>
    <phoneticPr fontId="2" type="Hiragana"/>
  </si>
  <si>
    <t>048-287-9254</t>
    <phoneticPr fontId="2" type="Hiragana"/>
  </si>
  <si>
    <t>048-290-3003</t>
    <phoneticPr fontId="2" type="Hiragana"/>
  </si>
  <si>
    <t>京浜東北線西川口駅から鳩ヶ谷車庫行バス「石神下」下車徒歩５分</t>
    <rPh sb="0" eb="2">
      <t>けいひん</t>
    </rPh>
    <rPh sb="2" eb="5">
      <t>とうほくせん</t>
    </rPh>
    <rPh sb="5" eb="9">
      <t>にしかわぐちえき</t>
    </rPh>
    <rPh sb="11" eb="14">
      <t>はとがや</t>
    </rPh>
    <rPh sb="14" eb="16">
      <t>しゃこ</t>
    </rPh>
    <rPh sb="16" eb="17">
      <t>ゆき</t>
    </rPh>
    <rPh sb="20" eb="22">
      <t>いしかみ</t>
    </rPh>
    <rPh sb="22" eb="23">
      <t>した</t>
    </rPh>
    <rPh sb="24" eb="26">
      <t>げしゃ</t>
    </rPh>
    <rPh sb="26" eb="28">
      <t>とほ</t>
    </rPh>
    <rPh sb="29" eb="30">
      <t>ふん</t>
    </rPh>
    <phoneticPr fontId="2" type="Hiragana"/>
  </si>
  <si>
    <t>（特非）地域福祉研究会</t>
    <rPh sb="1" eb="2">
      <t>とく</t>
    </rPh>
    <rPh sb="2" eb="3">
      <t>ひ</t>
    </rPh>
    <rPh sb="4" eb="6">
      <t>ちいき</t>
    </rPh>
    <rPh sb="6" eb="8">
      <t>ふくし</t>
    </rPh>
    <rPh sb="8" eb="11">
      <t>けんきゅうかい</t>
    </rPh>
    <phoneticPr fontId="2" type="Hiragana"/>
  </si>
  <si>
    <t>さんさんさくら</t>
    <phoneticPr fontId="2" type="Hiragana"/>
  </si>
  <si>
    <t>峯１２９８－１５</t>
    <rPh sb="0" eb="1">
      <t>みね</t>
    </rPh>
    <phoneticPr fontId="2" type="Hiragana"/>
  </si>
  <si>
    <t>334-0056</t>
    <phoneticPr fontId="2" type="Hiragana"/>
  </si>
  <si>
    <t>048-291-5312</t>
    <phoneticPr fontId="2" type="Hiragana"/>
  </si>
  <si>
    <t>048-291-5320</t>
    <phoneticPr fontId="2" type="Hiragana"/>
  </si>
  <si>
    <t>京浜東北線川口駅から東口から峯八幡宮行バス「峯後」下車徒歩１分</t>
    <rPh sb="0" eb="2">
      <t>けいひん</t>
    </rPh>
    <rPh sb="2" eb="5">
      <t>とうほくせん</t>
    </rPh>
    <rPh sb="5" eb="8">
      <t>かわぐちえき</t>
    </rPh>
    <rPh sb="10" eb="12">
      <t>ひがしぐち</t>
    </rPh>
    <rPh sb="14" eb="15">
      <t>みね</t>
    </rPh>
    <rPh sb="15" eb="18">
      <t>はちまんぐう</t>
    </rPh>
    <rPh sb="18" eb="19">
      <t>ゆ</t>
    </rPh>
    <rPh sb="22" eb="23">
      <t>みね</t>
    </rPh>
    <rPh sb="23" eb="24">
      <t>ご</t>
    </rPh>
    <rPh sb="25" eb="27">
      <t>げしゃ</t>
    </rPh>
    <rPh sb="27" eb="29">
      <t>とほ</t>
    </rPh>
    <rPh sb="30" eb="31">
      <t>ふん</t>
    </rPh>
    <phoneticPr fontId="2" type="Hiragana"/>
  </si>
  <si>
    <t>ピュアハーモニー</t>
    <phoneticPr fontId="2" type="Hiragana"/>
  </si>
  <si>
    <t>048-299-9277</t>
    <phoneticPr fontId="2" type="Hiragana"/>
  </si>
  <si>
    <t>048-299-9278</t>
    <phoneticPr fontId="2" type="Hiragana"/>
  </si>
  <si>
    <t>TETETARITO（株）</t>
    <rPh sb="10" eb="13">
      <t>かぶ</t>
    </rPh>
    <phoneticPr fontId="2" type="Hiragana"/>
  </si>
  <si>
    <t>上青木西５－２５－８</t>
    <rPh sb="0" eb="3">
      <t>かみあおき</t>
    </rPh>
    <rPh sb="3" eb="4">
      <t>にし</t>
    </rPh>
    <phoneticPr fontId="2" type="Hiragana"/>
  </si>
  <si>
    <t>048-243-3878</t>
    <phoneticPr fontId="2" type="Hiragana"/>
  </si>
  <si>
    <t>048-423-4859</t>
    <phoneticPr fontId="2" type="Hiragana"/>
  </si>
  <si>
    <t>（バス）川口駅東口から鳩ヶ谷公団住宅行き「上青木交番」下車、徒歩２分</t>
    <rPh sb="4" eb="7">
      <t>かわぐちえき</t>
    </rPh>
    <rPh sb="7" eb="9">
      <t>ひがしぐち</t>
    </rPh>
    <rPh sb="11" eb="14">
      <t>はとがや</t>
    </rPh>
    <rPh sb="14" eb="16">
      <t>こうだん</t>
    </rPh>
    <rPh sb="16" eb="18">
      <t>じゅうたく</t>
    </rPh>
    <rPh sb="18" eb="19">
      <t>いき</t>
    </rPh>
    <rPh sb="21" eb="24">
      <t>かみあおき</t>
    </rPh>
    <rPh sb="24" eb="26">
      <t>こうばん</t>
    </rPh>
    <rPh sb="27" eb="29">
      <t>げしゃ</t>
    </rPh>
    <rPh sb="30" eb="32">
      <t>とほ</t>
    </rPh>
    <rPh sb="33" eb="34">
      <t>ふん</t>
    </rPh>
    <phoneticPr fontId="2" type="Hiragana"/>
  </si>
  <si>
    <t>ミラトレ川口</t>
    <rPh sb="4" eb="6">
      <t>かわぐち</t>
    </rPh>
    <phoneticPr fontId="2" type="Hiragana"/>
  </si>
  <si>
    <t>本町４－１－８　川口センタービル</t>
    <rPh sb="0" eb="2">
      <t>ほんまち</t>
    </rPh>
    <rPh sb="8" eb="10">
      <t>かわぐち</t>
    </rPh>
    <phoneticPr fontId="2" type="Hiragana"/>
  </si>
  <si>
    <t>048-227-3401</t>
    <phoneticPr fontId="2" type="Hiragana"/>
  </si>
  <si>
    <t>048-222-1878</t>
    <phoneticPr fontId="2" type="Hiragana"/>
  </si>
  <si>
    <t>京浜東北線川口駅下車徒歩2分</t>
    <rPh sb="0" eb="2">
      <t>けいひん</t>
    </rPh>
    <rPh sb="2" eb="5">
      <t>とうほくせん</t>
    </rPh>
    <rPh sb="5" eb="8">
      <t>かわぐちえき</t>
    </rPh>
    <rPh sb="8" eb="10">
      <t>げしゃ</t>
    </rPh>
    <rPh sb="10" eb="12">
      <t>とほ</t>
    </rPh>
    <rPh sb="13" eb="14">
      <t>ふん</t>
    </rPh>
    <phoneticPr fontId="2" type="Hiragana"/>
  </si>
  <si>
    <t>川口駅東口から徒歩４分</t>
    <rPh sb="0" eb="3">
      <t>かわぐちえき</t>
    </rPh>
    <rPh sb="3" eb="5">
      <t>ひがしぐち</t>
    </rPh>
    <rPh sb="7" eb="9">
      <t>とほ</t>
    </rPh>
    <rPh sb="10" eb="11">
      <t>ふん</t>
    </rPh>
    <phoneticPr fontId="2" type="Hiragana"/>
  </si>
  <si>
    <t>柳根町６－３２</t>
    <phoneticPr fontId="2" type="Hiragana"/>
  </si>
  <si>
    <t>東浦和駅より徒歩６分</t>
    <rPh sb="0" eb="4">
      <t>ひがしうらわえき</t>
    </rPh>
    <rPh sb="6" eb="8">
      <t>とほ</t>
    </rPh>
    <rPh sb="9" eb="10">
      <t>ふん</t>
    </rPh>
    <phoneticPr fontId="2" type="Hiragana"/>
  </si>
  <si>
    <t>049-239-3389</t>
  </si>
  <si>
    <t>中台南2-17-15</t>
    <rPh sb="0" eb="2">
      <t>ナカダイ</t>
    </rPh>
    <rPh sb="2" eb="3">
      <t>ミナミ</t>
    </rPh>
    <phoneticPr fontId="2"/>
  </si>
  <si>
    <t>049-241-3323</t>
  </si>
  <si>
    <t>脇田本町9-16　ＹＫビル2階</t>
    <rPh sb="0" eb="4">
      <t>ワキタホンチョウ</t>
    </rPh>
    <rPh sb="14" eb="15">
      <t>カイ</t>
    </rPh>
    <phoneticPr fontId="2"/>
  </si>
  <si>
    <t>049-265-6266</t>
  </si>
  <si>
    <t>049-265-6299</t>
  </si>
  <si>
    <t>肢</t>
    <rPh sb="0" eb="1">
      <t>シ</t>
    </rPh>
    <phoneticPr fontId="2"/>
  </si>
  <si>
    <t>視</t>
    <rPh sb="0" eb="1">
      <t>シ</t>
    </rPh>
    <phoneticPr fontId="2"/>
  </si>
  <si>
    <t>児</t>
    <rPh sb="0" eb="1">
      <t>ジ</t>
    </rPh>
    <phoneticPr fontId="2"/>
  </si>
  <si>
    <t>身</t>
    <rPh sb="0" eb="1">
      <t>シン</t>
    </rPh>
    <phoneticPr fontId="2"/>
  </si>
  <si>
    <t>知</t>
    <rPh sb="0" eb="1">
      <t>チ</t>
    </rPh>
    <phoneticPr fontId="2"/>
  </si>
  <si>
    <t>精</t>
    <rPh sb="0" eb="1">
      <t>セイ</t>
    </rPh>
    <phoneticPr fontId="2"/>
  </si>
  <si>
    <t>難</t>
    <rPh sb="0" eb="1">
      <t>ナン</t>
    </rPh>
    <phoneticPr fontId="2"/>
  </si>
  <si>
    <t>049-293-3494</t>
  </si>
  <si>
    <t>049-293-3495</t>
  </si>
  <si>
    <t>350-0066</t>
  </si>
  <si>
    <t>350-1101</t>
  </si>
  <si>
    <t>049-239-3930</t>
  </si>
  <si>
    <t>049-239-3931</t>
  </si>
  <si>
    <t>脇田本町14-29　杉田ビル2階</t>
    <rPh sb="0" eb="2">
      <t>ワキタ</t>
    </rPh>
    <rPh sb="2" eb="4">
      <t>ホンマチ</t>
    </rPh>
    <rPh sb="10" eb="12">
      <t>スギタ</t>
    </rPh>
    <rPh sb="15" eb="16">
      <t>カイ</t>
    </rPh>
    <phoneticPr fontId="2"/>
  </si>
  <si>
    <t>049-293-2529</t>
  </si>
  <si>
    <t>INSPIRE（株）</t>
    <rPh sb="7" eb="10">
      <t>カブ</t>
    </rPh>
    <phoneticPr fontId="2"/>
  </si>
  <si>
    <t>Be happiness川越とおり町</t>
    <rPh sb="12" eb="14">
      <t>カワゴエ</t>
    </rPh>
    <rPh sb="17" eb="18">
      <t>マチ</t>
    </rPh>
    <phoneticPr fontId="2"/>
  </si>
  <si>
    <t>350-0044</t>
    <phoneticPr fontId="2"/>
  </si>
  <si>
    <t>049-277-5644</t>
    <phoneticPr fontId="2"/>
  </si>
  <si>
    <t>049-277-5645</t>
    <phoneticPr fontId="2"/>
  </si>
  <si>
    <t>西武新宿線本川越駅から徒歩5分</t>
    <rPh sb="0" eb="5">
      <t>セイブシンジュクセン</t>
    </rPh>
    <rPh sb="5" eb="6">
      <t>ホン</t>
    </rPh>
    <rPh sb="6" eb="8">
      <t>カワゴエ</t>
    </rPh>
    <rPh sb="8" eb="9">
      <t>エキ</t>
    </rPh>
    <rPh sb="11" eb="13">
      <t>トホ</t>
    </rPh>
    <rPh sb="14" eb="15">
      <t>プン</t>
    </rPh>
    <phoneticPr fontId="2"/>
  </si>
  <si>
    <t>049-293-7482</t>
  </si>
  <si>
    <t>049-293-7483</t>
  </si>
  <si>
    <t>肢</t>
    <rPh sb="0" eb="1">
      <t>アシ</t>
    </rPh>
    <phoneticPr fontId="2"/>
  </si>
  <si>
    <t>聴</t>
    <rPh sb="0" eb="1">
      <t>チョウ</t>
    </rPh>
    <phoneticPr fontId="2"/>
  </si>
  <si>
    <t>内</t>
    <rPh sb="0" eb="1">
      <t>ウチ</t>
    </rPh>
    <phoneticPr fontId="2"/>
  </si>
  <si>
    <t>048-973-7541</t>
    <phoneticPr fontId="2"/>
  </si>
  <si>
    <t>048-973-7542</t>
    <phoneticPr fontId="2"/>
  </si>
  <si>
    <t>048-999-6515</t>
    <phoneticPr fontId="2"/>
  </si>
  <si>
    <t>048-940-6302</t>
    <phoneticPr fontId="2"/>
  </si>
  <si>
    <t>048-940-6309</t>
    <phoneticPr fontId="2"/>
  </si>
  <si>
    <t>あいの家</t>
    <rPh sb="3" eb="4">
      <t>イエ</t>
    </rPh>
    <phoneticPr fontId="2"/>
  </si>
  <si>
    <t>大泊549-1</t>
    <rPh sb="0" eb="2">
      <t>オオドマリ</t>
    </rPh>
    <phoneticPr fontId="2"/>
  </si>
  <si>
    <t>048-978-5355</t>
    <phoneticPr fontId="2"/>
  </si>
  <si>
    <t>東武スカイツリーラインせんげん台駅徒歩25分
※共同生活援助併設</t>
    <rPh sb="0" eb="2">
      <t>トウブ</t>
    </rPh>
    <rPh sb="15" eb="16">
      <t>ダイ</t>
    </rPh>
    <rPh sb="16" eb="17">
      <t>エキ</t>
    </rPh>
    <rPh sb="17" eb="19">
      <t>トホ</t>
    </rPh>
    <rPh sb="21" eb="22">
      <t>フン</t>
    </rPh>
    <phoneticPr fontId="2"/>
  </si>
  <si>
    <t>就労定着支援事業所　ウェルビー新越谷駅前センター</t>
    <rPh sb="0" eb="2">
      <t>シュウロウ</t>
    </rPh>
    <rPh sb="2" eb="4">
      <t>テイチャク</t>
    </rPh>
    <rPh sb="4" eb="6">
      <t>シエン</t>
    </rPh>
    <rPh sb="6" eb="9">
      <t>ジギョウショ</t>
    </rPh>
    <rPh sb="15" eb="18">
      <t>シンコシガヤ</t>
    </rPh>
    <rPh sb="18" eb="19">
      <t>エキ</t>
    </rPh>
    <rPh sb="19" eb="20">
      <t>マエ</t>
    </rPh>
    <phoneticPr fontId="2"/>
  </si>
  <si>
    <t>南越谷4-11-4　セントエルモ新越谷４階</t>
    <rPh sb="0" eb="3">
      <t>ミナミコシガヤ</t>
    </rPh>
    <rPh sb="16" eb="19">
      <t>シンコシガヤ</t>
    </rPh>
    <rPh sb="20" eb="21">
      <t>カイ</t>
    </rPh>
    <phoneticPr fontId="2"/>
  </si>
  <si>
    <t>048-990-5656</t>
    <phoneticPr fontId="2"/>
  </si>
  <si>
    <t>東武スカイツリーライン新越谷駅徒歩1分、JR武蔵野線南越谷駅下車徒歩2分</t>
    <rPh sb="0" eb="2">
      <t>トウブ</t>
    </rPh>
    <rPh sb="11" eb="15">
      <t>シンコシガヤエキ</t>
    </rPh>
    <rPh sb="15" eb="17">
      <t>トホ</t>
    </rPh>
    <rPh sb="18" eb="19">
      <t>フン</t>
    </rPh>
    <rPh sb="22" eb="26">
      <t>ムサシノセン</t>
    </rPh>
    <rPh sb="26" eb="30">
      <t>ミナミコシガヤエキ</t>
    </rPh>
    <rPh sb="30" eb="32">
      <t>ゲシャ</t>
    </rPh>
    <rPh sb="32" eb="34">
      <t>トホ</t>
    </rPh>
    <rPh sb="35" eb="36">
      <t>フン</t>
    </rPh>
    <phoneticPr fontId="2"/>
  </si>
  <si>
    <t>就労定着支援事業所「世一緒」</t>
    <rPh sb="0" eb="2">
      <t>シュウロウ</t>
    </rPh>
    <rPh sb="2" eb="4">
      <t>テイチャク</t>
    </rPh>
    <rPh sb="4" eb="6">
      <t>シエン</t>
    </rPh>
    <rPh sb="6" eb="9">
      <t>ジギョウショ</t>
    </rPh>
    <rPh sb="10" eb="11">
      <t>ヨ</t>
    </rPh>
    <rPh sb="11" eb="13">
      <t>イッショ</t>
    </rPh>
    <phoneticPr fontId="2"/>
  </si>
  <si>
    <t>東浦和駅から徒歩２０分
※短期入所事業所番号 1110202734</t>
    <rPh sb="1" eb="3">
      <t>ウラワ</t>
    </rPh>
    <phoneticPr fontId="2"/>
  </si>
  <si>
    <t>八高線毛呂駅から徒歩8分
※短期入所事業所番号 1152433353　医療型短期入所</t>
    <phoneticPr fontId="2"/>
  </si>
  <si>
    <t>熊谷駅から熊谷市営バスひまわり号｢太陽の園入口｣下車
※短期入所事業所番号 1153100019　医療型短期入所</t>
    <phoneticPr fontId="2"/>
  </si>
  <si>
    <t>熊谷駅から小川町行バス「古里」下車徒歩15分
※短期入所事業所番号 1113214330</t>
    <rPh sb="0" eb="2">
      <t>クマガヤ</t>
    </rPh>
    <rPh sb="2" eb="3">
      <t>エキ</t>
    </rPh>
    <rPh sb="5" eb="7">
      <t>オガワ</t>
    </rPh>
    <rPh sb="7" eb="8">
      <t>マチ</t>
    </rPh>
    <rPh sb="8" eb="9">
      <t>イ</t>
    </rPh>
    <rPh sb="12" eb="14">
      <t>コリ</t>
    </rPh>
    <rPh sb="15" eb="17">
      <t>ゲシャ</t>
    </rPh>
    <rPh sb="17" eb="19">
      <t>トホ</t>
    </rPh>
    <rPh sb="21" eb="22">
      <t>フン</t>
    </rPh>
    <phoneticPr fontId="2"/>
  </si>
  <si>
    <t>熊谷駅から小川町行バス「古里」下車徒歩15分
※短期入所事業所番号 1113214330　医療型短期入所</t>
    <rPh sb="0" eb="2">
      <t>クマガヤ</t>
    </rPh>
    <rPh sb="2" eb="3">
      <t>エキ</t>
    </rPh>
    <rPh sb="5" eb="7">
      <t>オガワ</t>
    </rPh>
    <rPh sb="7" eb="8">
      <t>マチ</t>
    </rPh>
    <rPh sb="8" eb="9">
      <t>イ</t>
    </rPh>
    <rPh sb="12" eb="14">
      <t>コリ</t>
    </rPh>
    <rPh sb="15" eb="17">
      <t>ゲシャ</t>
    </rPh>
    <rPh sb="17" eb="19">
      <t>トホ</t>
    </rPh>
    <rPh sb="21" eb="22">
      <t>フン</t>
    </rPh>
    <phoneticPr fontId="2"/>
  </si>
  <si>
    <r>
      <t>高崎線本庄駅から寄居行バス「小茂田」下車徒歩10分　※短期入所事業所番号 1114200023</t>
    </r>
    <r>
      <rPr>
        <sz val="11"/>
        <rFont val="ＭＳ Ｐゴシック"/>
        <family val="3"/>
        <charset val="128"/>
      </rPr>
      <t/>
    </r>
    <phoneticPr fontId="2"/>
  </si>
  <si>
    <t>寄居駅下車徒歩20分
※短期入所事業所番号 1154550014　医療型短期入所</t>
    <rPh sb="0" eb="2">
      <t>ヨリイ</t>
    </rPh>
    <rPh sb="2" eb="3">
      <t>エキ</t>
    </rPh>
    <rPh sb="3" eb="5">
      <t>ゲシャ</t>
    </rPh>
    <rPh sb="5" eb="7">
      <t>トホ</t>
    </rPh>
    <rPh sb="9" eb="10">
      <t>フン</t>
    </rPh>
    <phoneticPr fontId="2"/>
  </si>
  <si>
    <t>東武東上線坂戸駅南口から車で8分  
※診療所の空床利用　医療型短期入所</t>
    <rPh sb="2" eb="4">
      <t>トウジョウ</t>
    </rPh>
    <rPh sb="4" eb="5">
      <t>セン</t>
    </rPh>
    <rPh sb="5" eb="7">
      <t>サカド</t>
    </rPh>
    <rPh sb="8" eb="10">
      <t>ミナミグチ</t>
    </rPh>
    <rPh sb="12" eb="13">
      <t>クルマ</t>
    </rPh>
    <rPh sb="20" eb="23">
      <t>シンリョウジョ</t>
    </rPh>
    <rPh sb="24" eb="25">
      <t>ア</t>
    </rPh>
    <rPh sb="25" eb="26">
      <t>ユカ</t>
    </rPh>
    <rPh sb="26" eb="28">
      <t>リヨウ</t>
    </rPh>
    <phoneticPr fontId="2"/>
  </si>
  <si>
    <t>さいたま市大崎むつみの里第１事業所</t>
    <rPh sb="12" eb="13">
      <t>ダイ</t>
    </rPh>
    <rPh sb="14" eb="17">
      <t>ジギョウショ</t>
    </rPh>
    <phoneticPr fontId="2"/>
  </si>
  <si>
    <t>大宮駅西口から所沢駅東口行バス「飯田新田」下車徒歩7分　※短期入所事業所番号 1116501501</t>
    <rPh sb="0" eb="2">
      <t>オオミヤ</t>
    </rPh>
    <rPh sb="2" eb="3">
      <t>エキ</t>
    </rPh>
    <rPh sb="3" eb="5">
      <t>ニシグチ</t>
    </rPh>
    <rPh sb="7" eb="9">
      <t>トコロザワ</t>
    </rPh>
    <rPh sb="9" eb="10">
      <t>エキ</t>
    </rPh>
    <rPh sb="10" eb="12">
      <t>ヒガシグチ</t>
    </rPh>
    <rPh sb="12" eb="13">
      <t>イ</t>
    </rPh>
    <rPh sb="16" eb="18">
      <t>イイダ</t>
    </rPh>
    <rPh sb="18" eb="20">
      <t>シンデン</t>
    </rPh>
    <rPh sb="21" eb="23">
      <t>ゲシャ</t>
    </rPh>
    <rPh sb="23" eb="25">
      <t>トホ</t>
    </rPh>
    <rPh sb="26" eb="27">
      <t>フン</t>
    </rPh>
    <phoneticPr fontId="2"/>
  </si>
  <si>
    <t>Ｈ29.4.1～移行休止中
宮原駅西口から徒歩5分</t>
    <phoneticPr fontId="2"/>
  </si>
  <si>
    <t>大宮区下町1-42-2 ＴＳ－５ＢＬＤＧ５Ｆ</t>
    <phoneticPr fontId="2"/>
  </si>
  <si>
    <t>京浜東北線北浦和駅東口から市立病院行バス「教育センター前」下車徒歩3分　※短期入所事業所番号 1116501527</t>
    <rPh sb="0" eb="2">
      <t>ケイヒン</t>
    </rPh>
    <rPh sb="2" eb="4">
      <t>トウホク</t>
    </rPh>
    <rPh sb="4" eb="5">
      <t>セン</t>
    </rPh>
    <rPh sb="5" eb="8">
      <t>キタウラワ</t>
    </rPh>
    <rPh sb="8" eb="9">
      <t>エキ</t>
    </rPh>
    <rPh sb="9" eb="11">
      <t>ヒガシグチ</t>
    </rPh>
    <rPh sb="13" eb="15">
      <t>シリツ</t>
    </rPh>
    <rPh sb="15" eb="17">
      <t>ビョウイン</t>
    </rPh>
    <rPh sb="17" eb="18">
      <t>イ</t>
    </rPh>
    <rPh sb="21" eb="23">
      <t>キョウイク</t>
    </rPh>
    <rPh sb="27" eb="28">
      <t>マエ</t>
    </rPh>
    <rPh sb="29" eb="31">
      <t>ゲシャ</t>
    </rPh>
    <rPh sb="31" eb="33">
      <t>トホ</t>
    </rPh>
    <rPh sb="34" eb="35">
      <t>プン</t>
    </rPh>
    <phoneticPr fontId="2"/>
  </si>
  <si>
    <t>浦和駅から志木駅行バス「櫃沼」下車徒歩10分　
※短期入所事業所番号 1116501493</t>
    <rPh sb="0" eb="2">
      <t>ウラワ</t>
    </rPh>
    <rPh sb="2" eb="3">
      <t>エキ</t>
    </rPh>
    <rPh sb="5" eb="7">
      <t>シキ</t>
    </rPh>
    <rPh sb="7" eb="8">
      <t>エキ</t>
    </rPh>
    <rPh sb="8" eb="9">
      <t>イ</t>
    </rPh>
    <rPh sb="13" eb="14">
      <t>ヌマ</t>
    </rPh>
    <rPh sb="15" eb="17">
      <t>ゲシャ</t>
    </rPh>
    <rPh sb="17" eb="19">
      <t>トホ</t>
    </rPh>
    <rPh sb="21" eb="22">
      <t>フン</t>
    </rPh>
    <phoneticPr fontId="2"/>
  </si>
  <si>
    <t>京浜東北線北浦和駅東口から市立病院行バス「教育センター前」下車徒歩3分　※短期入所事業所番号 1116501543</t>
    <phoneticPr fontId="2"/>
  </si>
  <si>
    <t>東武野田線東岩槻駅下車タクシー10分
※短期入所事業所番号 1116501535</t>
    <rPh sb="0" eb="2">
      <t>トウブ</t>
    </rPh>
    <rPh sb="2" eb="4">
      <t>ノダ</t>
    </rPh>
    <rPh sb="4" eb="5">
      <t>セン</t>
    </rPh>
    <rPh sb="5" eb="8">
      <t>ヒガシイワツキ</t>
    </rPh>
    <rPh sb="8" eb="9">
      <t>エキ</t>
    </rPh>
    <rPh sb="9" eb="11">
      <t>ゲシャ</t>
    </rPh>
    <rPh sb="17" eb="18">
      <t>フン</t>
    </rPh>
    <phoneticPr fontId="2"/>
  </si>
  <si>
    <t>岩槻駅から東川口駅北口行バス「和土郵便局前」下車
※短期入所事業所番号 1116501550</t>
    <rPh sb="0" eb="2">
      <t>イワツキ</t>
    </rPh>
    <rPh sb="2" eb="3">
      <t>エキ</t>
    </rPh>
    <rPh sb="5" eb="8">
      <t>ヒガシカワグチ</t>
    </rPh>
    <rPh sb="8" eb="9">
      <t>エキ</t>
    </rPh>
    <rPh sb="9" eb="11">
      <t>キタグチ</t>
    </rPh>
    <rPh sb="11" eb="12">
      <t>イ</t>
    </rPh>
    <rPh sb="15" eb="16">
      <t>ワ</t>
    </rPh>
    <rPh sb="16" eb="17">
      <t>ド</t>
    </rPh>
    <rPh sb="17" eb="20">
      <t>ユウビンキョク</t>
    </rPh>
    <rPh sb="20" eb="21">
      <t>マエ</t>
    </rPh>
    <rPh sb="22" eb="24">
      <t>ゲシャ</t>
    </rPh>
    <phoneticPr fontId="2"/>
  </si>
  <si>
    <t>京浜東北線西川口駅西口下車徒歩8分
※病院の空床利用　医療型短期入所</t>
    <rPh sb="11" eb="13">
      <t>ゲシャ</t>
    </rPh>
    <rPh sb="19" eb="21">
      <t>ビョウイン</t>
    </rPh>
    <rPh sb="27" eb="29">
      <t>イリョウ</t>
    </rPh>
    <rPh sb="29" eb="30">
      <t>ガタ</t>
    </rPh>
    <rPh sb="30" eb="32">
      <t>タンキ</t>
    </rPh>
    <rPh sb="32" eb="34">
      <t>ニュウショ</t>
    </rPh>
    <phoneticPr fontId="2"/>
  </si>
  <si>
    <t>川越駅・本川越駅から上尾駅西口・平方・埼玉医大・川越運動公園行きバス「埼玉医大」下車　※障害児入所施設（医療型）との併設　医療型短期入所</t>
    <rPh sb="0" eb="2">
      <t>カワゴエ</t>
    </rPh>
    <rPh sb="2" eb="3">
      <t>エキ</t>
    </rPh>
    <rPh sb="4" eb="5">
      <t>ホン</t>
    </rPh>
    <rPh sb="5" eb="7">
      <t>カワゴエ</t>
    </rPh>
    <rPh sb="7" eb="8">
      <t>エキ</t>
    </rPh>
    <rPh sb="10" eb="13">
      <t>アゲオエキ</t>
    </rPh>
    <rPh sb="13" eb="15">
      <t>ニシグチ</t>
    </rPh>
    <rPh sb="16" eb="18">
      <t>ヒラカタ</t>
    </rPh>
    <rPh sb="19" eb="21">
      <t>サイタマ</t>
    </rPh>
    <rPh sb="21" eb="23">
      <t>イダイ</t>
    </rPh>
    <rPh sb="24" eb="26">
      <t>カワゴエ</t>
    </rPh>
    <rPh sb="26" eb="28">
      <t>ウンドウ</t>
    </rPh>
    <rPh sb="28" eb="30">
      <t>コウエン</t>
    </rPh>
    <rPh sb="30" eb="31">
      <t>イ</t>
    </rPh>
    <rPh sb="35" eb="37">
      <t>サイタマ</t>
    </rPh>
    <rPh sb="37" eb="39">
      <t>イダイ</t>
    </rPh>
    <rPh sb="40" eb="42">
      <t>ゲシャ</t>
    </rPh>
    <rPh sb="44" eb="47">
      <t>ショウガイジ</t>
    </rPh>
    <rPh sb="47" eb="49">
      <t>ニュウショ</t>
    </rPh>
    <rPh sb="49" eb="51">
      <t>シセツ</t>
    </rPh>
    <rPh sb="52" eb="54">
      <t>イリョウ</t>
    </rPh>
    <rPh sb="54" eb="55">
      <t>ガタ</t>
    </rPh>
    <rPh sb="58" eb="60">
      <t>ヘイセツ</t>
    </rPh>
    <phoneticPr fontId="2"/>
  </si>
  <si>
    <t>春日部駅から朝日バス豊野工業団地行き「消防署前」下車徒歩2分
※介護老人保健施設の空床利用　医療型短期入所</t>
    <rPh sb="0" eb="3">
      <t>カスカベ</t>
    </rPh>
    <rPh sb="3" eb="4">
      <t>エキ</t>
    </rPh>
    <rPh sb="6" eb="8">
      <t>アサヒ</t>
    </rPh>
    <rPh sb="10" eb="12">
      <t>トヨノ</t>
    </rPh>
    <rPh sb="12" eb="14">
      <t>コウギョウ</t>
    </rPh>
    <rPh sb="14" eb="16">
      <t>ダンチ</t>
    </rPh>
    <rPh sb="16" eb="17">
      <t>イ</t>
    </rPh>
    <rPh sb="18" eb="19">
      <t>クチユキ</t>
    </rPh>
    <rPh sb="19" eb="22">
      <t>ショウボウショ</t>
    </rPh>
    <rPh sb="22" eb="23">
      <t>マエ</t>
    </rPh>
    <rPh sb="24" eb="26">
      <t>ゲシャ</t>
    </rPh>
    <rPh sb="26" eb="28">
      <t>トホ</t>
    </rPh>
    <rPh sb="29" eb="30">
      <t>フン</t>
    </rPh>
    <phoneticPr fontId="2"/>
  </si>
  <si>
    <t>宇都宮線久喜駅から徒歩5分
※病院の空床利用　医療型短期入所</t>
    <rPh sb="0" eb="3">
      <t>ウツノミヤ</t>
    </rPh>
    <rPh sb="3" eb="4">
      <t>セン</t>
    </rPh>
    <rPh sb="4" eb="6">
      <t>クキ</t>
    </rPh>
    <rPh sb="9" eb="11">
      <t>トホ</t>
    </rPh>
    <rPh sb="15" eb="17">
      <t>ビョウイン</t>
    </rPh>
    <rPh sb="23" eb="25">
      <t>イリョウ</t>
    </rPh>
    <rPh sb="25" eb="26">
      <t>ガタ</t>
    </rPh>
    <rPh sb="26" eb="28">
      <t>タンキ</t>
    </rPh>
    <rPh sb="28" eb="30">
      <t>ニュウショ</t>
    </rPh>
    <phoneticPr fontId="2"/>
  </si>
  <si>
    <t>戸田公園東口下車徒歩4分
※病院の空床利用　医療型短期入所</t>
    <rPh sb="0" eb="2">
      <t>トダ</t>
    </rPh>
    <rPh sb="2" eb="4">
      <t>コウエン</t>
    </rPh>
    <rPh sb="4" eb="6">
      <t>ヒガシグチ</t>
    </rPh>
    <rPh sb="6" eb="8">
      <t>ゲシャ</t>
    </rPh>
    <rPh sb="8" eb="10">
      <t>トホ</t>
    </rPh>
    <rPh sb="11" eb="12">
      <t>フン</t>
    </rPh>
    <rPh sb="14" eb="16">
      <t>ビョウイン</t>
    </rPh>
    <rPh sb="22" eb="24">
      <t>イリョウ</t>
    </rPh>
    <rPh sb="24" eb="25">
      <t>ガタ</t>
    </rPh>
    <rPh sb="25" eb="27">
      <t>タンキ</t>
    </rPh>
    <rPh sb="27" eb="29">
      <t>ニュウショ</t>
    </rPh>
    <phoneticPr fontId="2"/>
  </si>
  <si>
    <t>東武東上線上福岡駅南口から東武バス「ビバモール前」下車徒歩7分
※介護老人保健施設の空床利用　医療型短期入所</t>
    <rPh sb="0" eb="5">
      <t>トウブトウジョウセン</t>
    </rPh>
    <rPh sb="5" eb="8">
      <t>カミフクオカ</t>
    </rPh>
    <rPh sb="8" eb="9">
      <t>エキ</t>
    </rPh>
    <rPh sb="9" eb="11">
      <t>ミナミグチ</t>
    </rPh>
    <rPh sb="13" eb="15">
      <t>トウブ</t>
    </rPh>
    <rPh sb="23" eb="24">
      <t>マエ</t>
    </rPh>
    <rPh sb="25" eb="27">
      <t>ゲシャ</t>
    </rPh>
    <rPh sb="27" eb="29">
      <t>トホ</t>
    </rPh>
    <rPh sb="30" eb="31">
      <t>フン</t>
    </rPh>
    <phoneticPr fontId="2"/>
  </si>
  <si>
    <t>坂戸駅南口から車で8分
※介護老人保健施設の空床利用　医療型短期入所</t>
    <rPh sb="0" eb="2">
      <t>サカド</t>
    </rPh>
    <rPh sb="7" eb="8">
      <t>クルマ</t>
    </rPh>
    <rPh sb="10" eb="11">
      <t>フン</t>
    </rPh>
    <rPh sb="13" eb="15">
      <t>カイゴ</t>
    </rPh>
    <rPh sb="15" eb="17">
      <t>ロウジン</t>
    </rPh>
    <rPh sb="17" eb="19">
      <t>ホケン</t>
    </rPh>
    <rPh sb="19" eb="21">
      <t>シセツ</t>
    </rPh>
    <phoneticPr fontId="2"/>
  </si>
  <si>
    <t>大宮駅西口から馬宮団地・所沢駅西口行きバス「治水橋堤防」下車徒歩１分　※介護老人保健施設の空床利用　医療型短期入所</t>
    <rPh sb="36" eb="38">
      <t>カイゴ</t>
    </rPh>
    <rPh sb="38" eb="40">
      <t>ロウジン</t>
    </rPh>
    <rPh sb="40" eb="42">
      <t>ホケン</t>
    </rPh>
    <rPh sb="42" eb="44">
      <t>シセツ</t>
    </rPh>
    <rPh sb="45" eb="46">
      <t>ア</t>
    </rPh>
    <rPh sb="46" eb="47">
      <t>ユカ</t>
    </rPh>
    <rPh sb="47" eb="49">
      <t>リヨウ</t>
    </rPh>
    <phoneticPr fontId="2"/>
  </si>
  <si>
    <t>大宮駅西口から平方・リハビリセンター・西上尾車庫行きバス「清河寺」下車すぐ　※介護老人保健施設の空床利用　医療型短期入所</t>
    <phoneticPr fontId="2"/>
  </si>
  <si>
    <t>大宮駅西口から西武バスさいたま市民医療センター行き終点下車
※医療機関の空床利用  医療型短期入所</t>
    <rPh sb="25" eb="27">
      <t>シュウテン</t>
    </rPh>
    <rPh sb="27" eb="29">
      <t>ゲシャ</t>
    </rPh>
    <rPh sb="31" eb="33">
      <t>イリョウ</t>
    </rPh>
    <rPh sb="33" eb="35">
      <t>キカン</t>
    </rPh>
    <rPh sb="36" eb="38">
      <t>クウショウ</t>
    </rPh>
    <rPh sb="38" eb="40">
      <t>リヨウ</t>
    </rPh>
    <phoneticPr fontId="2"/>
  </si>
  <si>
    <t>ルミエ</t>
    <phoneticPr fontId="2"/>
  </si>
  <si>
    <t>東所沢和田2-10-1　アイシン和田1階</t>
    <rPh sb="0" eb="3">
      <t>ヒガシトコロザワ</t>
    </rPh>
    <rPh sb="3" eb="5">
      <t>ワダ</t>
    </rPh>
    <rPh sb="16" eb="18">
      <t>ワダ</t>
    </rPh>
    <rPh sb="19" eb="20">
      <t>カイ</t>
    </rPh>
    <phoneticPr fontId="2"/>
  </si>
  <si>
    <t>042-937-5031</t>
    <phoneticPr fontId="2"/>
  </si>
  <si>
    <t>042-937-5038</t>
    <phoneticPr fontId="2"/>
  </si>
  <si>
    <t>JR武蔵野線東所沢駅から徒歩3分</t>
    <rPh sb="2" eb="6">
      <t>ムサシノセン</t>
    </rPh>
    <rPh sb="6" eb="9">
      <t>ヒガシトコロザワ</t>
    </rPh>
    <rPh sb="9" eb="10">
      <t>エキ</t>
    </rPh>
    <rPh sb="12" eb="14">
      <t>トホ</t>
    </rPh>
    <rPh sb="15" eb="16">
      <t>フン</t>
    </rPh>
    <phoneticPr fontId="2"/>
  </si>
  <si>
    <t>三ケ島1-795-4</t>
    <rPh sb="0" eb="3">
      <t>ミカジマ</t>
    </rPh>
    <phoneticPr fontId="1"/>
  </si>
  <si>
    <t>04-2946-9572</t>
    <phoneticPr fontId="2"/>
  </si>
  <si>
    <t>04-2946-9574</t>
    <phoneticPr fontId="2"/>
  </si>
  <si>
    <t>西武鉄道池袋線小手指駅から西武バス「大日堂」下車徒歩3分
※共同生活援助との併設</t>
    <rPh sb="0" eb="2">
      <t>セイブ</t>
    </rPh>
    <rPh sb="2" eb="4">
      <t>テツドウ</t>
    </rPh>
    <rPh sb="4" eb="6">
      <t>イケブクロ</t>
    </rPh>
    <rPh sb="6" eb="7">
      <t>セン</t>
    </rPh>
    <rPh sb="7" eb="10">
      <t>コテサシ</t>
    </rPh>
    <rPh sb="10" eb="11">
      <t>エキ</t>
    </rPh>
    <rPh sb="13" eb="15">
      <t>セイブ</t>
    </rPh>
    <rPh sb="18" eb="21">
      <t>ダイニチドウ</t>
    </rPh>
    <rPh sb="22" eb="24">
      <t>ゲシャ</t>
    </rPh>
    <rPh sb="24" eb="26">
      <t>トホ</t>
    </rPh>
    <rPh sb="27" eb="28">
      <t>フン</t>
    </rPh>
    <phoneticPr fontId="2"/>
  </si>
  <si>
    <t>今井字南本郷２３１－１</t>
    <rPh sb="0" eb="2">
      <t>イマイ</t>
    </rPh>
    <rPh sb="2" eb="3">
      <t>アザ</t>
    </rPh>
    <rPh sb="3" eb="4">
      <t>ミナミ</t>
    </rPh>
    <rPh sb="4" eb="6">
      <t>ホンゴウ</t>
    </rPh>
    <phoneticPr fontId="2"/>
  </si>
  <si>
    <t>熊谷駅から犬塚行国際十王バス「彩華園前」下車徒歩3分</t>
    <rPh sb="0" eb="2">
      <t>クマガヤ</t>
    </rPh>
    <rPh sb="2" eb="3">
      <t>エキ</t>
    </rPh>
    <rPh sb="5" eb="7">
      <t>イヌツカ</t>
    </rPh>
    <rPh sb="7" eb="8">
      <t>イ</t>
    </rPh>
    <rPh sb="8" eb="10">
      <t>コクサイ</t>
    </rPh>
    <rPh sb="10" eb="12">
      <t>ジュウオウ</t>
    </rPh>
    <rPh sb="15" eb="16">
      <t>サイ</t>
    </rPh>
    <rPh sb="16" eb="17">
      <t>カ</t>
    </rPh>
    <rPh sb="17" eb="18">
      <t>エン</t>
    </rPh>
    <rPh sb="18" eb="19">
      <t>マエ</t>
    </rPh>
    <rPh sb="20" eb="22">
      <t>ゲシャ</t>
    </rPh>
    <rPh sb="22" eb="24">
      <t>トホ</t>
    </rPh>
    <rPh sb="25" eb="26">
      <t>プン</t>
    </rPh>
    <phoneticPr fontId="2"/>
  </si>
  <si>
    <t>こむぎ</t>
    <phoneticPr fontId="2"/>
  </si>
  <si>
    <t>梅田本町1-2-14</t>
    <rPh sb="0" eb="2">
      <t>ウメダ</t>
    </rPh>
    <rPh sb="2" eb="4">
      <t>ホンチョウ</t>
    </rPh>
    <phoneticPr fontId="2"/>
  </si>
  <si>
    <t>048-872-6378</t>
    <phoneticPr fontId="2"/>
  </si>
  <si>
    <t>048-872-6379</t>
    <phoneticPr fontId="2"/>
  </si>
  <si>
    <t>東武スカイツリーライン北春日部駅から徒歩6分</t>
    <rPh sb="0" eb="2">
      <t>トウブ</t>
    </rPh>
    <rPh sb="11" eb="15">
      <t>キタカスカベ</t>
    </rPh>
    <rPh sb="15" eb="16">
      <t>エキ</t>
    </rPh>
    <rPh sb="18" eb="20">
      <t>トホ</t>
    </rPh>
    <rPh sb="21" eb="22">
      <t>フン</t>
    </rPh>
    <phoneticPr fontId="2"/>
  </si>
  <si>
    <t>大沼2-60-2　鎌倉第一ビル1階</t>
    <rPh sb="0" eb="2">
      <t>オオヌマ</t>
    </rPh>
    <rPh sb="9" eb="11">
      <t>カマクラ</t>
    </rPh>
    <rPh sb="11" eb="13">
      <t>ダイイチ</t>
    </rPh>
    <rPh sb="16" eb="17">
      <t>カイ</t>
    </rPh>
    <phoneticPr fontId="2"/>
  </si>
  <si>
    <t>344-0038</t>
    <phoneticPr fontId="2"/>
  </si>
  <si>
    <t>東武スカイツリーライン春日部駅西口から朝日バス「地方庁舎前」下車徒歩30秒</t>
    <rPh sb="0" eb="2">
      <t>トウブ</t>
    </rPh>
    <rPh sb="11" eb="15">
      <t>カスカベエキ</t>
    </rPh>
    <rPh sb="15" eb="17">
      <t>ニシグチ</t>
    </rPh>
    <rPh sb="19" eb="21">
      <t>アサヒ</t>
    </rPh>
    <rPh sb="24" eb="26">
      <t>チホウ</t>
    </rPh>
    <rPh sb="26" eb="28">
      <t>チョウシャ</t>
    </rPh>
    <rPh sb="28" eb="29">
      <t>マエ</t>
    </rPh>
    <rPh sb="30" eb="32">
      <t>ゲシャ</t>
    </rPh>
    <rPh sb="32" eb="34">
      <t>トホ</t>
    </rPh>
    <rPh sb="36" eb="37">
      <t>ビョウ</t>
    </rPh>
    <phoneticPr fontId="2"/>
  </si>
  <si>
    <t>Ｃｏｃｏｒｐｏｒｔ大宮第２Ｏｆｆｉｃｅ</t>
    <rPh sb="9" eb="11">
      <t>オオミヤ</t>
    </rPh>
    <rPh sb="11" eb="12">
      <t>ダイ</t>
    </rPh>
    <phoneticPr fontId="2"/>
  </si>
  <si>
    <t>大宮区宮町１－８６－１
大宮イーストビル5階</t>
    <rPh sb="0" eb="3">
      <t>オオミヤク</t>
    </rPh>
    <rPh sb="3" eb="5">
      <t>ミヤマチ</t>
    </rPh>
    <rPh sb="12" eb="14">
      <t>オオミヤ</t>
    </rPh>
    <rPh sb="21" eb="22">
      <t>カイ</t>
    </rPh>
    <phoneticPr fontId="5"/>
  </si>
  <si>
    <t>JR大宮駅東口から徒歩5分</t>
    <rPh sb="2" eb="4">
      <t>オオミヤ</t>
    </rPh>
    <rPh sb="4" eb="5">
      <t>エキ</t>
    </rPh>
    <rPh sb="5" eb="7">
      <t>ヒガシグチ</t>
    </rPh>
    <rPh sb="9" eb="11">
      <t>トホ</t>
    </rPh>
    <rPh sb="12" eb="13">
      <t>フン</t>
    </rPh>
    <phoneticPr fontId="2"/>
  </si>
  <si>
    <t>生活介護事業所　ゆいまーる</t>
    <rPh sb="0" eb="2">
      <t>セイカツ</t>
    </rPh>
    <rPh sb="2" eb="4">
      <t>カイゴ</t>
    </rPh>
    <rPh sb="4" eb="7">
      <t>ジギョウショ</t>
    </rPh>
    <phoneticPr fontId="5"/>
  </si>
  <si>
    <t>西区西大宮１－３２－８</t>
    <rPh sb="0" eb="2">
      <t>ニシク</t>
    </rPh>
    <rPh sb="2" eb="3">
      <t>ニシ</t>
    </rPh>
    <rPh sb="3" eb="5">
      <t>オオミヤ</t>
    </rPh>
    <phoneticPr fontId="5"/>
  </si>
  <si>
    <t>048-728-4613</t>
  </si>
  <si>
    <t>048-728-5409</t>
  </si>
  <si>
    <t>JR西大宮駅より徒歩5分</t>
    <rPh sb="2" eb="3">
      <t>ニシ</t>
    </rPh>
    <rPh sb="3" eb="5">
      <t>オオミヤ</t>
    </rPh>
    <rPh sb="5" eb="6">
      <t>エキ</t>
    </rPh>
    <rPh sb="8" eb="10">
      <t>トホ</t>
    </rPh>
    <rPh sb="11" eb="12">
      <t>フン</t>
    </rPh>
    <phoneticPr fontId="2"/>
  </si>
  <si>
    <t>ウーリー南越谷</t>
    <phoneticPr fontId="2"/>
  </si>
  <si>
    <t>南越谷3-7-18</t>
    <phoneticPr fontId="2"/>
  </si>
  <si>
    <t>048-918-4271</t>
    <phoneticPr fontId="2"/>
  </si>
  <si>
    <t>ＪＲ武蔵野線南越谷駅北口／東武スカイツリーライン新越谷駅西口から徒歩８分</t>
    <rPh sb="2" eb="6">
      <t>ムサシノセン</t>
    </rPh>
    <rPh sb="6" eb="10">
      <t>ミナミコシガヤエキ</t>
    </rPh>
    <rPh sb="10" eb="12">
      <t>キタグチ</t>
    </rPh>
    <rPh sb="13" eb="15">
      <t>トウブ</t>
    </rPh>
    <rPh sb="24" eb="28">
      <t>シンコシガヤエキ</t>
    </rPh>
    <rPh sb="28" eb="30">
      <t>ニシグチ</t>
    </rPh>
    <rPh sb="32" eb="34">
      <t>トホ</t>
    </rPh>
    <rPh sb="35" eb="36">
      <t>フン</t>
    </rPh>
    <phoneticPr fontId="2"/>
  </si>
  <si>
    <t>短期入所　越谷花田</t>
    <phoneticPr fontId="2"/>
  </si>
  <si>
    <t>花田4-12-12</t>
    <phoneticPr fontId="2"/>
  </si>
  <si>
    <t>048-971-6905</t>
    <phoneticPr fontId="2"/>
  </si>
  <si>
    <t>048-971-6909</t>
    <phoneticPr fontId="2"/>
  </si>
  <si>
    <t>東武スカイツリーライン越谷駅東口から朝日自動車「花田第四公園入口」下車徒歩５分　※共同生活援助併設</t>
    <rPh sb="0" eb="2">
      <t>トウブ</t>
    </rPh>
    <rPh sb="11" eb="13">
      <t>コシガヤ</t>
    </rPh>
    <rPh sb="13" eb="14">
      <t>エキ</t>
    </rPh>
    <rPh sb="14" eb="16">
      <t>ヒガシグチ</t>
    </rPh>
    <rPh sb="18" eb="20">
      <t>アサヒ</t>
    </rPh>
    <rPh sb="20" eb="23">
      <t>ジドウシャ</t>
    </rPh>
    <rPh sb="24" eb="26">
      <t>ハナタ</t>
    </rPh>
    <rPh sb="26" eb="27">
      <t>ダイ</t>
    </rPh>
    <rPh sb="27" eb="28">
      <t>４</t>
    </rPh>
    <rPh sb="28" eb="30">
      <t>コウエン</t>
    </rPh>
    <rPh sb="30" eb="32">
      <t>イリグチ</t>
    </rPh>
    <rPh sb="33" eb="35">
      <t>ゲシャ</t>
    </rPh>
    <rPh sb="35" eb="37">
      <t>トホ</t>
    </rPh>
    <rPh sb="38" eb="39">
      <t>フン</t>
    </rPh>
    <rPh sb="41" eb="43">
      <t>キョウドウ</t>
    </rPh>
    <rPh sb="43" eb="45">
      <t>セイカツ</t>
    </rPh>
    <rPh sb="45" eb="47">
      <t>エンジョ</t>
    </rPh>
    <rPh sb="47" eb="49">
      <t>ヘイセツ</t>
    </rPh>
    <phoneticPr fontId="2"/>
  </si>
  <si>
    <t>(株)グースサポート</t>
    <rPh sb="1" eb="2">
      <t>カブ</t>
    </rPh>
    <phoneticPr fontId="2"/>
  </si>
  <si>
    <t>(福)はぐくむ会</t>
    <rPh sb="1" eb="2">
      <t>フク</t>
    </rPh>
    <rPh sb="7" eb="8">
      <t>カイ</t>
    </rPh>
    <phoneticPr fontId="2"/>
  </si>
  <si>
    <t>介護老人保健施設　逍遙の郷</t>
    <rPh sb="9" eb="11">
      <t>ショウヨウ</t>
    </rPh>
    <rPh sb="12" eb="13">
      <t>サト</t>
    </rPh>
    <phoneticPr fontId="2"/>
  </si>
  <si>
    <t>大字折原字灰田原2482</t>
    <rPh sb="0" eb="2">
      <t>オオアザ</t>
    </rPh>
    <rPh sb="2" eb="4">
      <t>オリハラ</t>
    </rPh>
    <rPh sb="4" eb="5">
      <t>アザ</t>
    </rPh>
    <rPh sb="5" eb="7">
      <t>ハイダ</t>
    </rPh>
    <rPh sb="7" eb="8">
      <t>ハラ</t>
    </rPh>
    <phoneticPr fontId="2"/>
  </si>
  <si>
    <t>369-1234</t>
    <phoneticPr fontId="2"/>
  </si>
  <si>
    <t>048-581-8855</t>
    <phoneticPr fontId="2"/>
  </si>
  <si>
    <t>048-581-8861</t>
    <phoneticPr fontId="2"/>
  </si>
  <si>
    <t>寄居駅から車で7分
※介護老人保健施設の空床利用　医療型短期入所</t>
    <rPh sb="0" eb="3">
      <t>ヨリイエキ</t>
    </rPh>
    <rPh sb="5" eb="6">
      <t>クルマ</t>
    </rPh>
    <rPh sb="8" eb="9">
      <t>フン</t>
    </rPh>
    <rPh sb="11" eb="13">
      <t>カイゴ</t>
    </rPh>
    <rPh sb="13" eb="15">
      <t>ロウジン</t>
    </rPh>
    <rPh sb="15" eb="17">
      <t>ホケン</t>
    </rPh>
    <rPh sb="17" eb="19">
      <t>シセツ</t>
    </rPh>
    <rPh sb="20" eb="22">
      <t>クウショウ</t>
    </rPh>
    <rPh sb="22" eb="24">
      <t>リヨウ</t>
    </rPh>
    <rPh sb="25" eb="27">
      <t>イリョウ</t>
    </rPh>
    <rPh sb="27" eb="28">
      <t>ガタ</t>
    </rPh>
    <rPh sb="28" eb="30">
      <t>タンキ</t>
    </rPh>
    <rPh sb="30" eb="32">
      <t>ニュウショ</t>
    </rPh>
    <phoneticPr fontId="2"/>
  </si>
  <si>
    <t>（同）花みずき</t>
    <rPh sb="1" eb="2">
      <t>ドウ</t>
    </rPh>
    <rPh sb="3" eb="4">
      <t>ハナ</t>
    </rPh>
    <phoneticPr fontId="2"/>
  </si>
  <si>
    <t>楓</t>
    <rPh sb="0" eb="1">
      <t>カエデ</t>
    </rPh>
    <phoneticPr fontId="2"/>
  </si>
  <si>
    <t>屈巣字舟塚136-1</t>
    <rPh sb="0" eb="1">
      <t>クツ</t>
    </rPh>
    <rPh sb="1" eb="2">
      <t>ス</t>
    </rPh>
    <rPh sb="2" eb="3">
      <t>アザ</t>
    </rPh>
    <rPh sb="3" eb="5">
      <t>フナヅカ</t>
    </rPh>
    <phoneticPr fontId="2"/>
  </si>
  <si>
    <t>048-501-8897</t>
    <phoneticPr fontId="2"/>
  </si>
  <si>
    <t>鴻巣駅東口から鴻巣市コミュニティバス「フラワー号」笠原コース 上谷総合公園行「安養寺」下車徒歩5分</t>
    <rPh sb="0" eb="2">
      <t>コウノス</t>
    </rPh>
    <rPh sb="2" eb="3">
      <t>エキ</t>
    </rPh>
    <rPh sb="3" eb="4">
      <t>ヒガシ</t>
    </rPh>
    <rPh sb="4" eb="5">
      <t>クチ</t>
    </rPh>
    <rPh sb="7" eb="10">
      <t>コウノスシ</t>
    </rPh>
    <rPh sb="23" eb="24">
      <t>ゴウ</t>
    </rPh>
    <rPh sb="25" eb="27">
      <t>カサハラ</t>
    </rPh>
    <rPh sb="31" eb="33">
      <t>カミヤ</t>
    </rPh>
    <rPh sb="33" eb="35">
      <t>ソウゴウ</t>
    </rPh>
    <rPh sb="35" eb="37">
      <t>コウエン</t>
    </rPh>
    <rPh sb="37" eb="38">
      <t>イ</t>
    </rPh>
    <rPh sb="39" eb="40">
      <t>アン</t>
    </rPh>
    <rPh sb="40" eb="41">
      <t>ヨウ</t>
    </rPh>
    <rPh sb="41" eb="42">
      <t>テラ</t>
    </rPh>
    <rPh sb="43" eb="45">
      <t>ゲシャ</t>
    </rPh>
    <rPh sb="45" eb="47">
      <t>トホ</t>
    </rPh>
    <rPh sb="48" eb="49">
      <t>フン</t>
    </rPh>
    <phoneticPr fontId="2"/>
  </si>
  <si>
    <t>(福)秩父市社会福祉事業団</t>
    <rPh sb="1" eb="2">
      <t>フク</t>
    </rPh>
    <rPh sb="3" eb="6">
      <t>チチブシ</t>
    </rPh>
    <rPh sb="6" eb="8">
      <t>シャカイ</t>
    </rPh>
    <rPh sb="8" eb="10">
      <t>フクシ</t>
    </rPh>
    <rPh sb="10" eb="13">
      <t>ジギョウダン</t>
    </rPh>
    <phoneticPr fontId="2"/>
  </si>
  <si>
    <t>ふぁいん・ユー</t>
    <phoneticPr fontId="2"/>
  </si>
  <si>
    <t>寺尾720</t>
    <rPh sb="0" eb="2">
      <t>テラオ</t>
    </rPh>
    <phoneticPr fontId="2"/>
  </si>
  <si>
    <t>368-0056</t>
    <phoneticPr fontId="2"/>
  </si>
  <si>
    <t>0494-26-7616</t>
    <phoneticPr fontId="2"/>
  </si>
  <si>
    <t>0494-26-6124</t>
    <phoneticPr fontId="2"/>
  </si>
  <si>
    <t>秩父鉄道和銅黒谷駅から車で4分</t>
    <rPh sb="0" eb="2">
      <t>チチブ</t>
    </rPh>
    <rPh sb="2" eb="4">
      <t>テツドウ</t>
    </rPh>
    <rPh sb="4" eb="6">
      <t>ワドウ</t>
    </rPh>
    <rPh sb="6" eb="8">
      <t>クロヤ</t>
    </rPh>
    <rPh sb="8" eb="9">
      <t>エキ</t>
    </rPh>
    <rPh sb="11" eb="12">
      <t>クルマ</t>
    </rPh>
    <rPh sb="14" eb="15">
      <t>フン</t>
    </rPh>
    <phoneticPr fontId="2"/>
  </si>
  <si>
    <t>(一社)市一舎</t>
    <rPh sb="1" eb="3">
      <t>イッシャ</t>
    </rPh>
    <rPh sb="4" eb="5">
      <t>イチ</t>
    </rPh>
    <rPh sb="5" eb="6">
      <t>イチ</t>
    </rPh>
    <rPh sb="6" eb="7">
      <t>シャ</t>
    </rPh>
    <phoneticPr fontId="2"/>
  </si>
  <si>
    <t>生活介護事業所　はる</t>
    <rPh sb="0" eb="2">
      <t>セイカツ</t>
    </rPh>
    <rPh sb="2" eb="4">
      <t>カイゴ</t>
    </rPh>
    <rPh sb="4" eb="7">
      <t>ジギョウショ</t>
    </rPh>
    <phoneticPr fontId="2"/>
  </si>
  <si>
    <t>学園台1-12-1</t>
    <rPh sb="0" eb="2">
      <t>ガクエン</t>
    </rPh>
    <rPh sb="2" eb="3">
      <t>ダイ</t>
    </rPh>
    <phoneticPr fontId="2"/>
  </si>
  <si>
    <t>345-0826</t>
    <phoneticPr fontId="2"/>
  </si>
  <si>
    <t>東武動物公園駅から徒歩17分</t>
    <rPh sb="0" eb="7">
      <t>トウブドウブツコウエンエキ</t>
    </rPh>
    <rPh sb="9" eb="11">
      <t>トホ</t>
    </rPh>
    <rPh sb="13" eb="14">
      <t>フン</t>
    </rPh>
    <phoneticPr fontId="2"/>
  </si>
  <si>
    <t>353-0002</t>
  </si>
  <si>
    <t>048-839-3910</t>
  </si>
  <si>
    <t>048-845-7600</t>
  </si>
  <si>
    <t>JR浦和駅から国際興業バスに乗り「いろは橋」下車徒歩2分</t>
    <rPh sb="2" eb="5">
      <t>ウラワエキ</t>
    </rPh>
    <rPh sb="7" eb="11">
      <t>コクサイコウギョウ</t>
    </rPh>
    <rPh sb="14" eb="15">
      <t>ノ</t>
    </rPh>
    <rPh sb="20" eb="21">
      <t>バシ</t>
    </rPh>
    <rPh sb="22" eb="24">
      <t>ゲシャ</t>
    </rPh>
    <rPh sb="24" eb="26">
      <t>トホ</t>
    </rPh>
    <rPh sb="27" eb="28">
      <t>フン</t>
    </rPh>
    <phoneticPr fontId="2"/>
  </si>
  <si>
    <t>しびらきハウス桜新開</t>
    <rPh sb="7" eb="8">
      <t>サクラ</t>
    </rPh>
    <rPh sb="8" eb="10">
      <t>シビラキ</t>
    </rPh>
    <phoneticPr fontId="5"/>
  </si>
  <si>
    <t>桜区新開１－５－１</t>
    <rPh sb="0" eb="1">
      <t>サクラ</t>
    </rPh>
    <rPh sb="1" eb="2">
      <t>ク</t>
    </rPh>
    <rPh sb="2" eb="4">
      <t>シビラキ</t>
    </rPh>
    <phoneticPr fontId="2"/>
  </si>
  <si>
    <t>JR西浦和駅から徒歩20分</t>
    <rPh sb="2" eb="6">
      <t>ニシウラワエキ</t>
    </rPh>
    <rPh sb="8" eb="10">
      <t>トホ</t>
    </rPh>
    <rPh sb="12" eb="13">
      <t>フン</t>
    </rPh>
    <phoneticPr fontId="2"/>
  </si>
  <si>
    <t>（株）日本クリード</t>
    <rPh sb="0" eb="3">
      <t>カブ</t>
    </rPh>
    <rPh sb="3" eb="5">
      <t>ニホン</t>
    </rPh>
    <phoneticPr fontId="2"/>
  </si>
  <si>
    <t>的場422-5</t>
    <rPh sb="0" eb="2">
      <t>マトバ</t>
    </rPh>
    <phoneticPr fontId="2"/>
  </si>
  <si>
    <t>的場駅下車徒歩11分</t>
    <rPh sb="0" eb="2">
      <t>マトバ</t>
    </rPh>
    <rPh sb="2" eb="3">
      <t>エキ</t>
    </rPh>
    <rPh sb="3" eb="5">
      <t>ゲシャ</t>
    </rPh>
    <rPh sb="5" eb="7">
      <t>トホ</t>
    </rPh>
    <rPh sb="9" eb="10">
      <t>プン</t>
    </rPh>
    <phoneticPr fontId="2"/>
  </si>
  <si>
    <t>合計</t>
  </si>
  <si>
    <t>04-2968-3242</t>
    <phoneticPr fontId="2"/>
  </si>
  <si>
    <t>ベストクロス（同）</t>
    <rPh sb="7" eb="8">
      <t>ドウ</t>
    </rPh>
    <phoneticPr fontId="2"/>
  </si>
  <si>
    <t>(一社)ＳＯｉＬ</t>
    <rPh sb="1" eb="3">
      <t>イッシャ</t>
    </rPh>
    <phoneticPr fontId="2"/>
  </si>
  <si>
    <t>就労継続支援B型事業所LEAFS</t>
    <rPh sb="0" eb="6">
      <t>シュウロウケイゾクシエン</t>
    </rPh>
    <rPh sb="7" eb="11">
      <t>ガタジギョウショ</t>
    </rPh>
    <phoneticPr fontId="2"/>
  </si>
  <si>
    <t>関沢3-23-20</t>
    <rPh sb="0" eb="2">
      <t>セキサワ</t>
    </rPh>
    <phoneticPr fontId="2"/>
  </si>
  <si>
    <t>049-290-0147</t>
    <phoneticPr fontId="2"/>
  </si>
  <si>
    <t>東武鉄道東上線みずほ台駅から徒歩15分</t>
    <rPh sb="0" eb="2">
      <t>トウブ</t>
    </rPh>
    <rPh sb="2" eb="4">
      <t>テツドウ</t>
    </rPh>
    <rPh sb="4" eb="6">
      <t>トウジョウ</t>
    </rPh>
    <rPh sb="10" eb="11">
      <t>ダイ</t>
    </rPh>
    <rPh sb="11" eb="12">
      <t>エキ</t>
    </rPh>
    <rPh sb="14" eb="16">
      <t>トホ</t>
    </rPh>
    <rPh sb="18" eb="19">
      <t>フン</t>
    </rPh>
    <phoneticPr fontId="2"/>
  </si>
  <si>
    <t>鶴馬1-7-32</t>
    <rPh sb="0" eb="2">
      <t>ツルマ</t>
    </rPh>
    <phoneticPr fontId="2"/>
  </si>
  <si>
    <t>354-0021</t>
    <phoneticPr fontId="2"/>
  </si>
  <si>
    <t>049-293-9273</t>
    <phoneticPr fontId="2"/>
  </si>
  <si>
    <t>049-293-9274</t>
    <phoneticPr fontId="2"/>
  </si>
  <si>
    <t>東武鉄道東上線鶴瀬駅から徒歩9分
※共同生活援助との併設</t>
    <rPh sb="0" eb="2">
      <t>トウブ</t>
    </rPh>
    <rPh sb="2" eb="4">
      <t>テツドウ</t>
    </rPh>
    <rPh sb="4" eb="6">
      <t>トウジョウ</t>
    </rPh>
    <rPh sb="6" eb="7">
      <t>セン</t>
    </rPh>
    <rPh sb="7" eb="9">
      <t>ツルセ</t>
    </rPh>
    <rPh sb="9" eb="10">
      <t>エキ</t>
    </rPh>
    <rPh sb="12" eb="14">
      <t>トホ</t>
    </rPh>
    <rPh sb="15" eb="16">
      <t>フン</t>
    </rPh>
    <phoneticPr fontId="2"/>
  </si>
  <si>
    <t>(株)リスコット</t>
    <rPh sb="0" eb="3">
      <t>カブ</t>
    </rPh>
    <phoneticPr fontId="2"/>
  </si>
  <si>
    <t>緑生の丘</t>
    <rPh sb="0" eb="2">
      <t>リョクセイ</t>
    </rPh>
    <rPh sb="3" eb="4">
      <t>オカ</t>
    </rPh>
    <phoneticPr fontId="2"/>
  </si>
  <si>
    <t>袋667-6</t>
    <rPh sb="0" eb="1">
      <t>フクロ</t>
    </rPh>
    <phoneticPr fontId="2"/>
  </si>
  <si>
    <t>048-579-5207</t>
    <phoneticPr fontId="2"/>
  </si>
  <si>
    <t>JR高崎線北鴻巣駅から徒歩20分
※共同生活援助の空床利用</t>
    <rPh sb="2" eb="5">
      <t>タカサキセン</t>
    </rPh>
    <rPh sb="5" eb="9">
      <t>キタコウノスエキ</t>
    </rPh>
    <rPh sb="11" eb="13">
      <t>トホ</t>
    </rPh>
    <rPh sb="15" eb="16">
      <t>フン</t>
    </rPh>
    <rPh sb="18" eb="20">
      <t>キョウドウ</t>
    </rPh>
    <rPh sb="20" eb="22">
      <t>セイカツ</t>
    </rPh>
    <rPh sb="22" eb="24">
      <t>エンジョ</t>
    </rPh>
    <rPh sb="25" eb="26">
      <t>クウ</t>
    </rPh>
    <rPh sb="26" eb="27">
      <t>ショウ</t>
    </rPh>
    <rPh sb="27" eb="29">
      <t>リヨウ</t>
    </rPh>
    <phoneticPr fontId="2"/>
  </si>
  <si>
    <t>(一社)きずな</t>
    <rPh sb="1" eb="3">
      <t>イッシャ</t>
    </rPh>
    <phoneticPr fontId="2"/>
  </si>
  <si>
    <t>はちはうす</t>
    <phoneticPr fontId="2"/>
  </si>
  <si>
    <t>大字南川崎96-2</t>
    <rPh sb="0" eb="2">
      <t>オオアザ</t>
    </rPh>
    <rPh sb="2" eb="5">
      <t>ミナミカワサキ</t>
    </rPh>
    <phoneticPr fontId="2"/>
  </si>
  <si>
    <t>048-951-2397</t>
    <phoneticPr fontId="2"/>
  </si>
  <si>
    <t>048-951-2398</t>
    <phoneticPr fontId="2"/>
  </si>
  <si>
    <t>（一社）正和会</t>
    <rPh sb="1" eb="3">
      <t>イッシャ</t>
    </rPh>
    <rPh sb="4" eb="6">
      <t>セイワ</t>
    </rPh>
    <rPh sb="6" eb="7">
      <t>カイ</t>
    </rPh>
    <phoneticPr fontId="2"/>
  </si>
  <si>
    <t>自立訓練施設ペンタス</t>
    <rPh sb="0" eb="2">
      <t>ジリツ</t>
    </rPh>
    <rPh sb="2" eb="4">
      <t>クンレン</t>
    </rPh>
    <rPh sb="4" eb="6">
      <t>シセツ</t>
    </rPh>
    <phoneticPr fontId="2"/>
  </si>
  <si>
    <t>藤塚250-58</t>
    <rPh sb="0" eb="2">
      <t>フジツカ</t>
    </rPh>
    <phoneticPr fontId="2"/>
  </si>
  <si>
    <t>048-738-0701</t>
    <phoneticPr fontId="2"/>
  </si>
  <si>
    <t>一ノ割駅より朝日バス「集会所前」下車徒歩2分</t>
    <rPh sb="0" eb="1">
      <t>イチ</t>
    </rPh>
    <rPh sb="2" eb="3">
      <t>ワリ</t>
    </rPh>
    <rPh sb="3" eb="4">
      <t>エキ</t>
    </rPh>
    <rPh sb="6" eb="8">
      <t>アサヒ</t>
    </rPh>
    <rPh sb="11" eb="13">
      <t>シュウカイ</t>
    </rPh>
    <rPh sb="13" eb="14">
      <t>ジョ</t>
    </rPh>
    <rPh sb="14" eb="15">
      <t>マエ</t>
    </rPh>
    <rPh sb="16" eb="18">
      <t>ゲシャ</t>
    </rPh>
    <rPh sb="18" eb="20">
      <t>トホ</t>
    </rPh>
    <rPh sb="21" eb="22">
      <t>フン</t>
    </rPh>
    <phoneticPr fontId="2"/>
  </si>
  <si>
    <t>（株）日本クリード</t>
    <rPh sb="1" eb="2">
      <t>カブ</t>
    </rPh>
    <rPh sb="3" eb="5">
      <t>ニホン</t>
    </rPh>
    <phoneticPr fontId="2"/>
  </si>
  <si>
    <t>クリード川越ショートステイ</t>
    <rPh sb="4" eb="6">
      <t>カワゴエ</t>
    </rPh>
    <phoneticPr fontId="2"/>
  </si>
  <si>
    <t>049-239-3930</t>
    <phoneticPr fontId="2"/>
  </si>
  <si>
    <t>049-239-3931</t>
    <phoneticPr fontId="2"/>
  </si>
  <si>
    <t>的場駅から徒歩約10分
※共同生活援助との併設</t>
    <rPh sb="0" eb="2">
      <t>マトバ</t>
    </rPh>
    <rPh sb="2" eb="3">
      <t>エキ</t>
    </rPh>
    <rPh sb="5" eb="7">
      <t>トホ</t>
    </rPh>
    <rPh sb="7" eb="8">
      <t>ヤク</t>
    </rPh>
    <rPh sb="10" eb="11">
      <t>フン</t>
    </rPh>
    <rPh sb="13" eb="15">
      <t>キョウドウ</t>
    </rPh>
    <rPh sb="15" eb="17">
      <t>セイカツ</t>
    </rPh>
    <rPh sb="17" eb="19">
      <t>エンジョ</t>
    </rPh>
    <rPh sb="21" eb="23">
      <t>ヘイセツ</t>
    </rPh>
    <phoneticPr fontId="2"/>
  </si>
  <si>
    <t>朗真堂</t>
    <rPh sb="0" eb="1">
      <t>ロウ</t>
    </rPh>
    <rPh sb="1" eb="2">
      <t>シン</t>
    </rPh>
    <rPh sb="2" eb="3">
      <t>ドウ</t>
    </rPh>
    <phoneticPr fontId="5"/>
  </si>
  <si>
    <t>北区大成町４－３５－４　大宮鉄博２F</t>
    <rPh sb="0" eb="1">
      <t>キタ</t>
    </rPh>
    <rPh sb="1" eb="2">
      <t>ク</t>
    </rPh>
    <rPh sb="2" eb="5">
      <t>オオナリチョウ</t>
    </rPh>
    <rPh sb="12" eb="14">
      <t>オオミヤ</t>
    </rPh>
    <rPh sb="14" eb="15">
      <t>テツ</t>
    </rPh>
    <rPh sb="15" eb="16">
      <t>ハク</t>
    </rPh>
    <phoneticPr fontId="5"/>
  </si>
  <si>
    <t>331-0815</t>
  </si>
  <si>
    <t>048-782-9003</t>
  </si>
  <si>
    <t>020-4664-2929</t>
  </si>
  <si>
    <t>R2.9.1就労移行新規指定
埼玉新都市交通伊奈線「鉄道博物館」駅から徒歩3分</t>
    <rPh sb="6" eb="8">
      <t>シュウロウ</t>
    </rPh>
    <rPh sb="8" eb="10">
      <t>イコウ</t>
    </rPh>
    <rPh sb="10" eb="12">
      <t>シンキ</t>
    </rPh>
    <rPh sb="12" eb="14">
      <t>シテイ</t>
    </rPh>
    <phoneticPr fontId="2"/>
  </si>
  <si>
    <t>朗真堂カラーズ</t>
    <rPh sb="0" eb="1">
      <t>ロウ</t>
    </rPh>
    <rPh sb="1" eb="2">
      <t>シン</t>
    </rPh>
    <rPh sb="2" eb="3">
      <t>ドウ</t>
    </rPh>
    <phoneticPr fontId="5"/>
  </si>
  <si>
    <t>北区大成町４－７６－１－１０１</t>
    <rPh sb="0" eb="1">
      <t>キタ</t>
    </rPh>
    <rPh sb="1" eb="2">
      <t>ク</t>
    </rPh>
    <rPh sb="2" eb="5">
      <t>オオナリチョウ</t>
    </rPh>
    <phoneticPr fontId="5"/>
  </si>
  <si>
    <t>埼玉新都市交通伊奈線「鉄道博物館」駅から徒歩3分</t>
    <rPh sb="11" eb="16">
      <t>テツドウハクブツカン</t>
    </rPh>
    <rPh sb="17" eb="18">
      <t>エキ</t>
    </rPh>
    <rPh sb="20" eb="22">
      <t>トホ</t>
    </rPh>
    <rPh sb="23" eb="24">
      <t>フン</t>
    </rPh>
    <phoneticPr fontId="2"/>
  </si>
  <si>
    <t>あすもショートステイ川口</t>
    <rPh sb="10" eb="12">
      <t>かわぐち</t>
    </rPh>
    <phoneticPr fontId="2" type="Hiragana"/>
  </si>
  <si>
    <t>埼玉高速鉄道川口元郷駅より国際興業バス「舎人団地・舎人駅行き」弥平町バス停より徒歩２分</t>
    <phoneticPr fontId="2" type="Hiragana"/>
  </si>
  <si>
    <t>048-299-5192</t>
    <phoneticPr fontId="2"/>
  </si>
  <si>
    <t>048-299-5193</t>
    <phoneticPr fontId="2"/>
  </si>
  <si>
    <t>未来サポート</t>
    <rPh sb="0" eb="2">
      <t>みらい</t>
    </rPh>
    <phoneticPr fontId="2" type="Hiragana"/>
  </si>
  <si>
    <t>332-0034</t>
  </si>
  <si>
    <t>048-487-8166</t>
    <phoneticPr fontId="2" type="Hiragana"/>
  </si>
  <si>
    <t>048-487-8162</t>
    <phoneticPr fontId="2" type="Hiragana"/>
  </si>
  <si>
    <t>東浦和駅から国際興業バス「西川口駅東口行」網代橋バス停より徒歩３分</t>
    <rPh sb="0" eb="4">
      <t>ひがしうらわえき</t>
    </rPh>
    <rPh sb="6" eb="8">
      <t>こくさい</t>
    </rPh>
    <rPh sb="8" eb="10">
      <t>こうぎょう</t>
    </rPh>
    <rPh sb="13" eb="16">
      <t>にしかわぐち</t>
    </rPh>
    <rPh sb="16" eb="17">
      <t>えき</t>
    </rPh>
    <rPh sb="17" eb="19">
      <t>ひがしぐち</t>
    </rPh>
    <rPh sb="19" eb="20">
      <t>ゆ</t>
    </rPh>
    <rPh sb="21" eb="23">
      <t>あみしろ</t>
    </rPh>
    <rPh sb="23" eb="24">
      <t>ばし</t>
    </rPh>
    <rPh sb="26" eb="27">
      <t>てい</t>
    </rPh>
    <rPh sb="29" eb="31">
      <t>とほ</t>
    </rPh>
    <rPh sb="32" eb="33">
      <t>ふん</t>
    </rPh>
    <phoneticPr fontId="2" type="Hiragana"/>
  </si>
  <si>
    <t>(福)入間東部福祉会</t>
    <rPh sb="1" eb="2">
      <t>フク</t>
    </rPh>
    <rPh sb="3" eb="5">
      <t>イルマ</t>
    </rPh>
    <rPh sb="4" eb="6">
      <t>トウブ</t>
    </rPh>
    <rPh sb="6" eb="8">
      <t>フクシ</t>
    </rPh>
    <rPh sb="8" eb="9">
      <t>カイ</t>
    </rPh>
    <phoneticPr fontId="1"/>
  </si>
  <si>
    <t>グループホームふじみ野かがやき</t>
    <rPh sb="10" eb="11">
      <t>ノ</t>
    </rPh>
    <phoneticPr fontId="2"/>
  </si>
  <si>
    <t>長宮1－1－7</t>
    <rPh sb="0" eb="2">
      <t>ナガミヤ</t>
    </rPh>
    <phoneticPr fontId="1"/>
  </si>
  <si>
    <t>仲町2-2-44
パールウィング9階A</t>
    <rPh sb="0" eb="2">
      <t>ナカチョウ</t>
    </rPh>
    <rPh sb="17" eb="18">
      <t>カイ</t>
    </rPh>
    <phoneticPr fontId="2"/>
  </si>
  <si>
    <t>049-483-4790</t>
    <phoneticPr fontId="2"/>
  </si>
  <si>
    <t>048-483-4764</t>
    <phoneticPr fontId="2"/>
  </si>
  <si>
    <t>東武鉄道東上線朝霞駅から徒歩1分</t>
    <rPh sb="0" eb="2">
      <t>トウブ</t>
    </rPh>
    <rPh sb="2" eb="4">
      <t>テツドウ</t>
    </rPh>
    <rPh sb="4" eb="6">
      <t>トウジョウ</t>
    </rPh>
    <rPh sb="7" eb="9">
      <t>アサカ</t>
    </rPh>
    <rPh sb="9" eb="10">
      <t>エキ</t>
    </rPh>
    <rPh sb="12" eb="14">
      <t>トホ</t>
    </rPh>
    <rPh sb="15" eb="16">
      <t>フン</t>
    </rPh>
    <phoneticPr fontId="2"/>
  </si>
  <si>
    <t>(株) Happy Place</t>
    <rPh sb="1" eb="2">
      <t>カブ</t>
    </rPh>
    <phoneticPr fontId="2"/>
  </si>
  <si>
    <t>Sunny</t>
    <phoneticPr fontId="2"/>
  </si>
  <si>
    <t>048-954-8643</t>
    <phoneticPr fontId="2"/>
  </si>
  <si>
    <t>048-954-8653</t>
    <phoneticPr fontId="2"/>
  </si>
  <si>
    <t>白岡市</t>
    <rPh sb="0" eb="3">
      <t>シラオカシ</t>
    </rPh>
    <phoneticPr fontId="2"/>
  </si>
  <si>
    <t>(福)聖徳会</t>
    <rPh sb="3" eb="4">
      <t>セイ</t>
    </rPh>
    <rPh sb="4" eb="5">
      <t>トク</t>
    </rPh>
    <rPh sb="5" eb="6">
      <t>カイ</t>
    </rPh>
    <phoneticPr fontId="2"/>
  </si>
  <si>
    <t>ルーチェ</t>
    <phoneticPr fontId="5"/>
  </si>
  <si>
    <t>長野1-14-26</t>
    <rPh sb="0" eb="2">
      <t>ナガノ</t>
    </rPh>
    <phoneticPr fontId="2"/>
  </si>
  <si>
    <t>361-0023</t>
    <phoneticPr fontId="2"/>
  </si>
  <si>
    <t>048-598-7071</t>
    <phoneticPr fontId="2"/>
  </si>
  <si>
    <t>秩父鉄道東行田駅から徒歩7分
※共同生活援助との併設</t>
    <rPh sb="0" eb="2">
      <t>チチブ</t>
    </rPh>
    <rPh sb="2" eb="4">
      <t>テツドウ</t>
    </rPh>
    <rPh sb="4" eb="7">
      <t>ヒガシギョウダ</t>
    </rPh>
    <rPh sb="7" eb="8">
      <t>エキ</t>
    </rPh>
    <rPh sb="10" eb="12">
      <t>トホ</t>
    </rPh>
    <rPh sb="13" eb="14">
      <t>フン</t>
    </rPh>
    <phoneticPr fontId="2"/>
  </si>
  <si>
    <t>(一社)ゆぃまぁる</t>
    <rPh sb="1" eb="3">
      <t>イッシャ</t>
    </rPh>
    <phoneticPr fontId="2"/>
  </si>
  <si>
    <t>ＹＵＩ　ＷＯＲＫ</t>
    <phoneticPr fontId="2"/>
  </si>
  <si>
    <t>神明1-7-12
浜谷マンション1階</t>
    <rPh sb="0" eb="2">
      <t>シンメイ</t>
    </rPh>
    <rPh sb="9" eb="11">
      <t>ハマヤ</t>
    </rPh>
    <rPh sb="17" eb="18">
      <t>カイ</t>
    </rPh>
    <phoneticPr fontId="2"/>
  </si>
  <si>
    <t>340-0012</t>
    <phoneticPr fontId="2"/>
  </si>
  <si>
    <t>048-941-5597</t>
    <phoneticPr fontId="2"/>
  </si>
  <si>
    <t>東武スカイツリーライン草加駅から徒歩10分</t>
    <rPh sb="0" eb="2">
      <t>トウブ</t>
    </rPh>
    <rPh sb="11" eb="14">
      <t>ソウカエキ</t>
    </rPh>
    <rPh sb="16" eb="18">
      <t>トホ</t>
    </rPh>
    <rPh sb="20" eb="21">
      <t>フン</t>
    </rPh>
    <phoneticPr fontId="2"/>
  </si>
  <si>
    <t>東武スカイツリーライン新越谷駅徒歩5分</t>
    <rPh sb="0" eb="2">
      <t>トウブ</t>
    </rPh>
    <rPh sb="11" eb="14">
      <t>シンコシガヤ</t>
    </rPh>
    <rPh sb="14" eb="15">
      <t>エキ</t>
    </rPh>
    <rPh sb="15" eb="17">
      <t>トホ</t>
    </rPh>
    <rPh sb="18" eb="19">
      <t>フン</t>
    </rPh>
    <phoneticPr fontId="2"/>
  </si>
  <si>
    <t>LITALICOワークス南越谷（定着支援）</t>
    <rPh sb="12" eb="13">
      <t>ミナミ</t>
    </rPh>
    <rPh sb="13" eb="15">
      <t>コシガヤ</t>
    </rPh>
    <rPh sb="16" eb="18">
      <t>テイチャク</t>
    </rPh>
    <rPh sb="18" eb="20">
      <t>シエン</t>
    </rPh>
    <phoneticPr fontId="2"/>
  </si>
  <si>
    <t>南越谷1-2875-2
南越谷ローヤルコーポ1F</t>
    <rPh sb="0" eb="1">
      <t>ミナミ</t>
    </rPh>
    <rPh sb="1" eb="3">
      <t>コシガヤ</t>
    </rPh>
    <rPh sb="12" eb="15">
      <t>ミナミコシガヤ</t>
    </rPh>
    <phoneticPr fontId="2"/>
  </si>
  <si>
    <t>R2.10,1</t>
    <phoneticPr fontId="2"/>
  </si>
  <si>
    <t>東武スカイツリーライン新越谷駅・ＪＲ武蔵野線南越谷駅徒歩5分</t>
    <rPh sb="0" eb="2">
      <t>トウブ</t>
    </rPh>
    <rPh sb="11" eb="14">
      <t>シンコシガヤ</t>
    </rPh>
    <rPh sb="14" eb="15">
      <t>エキ</t>
    </rPh>
    <rPh sb="18" eb="22">
      <t>ムサシノセン</t>
    </rPh>
    <rPh sb="22" eb="26">
      <t>ミナミコシガヤエキ</t>
    </rPh>
    <rPh sb="26" eb="28">
      <t>トホ</t>
    </rPh>
    <rPh sb="29" eb="30">
      <t>フン</t>
    </rPh>
    <phoneticPr fontId="2"/>
  </si>
  <si>
    <t>049-257-5780</t>
  </si>
  <si>
    <t>川越市駅下車徒歩15分</t>
    <rPh sb="0" eb="3">
      <t>カワゴエシ</t>
    </rPh>
    <rPh sb="3" eb="4">
      <t>エキ</t>
    </rPh>
    <rPh sb="4" eb="6">
      <t>ゲシャ</t>
    </rPh>
    <rPh sb="6" eb="8">
      <t>トホ</t>
    </rPh>
    <rPh sb="10" eb="11">
      <t>フン</t>
    </rPh>
    <phoneticPr fontId="2"/>
  </si>
  <si>
    <t>デイサービス山桜＠東本郷</t>
    <rPh sb="6" eb="8">
      <t>やまざくら</t>
    </rPh>
    <rPh sb="9" eb="10">
      <t>ひがし</t>
    </rPh>
    <rPh sb="10" eb="12">
      <t>ほんごう</t>
    </rPh>
    <phoneticPr fontId="2" type="Hiragana"/>
  </si>
  <si>
    <t>334-0063</t>
    <phoneticPr fontId="2" type="Hiragana"/>
  </si>
  <si>
    <t>048-430-7541</t>
    <phoneticPr fontId="2" type="Hiragana"/>
  </si>
  <si>
    <t>JR川口駅東口よりバス（11,12乗り場）峯八幡宮行き、新郷農協前下車　徒歩３分　地域密着型通所介護と併設(共生型)</t>
    <rPh sb="2" eb="5">
      <t>かわぐちえき</t>
    </rPh>
    <rPh sb="5" eb="7">
      <t>ひがしぐち</t>
    </rPh>
    <rPh sb="17" eb="18">
      <t>の</t>
    </rPh>
    <rPh sb="19" eb="20">
      <t>ば</t>
    </rPh>
    <rPh sb="21" eb="22">
      <t>みね</t>
    </rPh>
    <rPh sb="22" eb="25">
      <t>はちまんぐう</t>
    </rPh>
    <rPh sb="25" eb="26">
      <t>いき</t>
    </rPh>
    <rPh sb="28" eb="30">
      <t>しんごう</t>
    </rPh>
    <rPh sb="30" eb="32">
      <t>のうきょう</t>
    </rPh>
    <rPh sb="32" eb="33">
      <t>まえ</t>
    </rPh>
    <rPh sb="33" eb="35">
      <t>げしゃ</t>
    </rPh>
    <rPh sb="36" eb="38">
      <t>とほ</t>
    </rPh>
    <rPh sb="39" eb="40">
      <t>ふん</t>
    </rPh>
    <rPh sb="41" eb="43">
      <t>ちいき</t>
    </rPh>
    <rPh sb="43" eb="46">
      <t>みっちゃくがた</t>
    </rPh>
    <rPh sb="46" eb="48">
      <t>つうしょ</t>
    </rPh>
    <rPh sb="48" eb="50">
      <t>かいご</t>
    </rPh>
    <rPh sb="51" eb="53">
      <t>へいせつ</t>
    </rPh>
    <rPh sb="54" eb="57">
      <t>きょうせいがた</t>
    </rPh>
    <phoneticPr fontId="2" type="Hiragana"/>
  </si>
  <si>
    <t>工房ポルトス</t>
    <rPh sb="0" eb="2">
      <t>コウボウ</t>
    </rPh>
    <phoneticPr fontId="3"/>
  </si>
  <si>
    <t>岩槻区仲町１－１２－１６</t>
    <rPh sb="0" eb="3">
      <t>イワツキク</t>
    </rPh>
    <rPh sb="3" eb="5">
      <t>ナカマチ</t>
    </rPh>
    <phoneticPr fontId="2"/>
  </si>
  <si>
    <t>339-0054</t>
    <phoneticPr fontId="2"/>
  </si>
  <si>
    <t>048-749-5178</t>
  </si>
  <si>
    <t>岩槻駅から徒歩15分</t>
    <rPh sb="0" eb="2">
      <t>イワツキ</t>
    </rPh>
    <rPh sb="2" eb="3">
      <t>エキ</t>
    </rPh>
    <rPh sb="5" eb="7">
      <t>トホ</t>
    </rPh>
    <rPh sb="9" eb="10">
      <t>フン</t>
    </rPh>
    <phoneticPr fontId="2"/>
  </si>
  <si>
    <t>048-829-9558</t>
  </si>
  <si>
    <t>048-829-9559</t>
  </si>
  <si>
    <t>西武新宿線所沢駅西口徒歩4分</t>
    <rPh sb="0" eb="2">
      <t>セイブ</t>
    </rPh>
    <rPh sb="2" eb="5">
      <t>シンジュクセン</t>
    </rPh>
    <rPh sb="5" eb="7">
      <t>トコロザワ</t>
    </rPh>
    <rPh sb="7" eb="8">
      <t>エキ</t>
    </rPh>
    <rPh sb="8" eb="10">
      <t>ニシグチ</t>
    </rPh>
    <rPh sb="10" eb="12">
      <t>トホ</t>
    </rPh>
    <rPh sb="13" eb="14">
      <t>フン</t>
    </rPh>
    <phoneticPr fontId="2"/>
  </si>
  <si>
    <t>(株）ヴェスタ</t>
    <rPh sb="1" eb="2">
      <t>カブ</t>
    </rPh>
    <phoneticPr fontId="2"/>
  </si>
  <si>
    <t>粕壁2-4-17
石津ビル3F</t>
    <rPh sb="0" eb="1">
      <t>カス</t>
    </rPh>
    <rPh sb="1" eb="2">
      <t>カベ</t>
    </rPh>
    <rPh sb="9" eb="11">
      <t>イシヅ</t>
    </rPh>
    <phoneticPr fontId="2"/>
  </si>
  <si>
    <t>（株）チャレジョブ</t>
    <rPh sb="1" eb="2">
      <t>カブ</t>
    </rPh>
    <phoneticPr fontId="2"/>
  </si>
  <si>
    <t>チャレジョブセンター鴻巣</t>
    <rPh sb="10" eb="12">
      <t>コウノス</t>
    </rPh>
    <phoneticPr fontId="2"/>
  </si>
  <si>
    <t>本町4丁目3-3
東口第一ビル2階</t>
    <rPh sb="0" eb="2">
      <t>ホンチョウ</t>
    </rPh>
    <rPh sb="3" eb="5">
      <t>チョウメ</t>
    </rPh>
    <rPh sb="9" eb="11">
      <t>ヒガシグチ</t>
    </rPh>
    <rPh sb="11" eb="13">
      <t>ダイイチ</t>
    </rPh>
    <rPh sb="16" eb="17">
      <t>カイ</t>
    </rPh>
    <phoneticPr fontId="2"/>
  </si>
  <si>
    <t>048-578-8782</t>
    <phoneticPr fontId="2"/>
  </si>
  <si>
    <t>048-578-8783</t>
    <phoneticPr fontId="2"/>
  </si>
  <si>
    <t>鴻巣駅から徒歩2分</t>
    <rPh sb="0" eb="2">
      <t>コウノス</t>
    </rPh>
    <rPh sb="2" eb="3">
      <t>エキ</t>
    </rPh>
    <rPh sb="5" eb="7">
      <t>トホ</t>
    </rPh>
    <rPh sb="8" eb="9">
      <t>フン</t>
    </rPh>
    <phoneticPr fontId="2"/>
  </si>
  <si>
    <t>サムズアップワークス</t>
    <phoneticPr fontId="2"/>
  </si>
  <si>
    <t>越ヶ谷1-11-36
TOHO36ビル3F</t>
    <rPh sb="0" eb="1">
      <t>コシ</t>
    </rPh>
    <rPh sb="2" eb="3">
      <t>タニ</t>
    </rPh>
    <phoneticPr fontId="2"/>
  </si>
  <si>
    <t>343-0813</t>
    <phoneticPr fontId="2"/>
  </si>
  <si>
    <t>048-940-6232</t>
    <phoneticPr fontId="2"/>
  </si>
  <si>
    <t>048-999-6348</t>
    <phoneticPr fontId="2"/>
  </si>
  <si>
    <t>タルト</t>
    <phoneticPr fontId="2"/>
  </si>
  <si>
    <t>越ヶ谷1-13-2</t>
    <rPh sb="0" eb="1">
      <t>コシ</t>
    </rPh>
    <rPh sb="2" eb="3">
      <t>タニ</t>
    </rPh>
    <phoneticPr fontId="2"/>
  </si>
  <si>
    <t>048-999-6834</t>
    <phoneticPr fontId="2"/>
  </si>
  <si>
    <t>048-999-6894</t>
    <phoneticPr fontId="2"/>
  </si>
  <si>
    <t>東武スカイツリーライン越谷駅徒歩5分</t>
    <rPh sb="0" eb="2">
      <t>トウブ</t>
    </rPh>
    <rPh sb="11" eb="13">
      <t>コシガヤ</t>
    </rPh>
    <rPh sb="13" eb="14">
      <t>エキ</t>
    </rPh>
    <rPh sb="14" eb="16">
      <t>トホ</t>
    </rPh>
    <rPh sb="17" eb="18">
      <t>フン</t>
    </rPh>
    <phoneticPr fontId="2"/>
  </si>
  <si>
    <t>H26.10.1</t>
    <phoneticPr fontId="2"/>
  </si>
  <si>
    <t>浦和駅から徒歩7分</t>
    <rPh sb="0" eb="3">
      <t>ウラワエキ</t>
    </rPh>
    <rPh sb="5" eb="7">
      <t>トホ</t>
    </rPh>
    <rPh sb="8" eb="9">
      <t>フン</t>
    </rPh>
    <phoneticPr fontId="2"/>
  </si>
  <si>
    <t>ウーリー三郷</t>
    <rPh sb="4" eb="6">
      <t>ミサト</t>
    </rPh>
    <phoneticPr fontId="2"/>
  </si>
  <si>
    <t>三郷2-1-5
ウインズ・ビル301号室</t>
    <rPh sb="0" eb="2">
      <t>ミサト</t>
    </rPh>
    <rPh sb="18" eb="20">
      <t>ゴウシツ</t>
    </rPh>
    <phoneticPr fontId="2"/>
  </si>
  <si>
    <t>048-916-9954</t>
    <phoneticPr fontId="2"/>
  </si>
  <si>
    <t>JR三郷駅から徒歩1分</t>
    <rPh sb="2" eb="4">
      <t>ミサト</t>
    </rPh>
    <rPh sb="4" eb="5">
      <t>エキ</t>
    </rPh>
    <rPh sb="7" eb="9">
      <t>トホ</t>
    </rPh>
    <rPh sb="10" eb="11">
      <t>フン</t>
    </rPh>
    <phoneticPr fontId="2"/>
  </si>
  <si>
    <t>344-0041</t>
    <phoneticPr fontId="2"/>
  </si>
  <si>
    <t>新田駅から徒歩3分
※放課後等デイサービスとの多機能</t>
    <rPh sb="0" eb="2">
      <t>ニッタ</t>
    </rPh>
    <rPh sb="2" eb="3">
      <t>エキ</t>
    </rPh>
    <rPh sb="5" eb="7">
      <t>トホ</t>
    </rPh>
    <rPh sb="8" eb="9">
      <t>プン</t>
    </rPh>
    <rPh sb="11" eb="14">
      <t>ホウカゴ</t>
    </rPh>
    <rPh sb="14" eb="15">
      <t>トウ</t>
    </rPh>
    <rPh sb="23" eb="26">
      <t>タキノウ</t>
    </rPh>
    <phoneticPr fontId="2"/>
  </si>
  <si>
    <t>千佳（株）</t>
    <rPh sb="0" eb="2">
      <t>チカ</t>
    </rPh>
    <rPh sb="2" eb="5">
      <t>カブ</t>
    </rPh>
    <phoneticPr fontId="5"/>
  </si>
  <si>
    <t>大字東三ツ木351-15</t>
    <rPh sb="0" eb="2">
      <t>オオアザ</t>
    </rPh>
    <rPh sb="2" eb="3">
      <t>ヒガシ</t>
    </rPh>
    <rPh sb="3" eb="4">
      <t>ミ</t>
    </rPh>
    <rPh sb="5" eb="6">
      <t>ギ</t>
    </rPh>
    <phoneticPr fontId="2"/>
  </si>
  <si>
    <t>350-1302</t>
    <phoneticPr fontId="2"/>
  </si>
  <si>
    <t>042-935-3287</t>
    <phoneticPr fontId="2"/>
  </si>
  <si>
    <t>042-935-3387</t>
    <phoneticPr fontId="2"/>
  </si>
  <si>
    <t>西武新宿線新狭山駅から徒歩6分
※単独型事業所の短期入所</t>
    <rPh sb="0" eb="2">
      <t>セイブ</t>
    </rPh>
    <rPh sb="2" eb="5">
      <t>シンジュクセン</t>
    </rPh>
    <rPh sb="5" eb="6">
      <t>シン</t>
    </rPh>
    <rPh sb="6" eb="8">
      <t>サヤマ</t>
    </rPh>
    <rPh sb="8" eb="9">
      <t>エキ</t>
    </rPh>
    <rPh sb="11" eb="13">
      <t>トホ</t>
    </rPh>
    <rPh sb="14" eb="15">
      <t>フン</t>
    </rPh>
    <phoneticPr fontId="2"/>
  </si>
  <si>
    <t>（福）東雲会</t>
    <rPh sb="1" eb="2">
      <t>フク</t>
    </rPh>
    <rPh sb="3" eb="5">
      <t>シノノメ</t>
    </rPh>
    <rPh sb="5" eb="6">
      <t>カイ</t>
    </rPh>
    <phoneticPr fontId="5"/>
  </si>
  <si>
    <t>しののめ</t>
    <phoneticPr fontId="5"/>
  </si>
  <si>
    <t>加佐志139-1</t>
    <rPh sb="0" eb="3">
      <t>カザシ</t>
    </rPh>
    <phoneticPr fontId="2"/>
  </si>
  <si>
    <t>350-1314</t>
    <phoneticPr fontId="2"/>
  </si>
  <si>
    <t>04-2968-6680</t>
    <phoneticPr fontId="2"/>
  </si>
  <si>
    <t>04-2941-4898</t>
    <phoneticPr fontId="2"/>
  </si>
  <si>
    <t>西武新宿線新狭山駅から徒歩10分</t>
    <rPh sb="0" eb="2">
      <t>セイブ</t>
    </rPh>
    <rPh sb="2" eb="5">
      <t>シンジュクセン</t>
    </rPh>
    <rPh sb="5" eb="6">
      <t>シン</t>
    </rPh>
    <rPh sb="6" eb="8">
      <t>サヤマ</t>
    </rPh>
    <rPh sb="8" eb="9">
      <t>エキ</t>
    </rPh>
    <rPh sb="11" eb="13">
      <t>トホ</t>
    </rPh>
    <rPh sb="15" eb="16">
      <t>フン</t>
    </rPh>
    <phoneticPr fontId="2"/>
  </si>
  <si>
    <t>（株）SANN</t>
    <rPh sb="0" eb="3">
      <t>カブ</t>
    </rPh>
    <phoneticPr fontId="2"/>
  </si>
  <si>
    <t>ディーキャリア所沢オフィス</t>
    <rPh sb="7" eb="9">
      <t>トコロザワ</t>
    </rPh>
    <phoneticPr fontId="2"/>
  </si>
  <si>
    <t>くすのき台3-18-10
新明ビル 南館</t>
    <rPh sb="4" eb="5">
      <t>ダイ</t>
    </rPh>
    <rPh sb="13" eb="15">
      <t>シンメイ</t>
    </rPh>
    <rPh sb="18" eb="19">
      <t>ミナミ</t>
    </rPh>
    <rPh sb="19" eb="20">
      <t>カン</t>
    </rPh>
    <phoneticPr fontId="2"/>
  </si>
  <si>
    <t>04-2946-8578</t>
    <phoneticPr fontId="2"/>
  </si>
  <si>
    <t>04-2946-8589</t>
    <phoneticPr fontId="2"/>
  </si>
  <si>
    <t>西武池袋線所沢駅よ東口り徒歩4分</t>
    <rPh sb="0" eb="2">
      <t>セイブ</t>
    </rPh>
    <rPh sb="2" eb="4">
      <t>イケブクロ</t>
    </rPh>
    <rPh sb="4" eb="5">
      <t>セン</t>
    </rPh>
    <rPh sb="5" eb="7">
      <t>トコロザワ</t>
    </rPh>
    <rPh sb="7" eb="8">
      <t>エキ</t>
    </rPh>
    <rPh sb="9" eb="11">
      <t>ヒガシグチ</t>
    </rPh>
    <rPh sb="12" eb="14">
      <t>トホ</t>
    </rPh>
    <rPh sb="15" eb="16">
      <t>フン</t>
    </rPh>
    <phoneticPr fontId="2"/>
  </si>
  <si>
    <t>就労定着支援事業所わかばの家</t>
    <rPh sb="0" eb="2">
      <t>シュウロウ</t>
    </rPh>
    <rPh sb="2" eb="4">
      <t>テイチャク</t>
    </rPh>
    <rPh sb="4" eb="6">
      <t>シエン</t>
    </rPh>
    <rPh sb="6" eb="9">
      <t>ジギョウショ</t>
    </rPh>
    <rPh sb="13" eb="14">
      <t>イエ</t>
    </rPh>
    <phoneticPr fontId="2"/>
  </si>
  <si>
    <t>042-974-5836</t>
  </si>
  <si>
    <t>0480-44-9056</t>
    <phoneticPr fontId="2"/>
  </si>
  <si>
    <t>神保原駅から徒歩18分
※共生型</t>
    <rPh sb="13" eb="16">
      <t>キョウセイガタ</t>
    </rPh>
    <phoneticPr fontId="2"/>
  </si>
  <si>
    <t>深谷駅から車20分
※共生型</t>
    <rPh sb="0" eb="2">
      <t>フカヤ</t>
    </rPh>
    <rPh sb="2" eb="3">
      <t>エキ</t>
    </rPh>
    <rPh sb="5" eb="6">
      <t>クルマ</t>
    </rPh>
    <rPh sb="8" eb="9">
      <t>フン</t>
    </rPh>
    <phoneticPr fontId="2"/>
  </si>
  <si>
    <t>中央一丁目93</t>
    <rPh sb="0" eb="2">
      <t>チュウオウ</t>
    </rPh>
    <rPh sb="2" eb="5">
      <t>イッチョウメ</t>
    </rPh>
    <phoneticPr fontId="2"/>
  </si>
  <si>
    <t>362-0809</t>
    <phoneticPr fontId="2"/>
  </si>
  <si>
    <t>aloha新狭山</t>
    <rPh sb="5" eb="6">
      <t>シン</t>
    </rPh>
    <rPh sb="6" eb="8">
      <t>サヤマ</t>
    </rPh>
    <phoneticPr fontId="2"/>
  </si>
  <si>
    <t>新狭山2-14-2
レクセル新狭山111</t>
    <rPh sb="0" eb="1">
      <t>シン</t>
    </rPh>
    <rPh sb="1" eb="3">
      <t>サヤマ</t>
    </rPh>
    <rPh sb="14" eb="15">
      <t>シン</t>
    </rPh>
    <rPh sb="15" eb="17">
      <t>サヤマ</t>
    </rPh>
    <phoneticPr fontId="2"/>
  </si>
  <si>
    <t>350-1331</t>
    <phoneticPr fontId="2"/>
  </si>
  <si>
    <t>04-2937-5937</t>
    <phoneticPr fontId="2"/>
  </si>
  <si>
    <t>04-2937-5938</t>
  </si>
  <si>
    <t>西武鉄道新宿線新狭山駅より徒歩2分</t>
    <rPh sb="0" eb="2">
      <t>セイブ</t>
    </rPh>
    <rPh sb="2" eb="4">
      <t>テツドウ</t>
    </rPh>
    <rPh sb="4" eb="6">
      <t>シンジュク</t>
    </rPh>
    <rPh sb="6" eb="7">
      <t>セン</t>
    </rPh>
    <rPh sb="7" eb="8">
      <t>シン</t>
    </rPh>
    <rPh sb="8" eb="10">
      <t>サヤマ</t>
    </rPh>
    <rPh sb="10" eb="11">
      <t>エキ</t>
    </rPh>
    <rPh sb="13" eb="15">
      <t>トホ</t>
    </rPh>
    <rPh sb="16" eb="17">
      <t>フン</t>
    </rPh>
    <phoneticPr fontId="2"/>
  </si>
  <si>
    <t>ＡＨＣグループ（株）</t>
    <rPh sb="7" eb="10">
      <t>カブ</t>
    </rPh>
    <phoneticPr fontId="2"/>
  </si>
  <si>
    <t>生活介護事業所アプリケアワークス鶴瀬駅西口</t>
    <rPh sb="0" eb="7">
      <t>セイカツカイゴジギョウショ</t>
    </rPh>
    <rPh sb="16" eb="21">
      <t>ツルセエキニシグチ</t>
    </rPh>
    <phoneticPr fontId="2"/>
  </si>
  <si>
    <t>大字鶴馬2612-13
グランドゥール1階</t>
    <rPh sb="0" eb="2">
      <t>オオアザ</t>
    </rPh>
    <rPh sb="2" eb="4">
      <t>ツルマ</t>
    </rPh>
    <rPh sb="20" eb="21">
      <t>カイ</t>
    </rPh>
    <phoneticPr fontId="2"/>
  </si>
  <si>
    <t>049-236-9175</t>
    <phoneticPr fontId="2"/>
  </si>
  <si>
    <t>049-236-9176</t>
  </si>
  <si>
    <t>東武東上線鶴瀬駅西口より徒歩3分</t>
    <rPh sb="0" eb="5">
      <t>トウブトウジョウセン</t>
    </rPh>
    <rPh sb="5" eb="8">
      <t>ツルセエキ</t>
    </rPh>
    <rPh sb="8" eb="10">
      <t>ニシグチ</t>
    </rPh>
    <rPh sb="12" eb="14">
      <t>トホ</t>
    </rPh>
    <rPh sb="15" eb="16">
      <t>フン</t>
    </rPh>
    <phoneticPr fontId="2"/>
  </si>
  <si>
    <t>ＮＥＸＴ　CLASS</t>
  </si>
  <si>
    <t>見沼区東大宮４－８－４　東大宮駅前ビル１F</t>
    <rPh sb="0" eb="3">
      <t>ミヌマク</t>
    </rPh>
    <rPh sb="3" eb="4">
      <t>ヒガシ</t>
    </rPh>
    <rPh sb="4" eb="6">
      <t>オオミヤ</t>
    </rPh>
    <rPh sb="12" eb="13">
      <t>ヒガシ</t>
    </rPh>
    <rPh sb="13" eb="15">
      <t>オオミヤ</t>
    </rPh>
    <rPh sb="15" eb="16">
      <t>エキ</t>
    </rPh>
    <rPh sb="16" eb="17">
      <t>マエ</t>
    </rPh>
    <phoneticPr fontId="5"/>
  </si>
  <si>
    <t>048-788-4315</t>
  </si>
  <si>
    <t>048-788-4316</t>
  </si>
  <si>
    <t>JR東大宮駅西口から徒歩2分</t>
    <rPh sb="2" eb="3">
      <t>ヒガシ</t>
    </rPh>
    <rPh sb="3" eb="5">
      <t>オオミヤ</t>
    </rPh>
    <rPh sb="5" eb="6">
      <t>エキ</t>
    </rPh>
    <rPh sb="6" eb="8">
      <t>ニシグチ</t>
    </rPh>
    <rPh sb="10" eb="12">
      <t>トホ</t>
    </rPh>
    <rPh sb="13" eb="14">
      <t>フン</t>
    </rPh>
    <phoneticPr fontId="2"/>
  </si>
  <si>
    <t>331-0052</t>
  </si>
  <si>
    <t>25</t>
    <phoneticPr fontId="2"/>
  </si>
  <si>
    <t>（福）　永寿荘</t>
    <rPh sb="1" eb="2">
      <t>フク</t>
    </rPh>
    <rPh sb="4" eb="6">
      <t>エイジュ</t>
    </rPh>
    <rPh sb="6" eb="7">
      <t>ソウ</t>
    </rPh>
    <phoneticPr fontId="2"/>
  </si>
  <si>
    <t>QUONチョコレート小江戸川越店</t>
    <rPh sb="10" eb="13">
      <t>コエド</t>
    </rPh>
    <rPh sb="13" eb="15">
      <t>カワゴエ</t>
    </rPh>
    <rPh sb="15" eb="16">
      <t>テン</t>
    </rPh>
    <phoneticPr fontId="2"/>
  </si>
  <si>
    <t>連雀町9-1</t>
    <rPh sb="0" eb="3">
      <t>レンジャクチョウ</t>
    </rPh>
    <phoneticPr fontId="2"/>
  </si>
  <si>
    <t>049-272-7875</t>
  </si>
  <si>
    <t>049-272-7865</t>
  </si>
  <si>
    <t>本川越駅下車徒歩8分</t>
    <rPh sb="0" eb="1">
      <t>ホン</t>
    </rPh>
    <rPh sb="1" eb="3">
      <t>カワゴエ</t>
    </rPh>
    <rPh sb="3" eb="4">
      <t>エキ</t>
    </rPh>
    <rPh sb="4" eb="6">
      <t>ゲシャ</t>
    </rPh>
    <rPh sb="6" eb="8">
      <t>トホ</t>
    </rPh>
    <rPh sb="9" eb="10">
      <t>フン</t>
    </rPh>
    <phoneticPr fontId="2"/>
  </si>
  <si>
    <t>（株）ココルポート</t>
    <phoneticPr fontId="2"/>
  </si>
  <si>
    <t>Cocorport　川越第３Office</t>
    <phoneticPr fontId="2"/>
  </si>
  <si>
    <t>脇田本町16-20森田ビル2階</t>
    <rPh sb="0" eb="2">
      <t>ワキタ</t>
    </rPh>
    <rPh sb="2" eb="4">
      <t>ホンマチ</t>
    </rPh>
    <rPh sb="9" eb="11">
      <t>モリタ</t>
    </rPh>
    <rPh sb="14" eb="15">
      <t>カイ</t>
    </rPh>
    <phoneticPr fontId="2"/>
  </si>
  <si>
    <t>350-1123</t>
    <phoneticPr fontId="2"/>
  </si>
  <si>
    <t>049-265-3648</t>
    <phoneticPr fontId="2"/>
  </si>
  <si>
    <t>049-265-3649</t>
    <phoneticPr fontId="2"/>
  </si>
  <si>
    <t>川越駅西口より徒歩3分</t>
    <rPh sb="0" eb="2">
      <t>カワゴエ</t>
    </rPh>
    <rPh sb="2" eb="3">
      <t>エキ</t>
    </rPh>
    <rPh sb="3" eb="5">
      <t>ニシグチ</t>
    </rPh>
    <rPh sb="7" eb="9">
      <t>トホ</t>
    </rPh>
    <rPh sb="10" eb="11">
      <t>フン</t>
    </rPh>
    <phoneticPr fontId="2"/>
  </si>
  <si>
    <t>サンヴィレッジ川口センター</t>
    <phoneticPr fontId="2"/>
  </si>
  <si>
    <t>332-0016</t>
    <phoneticPr fontId="2"/>
  </si>
  <si>
    <t>048-446-6278</t>
    <phoneticPr fontId="2"/>
  </si>
  <si>
    <t>048-446-6279</t>
    <phoneticPr fontId="2"/>
  </si>
  <si>
    <t>JR川口駅徒歩7分</t>
    <rPh sb="2" eb="5">
      <t>かわぐちえき</t>
    </rPh>
    <rPh sb="5" eb="7">
      <t>とほ</t>
    </rPh>
    <rPh sb="8" eb="9">
      <t>ふん</t>
    </rPh>
    <phoneticPr fontId="2" type="Hiragana"/>
  </si>
  <si>
    <t>ウェルビー西川口　第2センター</t>
    <rPh sb="5" eb="8">
      <t>ニシカワグチ</t>
    </rPh>
    <rPh sb="9" eb="10">
      <t>ダイ</t>
    </rPh>
    <phoneticPr fontId="2"/>
  </si>
  <si>
    <t>048-287-9647</t>
    <phoneticPr fontId="2"/>
  </si>
  <si>
    <t>048-287-9648</t>
    <phoneticPr fontId="2"/>
  </si>
  <si>
    <t>JR西川口駅徒歩２分</t>
    <rPh sb="2" eb="6">
      <t>にしかわぐちえき</t>
    </rPh>
    <rPh sb="6" eb="8">
      <t>とほ</t>
    </rPh>
    <rPh sb="9" eb="10">
      <t>ふん</t>
    </rPh>
    <phoneticPr fontId="2" type="Hiragana"/>
  </si>
  <si>
    <t>西川口1-9-8スカイコート西川口第５　２０３号</t>
    <rPh sb="0" eb="1">
      <t>ニシ</t>
    </rPh>
    <rPh sb="1" eb="2">
      <t>カワニシ</t>
    </rPh>
    <rPh sb="14" eb="17">
      <t>ニシカワグチ</t>
    </rPh>
    <rPh sb="17" eb="18">
      <t>ダイ</t>
    </rPh>
    <rPh sb="23" eb="24">
      <t>ゴウ</t>
    </rPh>
    <phoneticPr fontId="2"/>
  </si>
  <si>
    <t>東本郷1152-1　第一寿マンション１F</t>
    <phoneticPr fontId="2" type="Hiragana"/>
  </si>
  <si>
    <t>（特非）はぴねす</t>
    <rPh sb="1" eb="2">
      <t>トク</t>
    </rPh>
    <rPh sb="2" eb="3">
      <t>ヒ</t>
    </rPh>
    <phoneticPr fontId="2"/>
  </si>
  <si>
    <t>自立支援工房はぴねす秩父</t>
    <rPh sb="0" eb="2">
      <t>ジリツ</t>
    </rPh>
    <rPh sb="2" eb="4">
      <t>シエン</t>
    </rPh>
    <rPh sb="4" eb="6">
      <t>コウボウ</t>
    </rPh>
    <rPh sb="10" eb="12">
      <t>チチブ</t>
    </rPh>
    <phoneticPr fontId="2"/>
  </si>
  <si>
    <t>荒川上田野646-11</t>
    <rPh sb="0" eb="2">
      <t>アラカワ</t>
    </rPh>
    <rPh sb="2" eb="4">
      <t>ウエタ</t>
    </rPh>
    <rPh sb="4" eb="5">
      <t>ノ</t>
    </rPh>
    <phoneticPr fontId="2"/>
  </si>
  <si>
    <t>369-1802</t>
    <phoneticPr fontId="2"/>
  </si>
  <si>
    <t>0494-26-6967</t>
    <phoneticPr fontId="2"/>
  </si>
  <si>
    <t>0494-26-6968</t>
    <phoneticPr fontId="2"/>
  </si>
  <si>
    <t>◯</t>
    <phoneticPr fontId="2"/>
  </si>
  <si>
    <t>秩父鉄道武州中川駅から徒歩12分</t>
    <rPh sb="0" eb="2">
      <t>チチブ</t>
    </rPh>
    <rPh sb="2" eb="4">
      <t>テツドウ</t>
    </rPh>
    <rPh sb="4" eb="6">
      <t>ブシュウ</t>
    </rPh>
    <rPh sb="6" eb="9">
      <t>ナカガワエキ</t>
    </rPh>
    <rPh sb="11" eb="13">
      <t>トホ</t>
    </rPh>
    <rPh sb="15" eb="16">
      <t>フン</t>
    </rPh>
    <phoneticPr fontId="2"/>
  </si>
  <si>
    <t>（特非）ひまわり</t>
    <rPh sb="1" eb="2">
      <t>トク</t>
    </rPh>
    <rPh sb="2" eb="3">
      <t>ヒ</t>
    </rPh>
    <phoneticPr fontId="2"/>
  </si>
  <si>
    <t>南4-1-5</t>
    <rPh sb="0" eb="1">
      <t>ミナミ</t>
    </rPh>
    <phoneticPr fontId="2"/>
  </si>
  <si>
    <t>048-577-5596</t>
    <phoneticPr fontId="2"/>
  </si>
  <si>
    <t>048-577-5672</t>
    <phoneticPr fontId="2"/>
  </si>
  <si>
    <t>東武伊勢崎線・秩父鉄道　羽生駅から徒歩5分</t>
    <rPh sb="0" eb="2">
      <t>トウブ</t>
    </rPh>
    <rPh sb="2" eb="5">
      <t>イセサキ</t>
    </rPh>
    <rPh sb="5" eb="6">
      <t>セン</t>
    </rPh>
    <rPh sb="7" eb="9">
      <t>チチブ</t>
    </rPh>
    <rPh sb="9" eb="11">
      <t>テツドウ</t>
    </rPh>
    <rPh sb="12" eb="14">
      <t>ハニュウ</t>
    </rPh>
    <rPh sb="14" eb="15">
      <t>エキ</t>
    </rPh>
    <rPh sb="17" eb="19">
      <t>トホ</t>
    </rPh>
    <rPh sb="20" eb="21">
      <t>フン</t>
    </rPh>
    <phoneticPr fontId="2"/>
  </si>
  <si>
    <t>0495-71-9520</t>
    <phoneticPr fontId="2"/>
  </si>
  <si>
    <t>くれいん</t>
    <phoneticPr fontId="2"/>
  </si>
  <si>
    <t>浜崎656-2</t>
    <rPh sb="0" eb="2">
      <t>ハマサキ</t>
    </rPh>
    <phoneticPr fontId="2"/>
  </si>
  <si>
    <t>048-486-1231</t>
    <phoneticPr fontId="2"/>
  </si>
  <si>
    <t>048-486-1232</t>
  </si>
  <si>
    <t>JR武蔵野線北朝霞駅及び東武東上線朝霞台駅より徒歩5分</t>
    <rPh sb="2" eb="6">
      <t>ムサシノセン</t>
    </rPh>
    <rPh sb="6" eb="9">
      <t>キタアサカ</t>
    </rPh>
    <rPh sb="9" eb="10">
      <t>エキ</t>
    </rPh>
    <rPh sb="10" eb="11">
      <t>オヨ</t>
    </rPh>
    <rPh sb="12" eb="17">
      <t>トウブトウジョウセン</t>
    </rPh>
    <rPh sb="17" eb="19">
      <t>アサカ</t>
    </rPh>
    <rPh sb="19" eb="20">
      <t>ダイ</t>
    </rPh>
    <rPh sb="20" eb="21">
      <t>エキ</t>
    </rPh>
    <rPh sb="23" eb="25">
      <t>トホ</t>
    </rPh>
    <rPh sb="26" eb="27">
      <t>フン</t>
    </rPh>
    <phoneticPr fontId="2"/>
  </si>
  <si>
    <t>クリード朝霞ショートステイ</t>
    <rPh sb="4" eb="6">
      <t>アサカ</t>
    </rPh>
    <phoneticPr fontId="5"/>
  </si>
  <si>
    <t>浜崎656-1</t>
    <rPh sb="0" eb="2">
      <t>ハマサキ</t>
    </rPh>
    <phoneticPr fontId="1"/>
  </si>
  <si>
    <t>351-0033</t>
  </si>
  <si>
    <t>048-486-1231</t>
  </si>
  <si>
    <t>JR武蔵野線北朝霞駅及び東武東上線朝霞台駅より徒歩5分
※共同生活援助との併設</t>
    <rPh sb="2" eb="6">
      <t>ムサシノセン</t>
    </rPh>
    <rPh sb="6" eb="9">
      <t>キタアサカ</t>
    </rPh>
    <rPh sb="9" eb="10">
      <t>エキ</t>
    </rPh>
    <rPh sb="10" eb="11">
      <t>オヨ</t>
    </rPh>
    <rPh sb="12" eb="17">
      <t>トウブトウジョウセン</t>
    </rPh>
    <rPh sb="17" eb="19">
      <t>アサカ</t>
    </rPh>
    <rPh sb="19" eb="20">
      <t>ダイ</t>
    </rPh>
    <rPh sb="20" eb="21">
      <t>エキ</t>
    </rPh>
    <rPh sb="23" eb="25">
      <t>トホ</t>
    </rPh>
    <rPh sb="26" eb="27">
      <t>フン</t>
    </rPh>
    <rPh sb="29" eb="35">
      <t>キョウドウセイカツエンジョ</t>
    </rPh>
    <rPh sb="37" eb="39">
      <t>ヘイセツ</t>
    </rPh>
    <phoneticPr fontId="2"/>
  </si>
  <si>
    <t>(福)川島町社会福祉協議会</t>
    <rPh sb="1" eb="2">
      <t>フク</t>
    </rPh>
    <rPh sb="3" eb="6">
      <t>カワジママチ</t>
    </rPh>
    <rPh sb="6" eb="8">
      <t>シャカイ</t>
    </rPh>
    <rPh sb="8" eb="10">
      <t>フクシ</t>
    </rPh>
    <rPh sb="10" eb="13">
      <t>キョウギカイ</t>
    </rPh>
    <phoneticPr fontId="2"/>
  </si>
  <si>
    <t>比企郡川島町</t>
    <rPh sb="0" eb="6">
      <t>ヒキグンカワジママチ</t>
    </rPh>
    <phoneticPr fontId="2"/>
  </si>
  <si>
    <t>大字曲師402-1</t>
    <rPh sb="0" eb="2">
      <t>オオアザ</t>
    </rPh>
    <rPh sb="2" eb="3">
      <t>マガリ</t>
    </rPh>
    <rPh sb="3" eb="4">
      <t>シ</t>
    </rPh>
    <phoneticPr fontId="2"/>
  </si>
  <si>
    <t>350-0146</t>
    <phoneticPr fontId="2"/>
  </si>
  <si>
    <t>049-299-8417</t>
    <phoneticPr fontId="2"/>
  </si>
  <si>
    <t>049-299-6730</t>
    <phoneticPr fontId="2"/>
  </si>
  <si>
    <t>◯</t>
  </si>
  <si>
    <t>川越駅から東武バス「釘無」下車徒歩20分
※共生型</t>
    <rPh sb="0" eb="2">
      <t>カワゴエ</t>
    </rPh>
    <rPh sb="2" eb="3">
      <t>エキ</t>
    </rPh>
    <rPh sb="5" eb="7">
      <t>トウブ</t>
    </rPh>
    <rPh sb="10" eb="11">
      <t>クギ</t>
    </rPh>
    <rPh sb="11" eb="12">
      <t>ナ</t>
    </rPh>
    <rPh sb="13" eb="15">
      <t>ゲシャ</t>
    </rPh>
    <rPh sb="15" eb="17">
      <t>トホ</t>
    </rPh>
    <rPh sb="19" eb="20">
      <t>フン</t>
    </rPh>
    <rPh sb="22" eb="25">
      <t>キョウセイガタ</t>
    </rPh>
    <phoneticPr fontId="2"/>
  </si>
  <si>
    <t>(株)ふくふく</t>
    <rPh sb="0" eb="3">
      <t>カブシキガイシャ</t>
    </rPh>
    <phoneticPr fontId="2"/>
  </si>
  <si>
    <t>くろーばー</t>
    <phoneticPr fontId="2"/>
  </si>
  <si>
    <t>原郷414-2</t>
    <rPh sb="0" eb="2">
      <t>ハラゴウ</t>
    </rPh>
    <phoneticPr fontId="2"/>
  </si>
  <si>
    <t>(福)けやきの郷</t>
    <rPh sb="7" eb="8">
      <t>サト</t>
    </rPh>
    <phoneticPr fontId="2"/>
  </si>
  <si>
    <t>やまびこ製作所</t>
    <rPh sb="4" eb="7">
      <t>セイサクショ</t>
    </rPh>
    <phoneticPr fontId="2"/>
  </si>
  <si>
    <t>049-232-3869</t>
    <phoneticPr fontId="2"/>
  </si>
  <si>
    <t>049-234-6522</t>
    <phoneticPr fontId="2"/>
  </si>
  <si>
    <t>川越駅から若葉駅行バス「東洋クォリティワン入口」下車徒歩10分</t>
    <rPh sb="0" eb="2">
      <t>カワゴエ</t>
    </rPh>
    <rPh sb="2" eb="3">
      <t>エキ</t>
    </rPh>
    <rPh sb="5" eb="7">
      <t>ワカバ</t>
    </rPh>
    <rPh sb="7" eb="8">
      <t>エキ</t>
    </rPh>
    <rPh sb="8" eb="9">
      <t>イ</t>
    </rPh>
    <rPh sb="24" eb="26">
      <t>ゲシャ</t>
    </rPh>
    <rPh sb="26" eb="28">
      <t>トホ</t>
    </rPh>
    <rPh sb="30" eb="31">
      <t>プン</t>
    </rPh>
    <phoneticPr fontId="2"/>
  </si>
  <si>
    <t>(特非)エヌピーオー事業協議会</t>
    <rPh sb="10" eb="12">
      <t>ジギョウ</t>
    </rPh>
    <rPh sb="12" eb="15">
      <t>キョウギカイ</t>
    </rPh>
    <phoneticPr fontId="2"/>
  </si>
  <si>
    <t>就労支援Ｊａｓｔ</t>
    <rPh sb="0" eb="2">
      <t>シュウロウ</t>
    </rPh>
    <rPh sb="2" eb="4">
      <t>シエン</t>
    </rPh>
    <phoneticPr fontId="2"/>
  </si>
  <si>
    <t>山田1431-1</t>
    <rPh sb="0" eb="2">
      <t>ヤマダ</t>
    </rPh>
    <phoneticPr fontId="2"/>
  </si>
  <si>
    <t>049-298-3303</t>
    <phoneticPr fontId="2"/>
  </si>
  <si>
    <t>049-298-3305</t>
    <phoneticPr fontId="2"/>
  </si>
  <si>
    <t>川越駅から東松山駅行東武バス「浄国寺」下車徒歩1分</t>
    <rPh sb="0" eb="2">
      <t>カワゴエ</t>
    </rPh>
    <rPh sb="2" eb="3">
      <t>エキ</t>
    </rPh>
    <rPh sb="5" eb="8">
      <t>ヒガシマツヤマ</t>
    </rPh>
    <rPh sb="8" eb="9">
      <t>エキ</t>
    </rPh>
    <rPh sb="9" eb="10">
      <t>イ</t>
    </rPh>
    <rPh sb="10" eb="12">
      <t>トウブ</t>
    </rPh>
    <rPh sb="15" eb="16">
      <t>ジョウ</t>
    </rPh>
    <rPh sb="16" eb="17">
      <t>コク</t>
    </rPh>
    <rPh sb="17" eb="18">
      <t>ジ</t>
    </rPh>
    <rPh sb="19" eb="21">
      <t>ゲシャ</t>
    </rPh>
    <rPh sb="21" eb="23">
      <t>トホ</t>
    </rPh>
    <rPh sb="24" eb="25">
      <t>プン</t>
    </rPh>
    <phoneticPr fontId="2"/>
  </si>
  <si>
    <t>平塚新田164-1</t>
    <rPh sb="0" eb="2">
      <t>ヒラツカ</t>
    </rPh>
    <rPh sb="2" eb="4">
      <t>シンデン</t>
    </rPh>
    <phoneticPr fontId="2"/>
  </si>
  <si>
    <t>コスモ重心型生活介護　ヴィヴ</t>
    <rPh sb="3" eb="10">
      <t>ジュウシンガタセイカツカイゴ</t>
    </rPh>
    <phoneticPr fontId="2"/>
  </si>
  <si>
    <t>西方2-10-12</t>
    <rPh sb="0" eb="2">
      <t>ニシカタ</t>
    </rPh>
    <phoneticPr fontId="2"/>
  </si>
  <si>
    <t>048-940-8652</t>
    <phoneticPr fontId="2"/>
  </si>
  <si>
    <t>東武スカイツリーライン新越谷駅・ＪＲ武蔵野線南越谷駅徒歩20分</t>
    <rPh sb="0" eb="2">
      <t>トウブ</t>
    </rPh>
    <rPh sb="11" eb="12">
      <t>シン</t>
    </rPh>
    <rPh sb="12" eb="14">
      <t>コシガヤ</t>
    </rPh>
    <rPh sb="14" eb="15">
      <t>エキ</t>
    </rPh>
    <rPh sb="18" eb="22">
      <t>ムサシノセン</t>
    </rPh>
    <rPh sb="22" eb="26">
      <t>ミナミコシガヤエキ</t>
    </rPh>
    <rPh sb="26" eb="28">
      <t>トホ</t>
    </rPh>
    <rPh sb="30" eb="31">
      <t>フン</t>
    </rPh>
    <phoneticPr fontId="2"/>
  </si>
  <si>
    <t>まろん</t>
    <phoneticPr fontId="2"/>
  </si>
  <si>
    <t>大道165</t>
    <rPh sb="0" eb="2">
      <t>オオミチ</t>
    </rPh>
    <phoneticPr fontId="2"/>
  </si>
  <si>
    <t>343-0035</t>
    <phoneticPr fontId="2"/>
  </si>
  <si>
    <t>048-940-0765</t>
    <phoneticPr fontId="2"/>
  </si>
  <si>
    <t>048-940-0768</t>
    <phoneticPr fontId="2"/>
  </si>
  <si>
    <t>東武スカイツリーライン大袋駅徒歩20分</t>
    <rPh sb="0" eb="2">
      <t>トウブ</t>
    </rPh>
    <rPh sb="11" eb="13">
      <t>オオブクロ</t>
    </rPh>
    <rPh sb="13" eb="14">
      <t>エキ</t>
    </rPh>
    <rPh sb="14" eb="16">
      <t>トホ</t>
    </rPh>
    <rPh sb="18" eb="19">
      <t>フン</t>
    </rPh>
    <phoneticPr fontId="2"/>
  </si>
  <si>
    <t>榮光の家</t>
    <rPh sb="0" eb="1">
      <t>エイ</t>
    </rPh>
    <rPh sb="1" eb="2">
      <t>ヒカリ</t>
    </rPh>
    <rPh sb="3" eb="4">
      <t>イエ</t>
    </rPh>
    <phoneticPr fontId="2"/>
  </si>
  <si>
    <t>谷塚町1932-1</t>
    <rPh sb="0" eb="3">
      <t>ヤツカチョウ</t>
    </rPh>
    <phoneticPr fontId="2"/>
  </si>
  <si>
    <t>340-0023</t>
    <phoneticPr fontId="2"/>
  </si>
  <si>
    <t>048-927-1121</t>
    <phoneticPr fontId="2"/>
  </si>
  <si>
    <t>東武スカイツリーライン（日比谷線）谷塚駅下車徒歩15分</t>
    <rPh sb="0" eb="2">
      <t>トウブ</t>
    </rPh>
    <rPh sb="12" eb="16">
      <t>ヒビヤセン</t>
    </rPh>
    <rPh sb="17" eb="20">
      <t>ヤツカエキ</t>
    </rPh>
    <rPh sb="20" eb="22">
      <t>ゲシャ</t>
    </rPh>
    <rPh sb="22" eb="24">
      <t>トホ</t>
    </rPh>
    <rPh sb="26" eb="27">
      <t>フン</t>
    </rPh>
    <phoneticPr fontId="2"/>
  </si>
  <si>
    <t>（株）Pine</t>
    <rPh sb="0" eb="3">
      <t>カブ</t>
    </rPh>
    <phoneticPr fontId="2"/>
  </si>
  <si>
    <t>シュガーパイン</t>
    <phoneticPr fontId="2"/>
  </si>
  <si>
    <t>048-793-4597</t>
    <phoneticPr fontId="2"/>
  </si>
  <si>
    <t>048-793-4598</t>
    <phoneticPr fontId="2"/>
  </si>
  <si>
    <t>（同）そよかぜ</t>
    <rPh sb="1" eb="2">
      <t>ドウ</t>
    </rPh>
    <phoneticPr fontId="2"/>
  </si>
  <si>
    <t>そよかぜ</t>
    <phoneticPr fontId="2"/>
  </si>
  <si>
    <t>早稲田1-3-10
KTT6ビル3F</t>
    <rPh sb="0" eb="3">
      <t>ワセダ</t>
    </rPh>
    <phoneticPr fontId="2"/>
  </si>
  <si>
    <t>048-954-8463</t>
    <phoneticPr fontId="2"/>
  </si>
  <si>
    <t>048-954-7847</t>
    <phoneticPr fontId="2"/>
  </si>
  <si>
    <t>JR武蔵野線三郷駅北口より徒歩1分</t>
    <rPh sb="2" eb="6">
      <t>ムサシノセン</t>
    </rPh>
    <rPh sb="6" eb="8">
      <t>ミサト</t>
    </rPh>
    <rPh sb="8" eb="9">
      <t>エキ</t>
    </rPh>
    <rPh sb="9" eb="11">
      <t>キタグチ</t>
    </rPh>
    <rPh sb="13" eb="15">
      <t>トホ</t>
    </rPh>
    <rPh sb="16" eb="17">
      <t>フン</t>
    </rPh>
    <phoneticPr fontId="2"/>
  </si>
  <si>
    <t>（株）恵</t>
    <rPh sb="1" eb="2">
      <t>カブ</t>
    </rPh>
    <rPh sb="3" eb="4">
      <t>メグミ</t>
    </rPh>
    <phoneticPr fontId="2"/>
  </si>
  <si>
    <t>グループホームふわふわ本庄</t>
    <rPh sb="11" eb="13">
      <t>ホンジョウ</t>
    </rPh>
    <phoneticPr fontId="2"/>
  </si>
  <si>
    <t>北堀1866-2</t>
    <rPh sb="0" eb="2">
      <t>キタホリ</t>
    </rPh>
    <phoneticPr fontId="2"/>
  </si>
  <si>
    <t>367-0031</t>
    <phoneticPr fontId="2"/>
  </si>
  <si>
    <t>0495-71-9794</t>
    <phoneticPr fontId="2"/>
  </si>
  <si>
    <t>0495-71-9795</t>
    <phoneticPr fontId="2"/>
  </si>
  <si>
    <t>本庄早稲田駅から車7分
※共同生活援助との併設</t>
    <rPh sb="0" eb="2">
      <t>ホンジョウ</t>
    </rPh>
    <rPh sb="2" eb="5">
      <t>ワセダ</t>
    </rPh>
    <rPh sb="5" eb="6">
      <t>エキ</t>
    </rPh>
    <rPh sb="8" eb="9">
      <t>クルマ</t>
    </rPh>
    <rPh sb="10" eb="11">
      <t>フン</t>
    </rPh>
    <phoneticPr fontId="2"/>
  </si>
  <si>
    <t>本住町8-30</t>
    <rPh sb="0" eb="1">
      <t>ホン</t>
    </rPh>
    <rPh sb="1" eb="2">
      <t>スミ</t>
    </rPh>
    <rPh sb="2" eb="3">
      <t>マチ</t>
    </rPh>
    <phoneticPr fontId="2"/>
  </si>
  <si>
    <t>366-0823</t>
    <phoneticPr fontId="2"/>
  </si>
  <si>
    <t>048-598-7531</t>
    <phoneticPr fontId="2"/>
  </si>
  <si>
    <t>048-598-7532</t>
    <phoneticPr fontId="2"/>
  </si>
  <si>
    <t>（一社）カルミア</t>
    <rPh sb="1" eb="3">
      <t>イッシャ</t>
    </rPh>
    <rPh sb="2" eb="3">
      <t>シャ</t>
    </rPh>
    <phoneticPr fontId="2"/>
  </si>
  <si>
    <t>（医）健秀会</t>
    <rPh sb="1" eb="2">
      <t>メイ</t>
    </rPh>
    <rPh sb="2" eb="3">
      <t>ケン</t>
    </rPh>
    <rPh sb="3" eb="4">
      <t>シュウ</t>
    </rPh>
    <rPh sb="4" eb="5">
      <t>カイ</t>
    </rPh>
    <phoneticPr fontId="2"/>
  </si>
  <si>
    <t>介護老人保健施設なでしこ</t>
    <rPh sb="0" eb="1">
      <t>カイゴ</t>
    </rPh>
    <rPh sb="1" eb="3">
      <t>ロウジン</t>
    </rPh>
    <rPh sb="3" eb="5">
      <t>ホケン</t>
    </rPh>
    <rPh sb="5" eb="7">
      <t>シセツ</t>
    </rPh>
    <phoneticPr fontId="2"/>
  </si>
  <si>
    <t>秩父郡横瀬町</t>
    <rPh sb="0" eb="2">
      <t>チチブ</t>
    </rPh>
    <rPh sb="2" eb="3">
      <t>グン</t>
    </rPh>
    <rPh sb="3" eb="6">
      <t>ヨコゼマチ</t>
    </rPh>
    <phoneticPr fontId="2"/>
  </si>
  <si>
    <t>横瀬5850</t>
    <rPh sb="0" eb="2">
      <t>ヨコゼ</t>
    </rPh>
    <phoneticPr fontId="2"/>
  </si>
  <si>
    <t>368-0072</t>
    <phoneticPr fontId="2"/>
  </si>
  <si>
    <t>0494-25-7200</t>
    <phoneticPr fontId="2"/>
  </si>
  <si>
    <t>0494-25-7201</t>
    <phoneticPr fontId="2"/>
  </si>
  <si>
    <t>西武秩父駅から車で8分
※介護老人保健施設の空床利用　医療型短期入所</t>
    <rPh sb="0" eb="5">
      <t>セイブチチブエキ</t>
    </rPh>
    <rPh sb="7" eb="8">
      <t>クルマ</t>
    </rPh>
    <rPh sb="10" eb="11">
      <t>フン</t>
    </rPh>
    <phoneticPr fontId="2"/>
  </si>
  <si>
    <t>（同）エコーズガーデン</t>
    <rPh sb="1" eb="2">
      <t>ドウ</t>
    </rPh>
    <phoneticPr fontId="2"/>
  </si>
  <si>
    <t>エコーズガーデン</t>
    <phoneticPr fontId="2"/>
  </si>
  <si>
    <t>肥塚641-1</t>
    <rPh sb="0" eb="2">
      <t>コエヅカ</t>
    </rPh>
    <phoneticPr fontId="2"/>
  </si>
  <si>
    <t>360-0015</t>
    <phoneticPr fontId="2"/>
  </si>
  <si>
    <t>048-527-3729</t>
    <phoneticPr fontId="2"/>
  </si>
  <si>
    <t>熊谷駅から国際十王交通くまがやドーム行、葛和田行バス「北肥塚バス停」下車後徒歩4分</t>
    <rPh sb="0" eb="2">
      <t>クマガヤ</t>
    </rPh>
    <rPh sb="2" eb="3">
      <t>エキ</t>
    </rPh>
    <rPh sb="5" eb="7">
      <t>コクサイ</t>
    </rPh>
    <rPh sb="7" eb="9">
      <t>ジュウオウ</t>
    </rPh>
    <rPh sb="9" eb="11">
      <t>コウツウ</t>
    </rPh>
    <rPh sb="18" eb="19">
      <t>ユ</t>
    </rPh>
    <rPh sb="20" eb="23">
      <t>クズワダ</t>
    </rPh>
    <rPh sb="23" eb="24">
      <t>ギョウ</t>
    </rPh>
    <rPh sb="27" eb="28">
      <t>キタ</t>
    </rPh>
    <rPh sb="28" eb="30">
      <t>コエヅカ</t>
    </rPh>
    <rPh sb="32" eb="33">
      <t>テイ</t>
    </rPh>
    <rPh sb="34" eb="36">
      <t>ゲシャ</t>
    </rPh>
    <rPh sb="36" eb="37">
      <t>ゴ</t>
    </rPh>
    <rPh sb="37" eb="39">
      <t>トホ</t>
    </rPh>
    <rPh sb="40" eb="41">
      <t>フン</t>
    </rPh>
    <phoneticPr fontId="2"/>
  </si>
  <si>
    <t>谷津２－１－３７
ミキビル３Ｆ</t>
    <rPh sb="0" eb="2">
      <t>ヤツ</t>
    </rPh>
    <phoneticPr fontId="2"/>
  </si>
  <si>
    <t>362-0042</t>
    <phoneticPr fontId="2"/>
  </si>
  <si>
    <t>048-788-4770</t>
    <phoneticPr fontId="2"/>
  </si>
  <si>
    <t>048-788-4711</t>
    <phoneticPr fontId="2"/>
  </si>
  <si>
    <t>上尾駅西口から徒歩2分</t>
    <rPh sb="0" eb="3">
      <t>アゲオエキ</t>
    </rPh>
    <rPh sb="3" eb="5">
      <t>ニシグチ</t>
    </rPh>
    <rPh sb="7" eb="9">
      <t>トホ</t>
    </rPh>
    <rPh sb="10" eb="11">
      <t>フン</t>
    </rPh>
    <phoneticPr fontId="2"/>
  </si>
  <si>
    <t>ライフベースさやま</t>
    <phoneticPr fontId="2"/>
  </si>
  <si>
    <t>大字上藤沢542-4</t>
    <rPh sb="0" eb="2">
      <t>オオアザ</t>
    </rPh>
    <rPh sb="2" eb="5">
      <t>カミフジサワ</t>
    </rPh>
    <phoneticPr fontId="1"/>
  </si>
  <si>
    <t>358-0013</t>
    <phoneticPr fontId="2"/>
  </si>
  <si>
    <t>04-2968-9035</t>
    <phoneticPr fontId="2"/>
  </si>
  <si>
    <t>04-2968-9039</t>
    <phoneticPr fontId="2"/>
  </si>
  <si>
    <t>西武鉄道池袋線武蔵藤沢駅から「てぃーろーど」南コース入間市役所行きバス「健康福祉センター」下車徒歩4分　※共同生活援助との併設</t>
    <rPh sb="0" eb="2">
      <t>セイブ</t>
    </rPh>
    <rPh sb="2" eb="4">
      <t>テツドウ</t>
    </rPh>
    <rPh sb="4" eb="6">
      <t>イケブクロ</t>
    </rPh>
    <rPh sb="6" eb="7">
      <t>セン</t>
    </rPh>
    <rPh sb="7" eb="11">
      <t>ムサシフジサワ</t>
    </rPh>
    <rPh sb="11" eb="12">
      <t>エキ</t>
    </rPh>
    <rPh sb="26" eb="29">
      <t>イルマシ</t>
    </rPh>
    <rPh sb="29" eb="31">
      <t>ヤクショ</t>
    </rPh>
    <rPh sb="36" eb="38">
      <t>ケンコウ</t>
    </rPh>
    <rPh sb="38" eb="40">
      <t>フクシ</t>
    </rPh>
    <phoneticPr fontId="2"/>
  </si>
  <si>
    <t>ＬＩＴＡＬＩＣＯワークス和光</t>
    <rPh sb="12" eb="14">
      <t>ワコウ</t>
    </rPh>
    <phoneticPr fontId="33"/>
  </si>
  <si>
    <t>和光市</t>
    <rPh sb="0" eb="3">
      <t>ワコウシ</t>
    </rPh>
    <phoneticPr fontId="33"/>
  </si>
  <si>
    <t>本町1-17　斎藤ビル3F</t>
    <rPh sb="0" eb="2">
      <t>ホンチョウ</t>
    </rPh>
    <rPh sb="7" eb="9">
      <t>サイトウ</t>
    </rPh>
    <phoneticPr fontId="33"/>
  </si>
  <si>
    <t>351-0114</t>
  </si>
  <si>
    <t>048-450-7220</t>
  </si>
  <si>
    <t>048-450-7221</t>
  </si>
  <si>
    <t>東武東上線和光市駅南口下車徒歩2分</t>
    <rPh sb="9" eb="10">
      <t>ミナミ</t>
    </rPh>
    <phoneticPr fontId="33"/>
  </si>
  <si>
    <t>（有）風原</t>
    <rPh sb="1" eb="2">
      <t>ユウ</t>
    </rPh>
    <rPh sb="3" eb="5">
      <t>カザハラ</t>
    </rPh>
    <phoneticPr fontId="2"/>
  </si>
  <si>
    <t>織の花</t>
    <rPh sb="0" eb="1">
      <t>オリ</t>
    </rPh>
    <rPh sb="2" eb="3">
      <t>ハナ</t>
    </rPh>
    <phoneticPr fontId="2"/>
  </si>
  <si>
    <t>番場町3-4
小泉ビル5F</t>
    <rPh sb="0" eb="3">
      <t>バンバチョウ</t>
    </rPh>
    <rPh sb="7" eb="9">
      <t>コイズミ</t>
    </rPh>
    <phoneticPr fontId="2"/>
  </si>
  <si>
    <t>368-0041</t>
    <phoneticPr fontId="2"/>
  </si>
  <si>
    <t>0494-26-5655</t>
    <phoneticPr fontId="2"/>
  </si>
  <si>
    <t>0494-26-5654</t>
    <phoneticPr fontId="2"/>
  </si>
  <si>
    <t>秩父鉄道秩父駅から徒歩5分</t>
    <rPh sb="0" eb="2">
      <t>チチブ</t>
    </rPh>
    <rPh sb="2" eb="4">
      <t>テツドウ</t>
    </rPh>
    <rPh sb="4" eb="6">
      <t>チチブ</t>
    </rPh>
    <rPh sb="6" eb="7">
      <t>エキ</t>
    </rPh>
    <rPh sb="9" eb="11">
      <t>トホ</t>
    </rPh>
    <rPh sb="12" eb="13">
      <t>フン</t>
    </rPh>
    <phoneticPr fontId="2"/>
  </si>
  <si>
    <t>0480-21-5528</t>
    <phoneticPr fontId="2"/>
  </si>
  <si>
    <t>(株)きぼうファクトリー</t>
    <rPh sb="1" eb="2">
      <t>カブ</t>
    </rPh>
    <phoneticPr fontId="2"/>
  </si>
  <si>
    <t>緑丘二丁目2-11</t>
    <rPh sb="0" eb="2">
      <t>ミドリガオカ</t>
    </rPh>
    <rPh sb="2" eb="5">
      <t>ニチョウメ</t>
    </rPh>
    <phoneticPr fontId="2"/>
  </si>
  <si>
    <t>（株）日本クリード</t>
    <rPh sb="1" eb="2">
      <t>カブ</t>
    </rPh>
    <rPh sb="3" eb="5">
      <t>ニホン</t>
    </rPh>
    <phoneticPr fontId="5"/>
  </si>
  <si>
    <t>048-486-1232</t>
    <phoneticPr fontId="2"/>
  </si>
  <si>
    <t>赤山本町8-14　第1JMビル2階</t>
    <rPh sb="0" eb="4">
      <t>アカヤマホンチョウ</t>
    </rPh>
    <rPh sb="9" eb="10">
      <t>ダイ</t>
    </rPh>
    <rPh sb="16" eb="17">
      <t>カイ</t>
    </rPh>
    <phoneticPr fontId="2"/>
  </si>
  <si>
    <t>東武スカイツリーライン越谷駅徒歩1分</t>
    <rPh sb="0" eb="2">
      <t>トウブ</t>
    </rPh>
    <rPh sb="11" eb="13">
      <t>コシガヤ</t>
    </rPh>
    <rPh sb="13" eb="14">
      <t>エキ</t>
    </rPh>
    <rPh sb="14" eb="16">
      <t>トホ</t>
    </rPh>
    <rPh sb="17" eb="18">
      <t>フン</t>
    </rPh>
    <phoneticPr fontId="2"/>
  </si>
  <si>
    <t>就労継続支援Ｂ型事業所　クローバー</t>
    <rPh sb="0" eb="6">
      <t>シュウロウケイゾクシエン</t>
    </rPh>
    <rPh sb="7" eb="8">
      <t>ガタ</t>
    </rPh>
    <rPh sb="8" eb="11">
      <t>ジギョウショ</t>
    </rPh>
    <phoneticPr fontId="2"/>
  </si>
  <si>
    <t>赤山町1-48　小澤ビル2階</t>
    <rPh sb="0" eb="3">
      <t>アカヤマチョウ</t>
    </rPh>
    <rPh sb="8" eb="10">
      <t>オザワ</t>
    </rPh>
    <rPh sb="13" eb="14">
      <t>カイ</t>
    </rPh>
    <phoneticPr fontId="2"/>
  </si>
  <si>
    <t>343-0807</t>
    <phoneticPr fontId="2"/>
  </si>
  <si>
    <t>048-967-5645</t>
    <phoneticPr fontId="2"/>
  </si>
  <si>
    <t>048-967-5646</t>
  </si>
  <si>
    <t>東武スカイツリーライン越谷駅徒歩3分</t>
    <rPh sb="0" eb="2">
      <t>トウブ</t>
    </rPh>
    <rPh sb="11" eb="13">
      <t>コシガヤ</t>
    </rPh>
    <rPh sb="13" eb="14">
      <t>エキ</t>
    </rPh>
    <rPh sb="14" eb="16">
      <t>トホ</t>
    </rPh>
    <rPh sb="17" eb="18">
      <t>フン</t>
    </rPh>
    <phoneticPr fontId="2"/>
  </si>
  <si>
    <t>payforward</t>
    <phoneticPr fontId="2"/>
  </si>
  <si>
    <t>北越谷4-14-2</t>
    <rPh sb="0" eb="3">
      <t>キタコシガヤ</t>
    </rPh>
    <phoneticPr fontId="2"/>
  </si>
  <si>
    <t>048-967-5520</t>
    <phoneticPr fontId="2"/>
  </si>
  <si>
    <t>東武スカイツリーライン北越谷駅徒歩3分</t>
    <rPh sb="0" eb="2">
      <t>トウブ</t>
    </rPh>
    <rPh sb="11" eb="12">
      <t>キタ</t>
    </rPh>
    <rPh sb="12" eb="14">
      <t>コシガヤ</t>
    </rPh>
    <rPh sb="14" eb="15">
      <t>エキ</t>
    </rPh>
    <rPh sb="15" eb="17">
      <t>トホ</t>
    </rPh>
    <rPh sb="18" eb="19">
      <t>フン</t>
    </rPh>
    <phoneticPr fontId="2"/>
  </si>
  <si>
    <t>日本デイテラス（株)</t>
    <rPh sb="0" eb="2">
      <t>ニホン</t>
    </rPh>
    <rPh sb="8" eb="9">
      <t>カブ</t>
    </rPh>
    <phoneticPr fontId="2"/>
  </si>
  <si>
    <t>共生型デイサービス　デイテラス所沢</t>
    <rPh sb="0" eb="3">
      <t>キョウセイガタ</t>
    </rPh>
    <rPh sb="15" eb="17">
      <t>トコロザワ</t>
    </rPh>
    <phoneticPr fontId="2"/>
  </si>
  <si>
    <t>上新井1-23-1
Ｋプラザ101</t>
    <rPh sb="0" eb="1">
      <t>カミ</t>
    </rPh>
    <rPh sb="1" eb="3">
      <t>アライ</t>
    </rPh>
    <phoneticPr fontId="2"/>
  </si>
  <si>
    <t>04-2946-8419</t>
    <phoneticPr fontId="2"/>
  </si>
  <si>
    <t>04-2946-8439</t>
    <phoneticPr fontId="2"/>
  </si>
  <si>
    <t>西武鉄道西所沢駅から徒歩9分
※共生型</t>
    <rPh sb="0" eb="2">
      <t>セイブ</t>
    </rPh>
    <rPh sb="2" eb="4">
      <t>テツドウ</t>
    </rPh>
    <rPh sb="4" eb="7">
      <t>ニシトコロザワ</t>
    </rPh>
    <rPh sb="7" eb="8">
      <t>エキ</t>
    </rPh>
    <rPh sb="10" eb="12">
      <t>トホ</t>
    </rPh>
    <rPh sb="13" eb="14">
      <t>フン</t>
    </rPh>
    <rPh sb="16" eb="19">
      <t>キョウセイガタ</t>
    </rPh>
    <phoneticPr fontId="2"/>
  </si>
  <si>
    <t>(福)オルオル</t>
    <rPh sb="1" eb="2">
      <t>フク</t>
    </rPh>
    <phoneticPr fontId="2"/>
  </si>
  <si>
    <t>大字羽尾字堀ノ内2121-1</t>
    <rPh sb="0" eb="2">
      <t>オオアザ</t>
    </rPh>
    <rPh sb="2" eb="3">
      <t>ハネ</t>
    </rPh>
    <rPh sb="3" eb="4">
      <t>オ</t>
    </rPh>
    <rPh sb="4" eb="5">
      <t>アザ</t>
    </rPh>
    <rPh sb="5" eb="6">
      <t>ホリ</t>
    </rPh>
    <rPh sb="7" eb="8">
      <t>ウチ</t>
    </rPh>
    <phoneticPr fontId="2"/>
  </si>
  <si>
    <t>355-0811</t>
    <phoneticPr fontId="2"/>
  </si>
  <si>
    <t>東武東上線森林公園駅北口から国際十王バス（熊谷駅・立正大学行き）「森林公園南口入口」下車徒歩5分</t>
    <rPh sb="0" eb="2">
      <t>トウブ</t>
    </rPh>
    <rPh sb="2" eb="4">
      <t>トウジョウ</t>
    </rPh>
    <rPh sb="4" eb="5">
      <t>セン</t>
    </rPh>
    <rPh sb="5" eb="7">
      <t>シンリン</t>
    </rPh>
    <rPh sb="7" eb="9">
      <t>コウエン</t>
    </rPh>
    <rPh sb="9" eb="10">
      <t>エキ</t>
    </rPh>
    <rPh sb="10" eb="12">
      <t>キタグチ</t>
    </rPh>
    <rPh sb="14" eb="16">
      <t>コクサイ</t>
    </rPh>
    <rPh sb="16" eb="17">
      <t>ジュウ</t>
    </rPh>
    <rPh sb="17" eb="18">
      <t>オウ</t>
    </rPh>
    <rPh sb="21" eb="23">
      <t>クマガヤ</t>
    </rPh>
    <rPh sb="23" eb="24">
      <t>エキ</t>
    </rPh>
    <rPh sb="25" eb="27">
      <t>リッショウ</t>
    </rPh>
    <rPh sb="27" eb="29">
      <t>ダイガク</t>
    </rPh>
    <rPh sb="29" eb="30">
      <t>イキ</t>
    </rPh>
    <rPh sb="33" eb="35">
      <t>シンリン</t>
    </rPh>
    <rPh sb="35" eb="37">
      <t>コウエン</t>
    </rPh>
    <rPh sb="37" eb="39">
      <t>ミナミグチ</t>
    </rPh>
    <rPh sb="39" eb="41">
      <t>イリグチ</t>
    </rPh>
    <rPh sb="42" eb="44">
      <t>ゲシャ</t>
    </rPh>
    <rPh sb="44" eb="46">
      <t>トホ</t>
    </rPh>
    <rPh sb="47" eb="48">
      <t>フン</t>
    </rPh>
    <phoneticPr fontId="2"/>
  </si>
  <si>
    <t>（株）くみちゃんち</t>
    <rPh sb="0" eb="3">
      <t>カブ</t>
    </rPh>
    <phoneticPr fontId="2"/>
  </si>
  <si>
    <t>くみワーク</t>
    <phoneticPr fontId="2"/>
  </si>
  <si>
    <t>大字木蓮寺字登戸545-2</t>
    <rPh sb="0" eb="2">
      <t>オオアザ</t>
    </rPh>
    <rPh sb="2" eb="5">
      <t>モクレンジ</t>
    </rPh>
    <rPh sb="5" eb="6">
      <t>アザ</t>
    </rPh>
    <rPh sb="6" eb="8">
      <t>ノボリト</t>
    </rPh>
    <phoneticPr fontId="2"/>
  </si>
  <si>
    <t>358-0047</t>
    <phoneticPr fontId="2"/>
  </si>
  <si>
    <t>04-2902-6902</t>
    <phoneticPr fontId="2"/>
  </si>
  <si>
    <t>04-2902-6903</t>
  </si>
  <si>
    <t>JR八高線金子駅から徒歩14分</t>
    <rPh sb="2" eb="5">
      <t>ハチコウセン</t>
    </rPh>
    <rPh sb="5" eb="7">
      <t>カネコ</t>
    </rPh>
    <rPh sb="7" eb="8">
      <t>エキ</t>
    </rPh>
    <rPh sb="10" eb="12">
      <t>トホ</t>
    </rPh>
    <rPh sb="14" eb="15">
      <t>フン</t>
    </rPh>
    <phoneticPr fontId="2"/>
  </si>
  <si>
    <t>大樹の華</t>
    <rPh sb="0" eb="2">
      <t>タイジュ</t>
    </rPh>
    <rPh sb="3" eb="4">
      <t>ハナ</t>
    </rPh>
    <phoneticPr fontId="2"/>
  </si>
  <si>
    <t>高倉5-17-46</t>
    <rPh sb="0" eb="2">
      <t>タカクラ</t>
    </rPh>
    <phoneticPr fontId="2"/>
  </si>
  <si>
    <t>04-2902-6778</t>
    <phoneticPr fontId="2"/>
  </si>
  <si>
    <t>04-2902-6770</t>
    <phoneticPr fontId="2"/>
  </si>
  <si>
    <t>西武鉄道池袋線入間市駅南口より西武バス（扇町屋行き）「奈賀町」下車徒歩12分</t>
    <rPh sb="0" eb="2">
      <t>セイブ</t>
    </rPh>
    <rPh sb="2" eb="4">
      <t>テツドウ</t>
    </rPh>
    <rPh sb="4" eb="6">
      <t>イケブクロ</t>
    </rPh>
    <rPh sb="6" eb="7">
      <t>セン</t>
    </rPh>
    <rPh sb="7" eb="10">
      <t>イルマシ</t>
    </rPh>
    <rPh sb="10" eb="11">
      <t>エキ</t>
    </rPh>
    <rPh sb="11" eb="13">
      <t>ミナミグチ</t>
    </rPh>
    <rPh sb="15" eb="17">
      <t>セイブ</t>
    </rPh>
    <rPh sb="20" eb="21">
      <t>オオギ</t>
    </rPh>
    <rPh sb="21" eb="22">
      <t>マチ</t>
    </rPh>
    <rPh sb="22" eb="23">
      <t>ヤ</t>
    </rPh>
    <rPh sb="23" eb="24">
      <t>イキ</t>
    </rPh>
    <rPh sb="27" eb="29">
      <t>ナカ</t>
    </rPh>
    <rPh sb="29" eb="30">
      <t>マチ</t>
    </rPh>
    <rPh sb="31" eb="33">
      <t>ゲシャ</t>
    </rPh>
    <rPh sb="33" eb="35">
      <t>トホ</t>
    </rPh>
    <rPh sb="37" eb="38">
      <t>フン</t>
    </rPh>
    <phoneticPr fontId="2"/>
  </si>
  <si>
    <t>グループホーム夢の実ハウス</t>
    <rPh sb="7" eb="8">
      <t>ユメ</t>
    </rPh>
    <rPh sb="9" eb="10">
      <t>ミ</t>
    </rPh>
    <phoneticPr fontId="2"/>
  </si>
  <si>
    <t>（福）由慎会</t>
    <rPh sb="1" eb="2">
      <t>フク</t>
    </rPh>
    <rPh sb="3" eb="4">
      <t>ユウ</t>
    </rPh>
    <rPh sb="4" eb="5">
      <t>マコト</t>
    </rPh>
    <rPh sb="5" eb="6">
      <t>カイ</t>
    </rPh>
    <phoneticPr fontId="2"/>
  </si>
  <si>
    <t>生活介護事業所さや</t>
    <rPh sb="0" eb="2">
      <t>セイカツ</t>
    </rPh>
    <rPh sb="2" eb="4">
      <t>カイゴ</t>
    </rPh>
    <rPh sb="4" eb="7">
      <t>ジギョウショ</t>
    </rPh>
    <phoneticPr fontId="2"/>
  </si>
  <si>
    <t>(福)彩明会</t>
    <rPh sb="3" eb="4">
      <t>アヤ</t>
    </rPh>
    <rPh sb="4" eb="5">
      <t>アキラ</t>
    </rPh>
    <rPh sb="5" eb="6">
      <t>カイ</t>
    </rPh>
    <phoneticPr fontId="2"/>
  </si>
  <si>
    <t>生活介護事業所ひより</t>
    <rPh sb="0" eb="2">
      <t>セイカツ</t>
    </rPh>
    <rPh sb="2" eb="4">
      <t>カイゴ</t>
    </rPh>
    <rPh sb="4" eb="7">
      <t>ジギョウショ</t>
    </rPh>
    <phoneticPr fontId="2"/>
  </si>
  <si>
    <t>加納601-5</t>
    <rPh sb="0" eb="2">
      <t>カノウ</t>
    </rPh>
    <phoneticPr fontId="2"/>
  </si>
  <si>
    <t>363-0001</t>
    <phoneticPr fontId="2"/>
  </si>
  <si>
    <t>048-782-5148</t>
    <phoneticPr fontId="2"/>
  </si>
  <si>
    <t>048-782-5158</t>
    <phoneticPr fontId="2"/>
  </si>
  <si>
    <t>高崎線桶川駅から朝日バス（菖蒲車庫行）「加納」下車徒歩10分</t>
    <rPh sb="0" eb="3">
      <t>タカサキセン</t>
    </rPh>
    <rPh sb="3" eb="6">
      <t>オケガワエキ</t>
    </rPh>
    <rPh sb="8" eb="10">
      <t>アサヒ</t>
    </rPh>
    <rPh sb="13" eb="15">
      <t>ショウブ</t>
    </rPh>
    <rPh sb="15" eb="17">
      <t>シャコ</t>
    </rPh>
    <rPh sb="17" eb="18">
      <t>ユキ</t>
    </rPh>
    <rPh sb="20" eb="22">
      <t>カノウ</t>
    </rPh>
    <rPh sb="23" eb="25">
      <t>ゲシャ</t>
    </rPh>
    <rPh sb="25" eb="27">
      <t>トホ</t>
    </rPh>
    <rPh sb="29" eb="30">
      <t>フン</t>
    </rPh>
    <phoneticPr fontId="2"/>
  </si>
  <si>
    <t>（福）ほっと未来SOUZOU舎</t>
    <rPh sb="1" eb="2">
      <t>フク</t>
    </rPh>
    <rPh sb="6" eb="8">
      <t>ミライ</t>
    </rPh>
    <rPh sb="14" eb="15">
      <t>シャ</t>
    </rPh>
    <phoneticPr fontId="2"/>
  </si>
  <si>
    <t>アジール</t>
    <phoneticPr fontId="2"/>
  </si>
  <si>
    <t>上野358-12</t>
    <rPh sb="0" eb="2">
      <t>ウエノ</t>
    </rPh>
    <phoneticPr fontId="2"/>
  </si>
  <si>
    <t>362-0058</t>
    <phoneticPr fontId="2"/>
  </si>
  <si>
    <t>048-729-8422</t>
    <phoneticPr fontId="2"/>
  </si>
  <si>
    <t>048-729-8423</t>
    <phoneticPr fontId="2"/>
  </si>
  <si>
    <t>上尾駅西口から東武バス「平方上野」下車徒歩7分
※放課後等デイサービスとの多機能</t>
    <rPh sb="0" eb="3">
      <t>アゲオエキ</t>
    </rPh>
    <rPh sb="3" eb="5">
      <t>ニシグチ</t>
    </rPh>
    <rPh sb="7" eb="9">
      <t>トウブ</t>
    </rPh>
    <rPh sb="12" eb="14">
      <t>ヒラカタ</t>
    </rPh>
    <rPh sb="14" eb="16">
      <t>ウエノ</t>
    </rPh>
    <rPh sb="17" eb="19">
      <t>ゲシャ</t>
    </rPh>
    <rPh sb="19" eb="21">
      <t>トホ</t>
    </rPh>
    <rPh sb="22" eb="23">
      <t>フン</t>
    </rPh>
    <rPh sb="25" eb="28">
      <t>ホウカゴ</t>
    </rPh>
    <rPh sb="28" eb="29">
      <t>トウ</t>
    </rPh>
    <rPh sb="37" eb="40">
      <t>タキノウ</t>
    </rPh>
    <phoneticPr fontId="2"/>
  </si>
  <si>
    <t>埼玉県（（福）恩賜財団埼玉県支部埼玉県済生会）</t>
    <rPh sb="0" eb="3">
      <t>サイタマケン</t>
    </rPh>
    <rPh sb="5" eb="6">
      <t>フク</t>
    </rPh>
    <rPh sb="7" eb="9">
      <t>オンシ</t>
    </rPh>
    <rPh sb="9" eb="11">
      <t>ザイダン</t>
    </rPh>
    <rPh sb="11" eb="14">
      <t>サイタマケン</t>
    </rPh>
    <rPh sb="14" eb="16">
      <t>シブ</t>
    </rPh>
    <rPh sb="16" eb="19">
      <t>サイタマケン</t>
    </rPh>
    <rPh sb="19" eb="22">
      <t>サイセイカイ</t>
    </rPh>
    <phoneticPr fontId="2"/>
  </si>
  <si>
    <t>048-252-0857</t>
    <phoneticPr fontId="2"/>
  </si>
  <si>
    <t>048-254-5778</t>
    <phoneticPr fontId="2"/>
  </si>
  <si>
    <t>（特非）あかり</t>
    <rPh sb="1" eb="2">
      <t>トク</t>
    </rPh>
    <rPh sb="2" eb="3">
      <t>ヒ</t>
    </rPh>
    <phoneticPr fontId="2"/>
  </si>
  <si>
    <t>あかり学園久喜吉羽キャンパス</t>
    <rPh sb="3" eb="5">
      <t>ガクエン</t>
    </rPh>
    <rPh sb="5" eb="7">
      <t>クキ</t>
    </rPh>
    <rPh sb="7" eb="9">
      <t>ヨシバ</t>
    </rPh>
    <phoneticPr fontId="2"/>
  </si>
  <si>
    <t>吉羽1-32-24</t>
    <rPh sb="0" eb="2">
      <t>ヨシバ</t>
    </rPh>
    <phoneticPr fontId="2"/>
  </si>
  <si>
    <t>346-0014</t>
    <phoneticPr fontId="2"/>
  </si>
  <si>
    <t>0480-24-2060</t>
    <phoneticPr fontId="2"/>
  </si>
  <si>
    <t>0480-24-2759</t>
    <phoneticPr fontId="2"/>
  </si>
  <si>
    <t>久喜駅から徒歩15分</t>
    <rPh sb="0" eb="2">
      <t>クキ</t>
    </rPh>
    <rPh sb="2" eb="3">
      <t>エキ</t>
    </rPh>
    <rPh sb="5" eb="7">
      <t>トホ</t>
    </rPh>
    <rPh sb="9" eb="10">
      <t>フン</t>
    </rPh>
    <phoneticPr fontId="2"/>
  </si>
  <si>
    <t>谷塚町578-1
梅香堂ビル301</t>
    <rPh sb="0" eb="2">
      <t>ヤツカ</t>
    </rPh>
    <rPh sb="2" eb="3">
      <t>チョウ</t>
    </rPh>
    <rPh sb="9" eb="11">
      <t>バイカ</t>
    </rPh>
    <rPh sb="11" eb="12">
      <t>ドウ</t>
    </rPh>
    <phoneticPr fontId="2"/>
  </si>
  <si>
    <t>048-920-5555</t>
    <phoneticPr fontId="2"/>
  </si>
  <si>
    <t>048-920-5556</t>
    <phoneticPr fontId="2"/>
  </si>
  <si>
    <t>東武スカイツリーライン谷塚駅から徒歩1分</t>
    <rPh sb="0" eb="2">
      <t>トウブ</t>
    </rPh>
    <rPh sb="11" eb="14">
      <t>ヤツカエキ</t>
    </rPh>
    <rPh sb="16" eb="18">
      <t>トホ</t>
    </rPh>
    <rPh sb="19" eb="20">
      <t>フン</t>
    </rPh>
    <phoneticPr fontId="2"/>
  </si>
  <si>
    <t>（特非）めぐみの</t>
    <rPh sb="1" eb="2">
      <t>トク</t>
    </rPh>
    <rPh sb="2" eb="3">
      <t>ヒ</t>
    </rPh>
    <phoneticPr fontId="2"/>
  </si>
  <si>
    <t>就労支援施設すずかぜ・春日部</t>
    <rPh sb="0" eb="2">
      <t>シュウロウ</t>
    </rPh>
    <rPh sb="2" eb="4">
      <t>シエン</t>
    </rPh>
    <rPh sb="4" eb="6">
      <t>シセツ</t>
    </rPh>
    <rPh sb="11" eb="14">
      <t>カスカベ</t>
    </rPh>
    <phoneticPr fontId="2"/>
  </si>
  <si>
    <t>粕壁東2-3-30
川島ビル１Ｆ</t>
    <rPh sb="0" eb="3">
      <t>カスカベヒガシ</t>
    </rPh>
    <rPh sb="10" eb="12">
      <t>カワジマ</t>
    </rPh>
    <phoneticPr fontId="2"/>
  </si>
  <si>
    <t>048-797-6637</t>
    <phoneticPr fontId="2"/>
  </si>
  <si>
    <t>048-797-7715</t>
    <phoneticPr fontId="2"/>
  </si>
  <si>
    <t>東武スカイツリーライン春日部駅から徒歩8分</t>
    <rPh sb="0" eb="2">
      <t>トウブ</t>
    </rPh>
    <rPh sb="11" eb="15">
      <t>カスカベエキ</t>
    </rPh>
    <rPh sb="17" eb="19">
      <t>トホ</t>
    </rPh>
    <rPh sb="20" eb="21">
      <t>フン</t>
    </rPh>
    <phoneticPr fontId="2"/>
  </si>
  <si>
    <t>（株）はなふえ</t>
    <rPh sb="0" eb="3">
      <t>カブ</t>
    </rPh>
    <phoneticPr fontId="2"/>
  </si>
  <si>
    <t>はなふえ</t>
    <phoneticPr fontId="2"/>
  </si>
  <si>
    <t>伊古田751-5</t>
    <rPh sb="0" eb="3">
      <t>イコダ</t>
    </rPh>
    <phoneticPr fontId="2"/>
  </si>
  <si>
    <t>368-0063</t>
    <phoneticPr fontId="2"/>
  </si>
  <si>
    <t>0494-62-4341</t>
    <phoneticPr fontId="2"/>
  </si>
  <si>
    <t>秩父鉄道皆野駅から車で15分</t>
    <rPh sb="0" eb="2">
      <t>チチブ</t>
    </rPh>
    <rPh sb="2" eb="4">
      <t>テツドウ</t>
    </rPh>
    <rPh sb="4" eb="6">
      <t>ミナノ</t>
    </rPh>
    <rPh sb="6" eb="7">
      <t>エキ</t>
    </rPh>
    <rPh sb="9" eb="10">
      <t>クルマ</t>
    </rPh>
    <rPh sb="13" eb="14">
      <t>フン</t>
    </rPh>
    <phoneticPr fontId="2"/>
  </si>
  <si>
    <t>（株）Cross Networks</t>
    <rPh sb="0" eb="3">
      <t>カブ</t>
    </rPh>
    <phoneticPr fontId="2"/>
  </si>
  <si>
    <t>DreamBase</t>
    <phoneticPr fontId="2"/>
  </si>
  <si>
    <t>西3-23-10</t>
    <rPh sb="0" eb="1">
      <t>ニシ</t>
    </rPh>
    <phoneticPr fontId="2"/>
  </si>
  <si>
    <t>348-0054</t>
    <phoneticPr fontId="2"/>
  </si>
  <si>
    <t>048-578-5008</t>
    <phoneticPr fontId="2"/>
  </si>
  <si>
    <t>048-578-5009</t>
    <phoneticPr fontId="2"/>
  </si>
  <si>
    <t>羽生駅から徒歩7分
※放課後等デイサービスとの多機能</t>
    <rPh sb="0" eb="2">
      <t>ハニュウ</t>
    </rPh>
    <rPh sb="2" eb="3">
      <t>エキ</t>
    </rPh>
    <rPh sb="5" eb="7">
      <t>トホ</t>
    </rPh>
    <rPh sb="8" eb="9">
      <t>フン</t>
    </rPh>
    <rPh sb="11" eb="14">
      <t>ホウカゴ</t>
    </rPh>
    <rPh sb="14" eb="15">
      <t>トウ</t>
    </rPh>
    <rPh sb="23" eb="26">
      <t>タキノウ</t>
    </rPh>
    <phoneticPr fontId="2"/>
  </si>
  <si>
    <t>（特非）精神保健福祉を考える市民の会・彩空楽</t>
    <rPh sb="1" eb="2">
      <t>トク</t>
    </rPh>
    <rPh sb="2" eb="3">
      <t>ヒ</t>
    </rPh>
    <rPh sb="4" eb="6">
      <t>セイシン</t>
    </rPh>
    <rPh sb="6" eb="8">
      <t>ホケン</t>
    </rPh>
    <rPh sb="8" eb="10">
      <t>フクシ</t>
    </rPh>
    <rPh sb="11" eb="12">
      <t>カンガ</t>
    </rPh>
    <rPh sb="14" eb="16">
      <t>シミン</t>
    </rPh>
    <rPh sb="17" eb="18">
      <t>カイ</t>
    </rPh>
    <rPh sb="19" eb="20">
      <t>アヤ</t>
    </rPh>
    <rPh sb="20" eb="21">
      <t>ソラ</t>
    </rPh>
    <rPh sb="21" eb="22">
      <t>ラク</t>
    </rPh>
    <phoneticPr fontId="2"/>
  </si>
  <si>
    <t>悠々クラブ</t>
    <rPh sb="0" eb="2">
      <t>ユウユウ</t>
    </rPh>
    <phoneticPr fontId="2"/>
  </si>
  <si>
    <t>中央1-12-4
阿部ビル２・３Ｆ</t>
    <rPh sb="0" eb="2">
      <t>チュウオウ</t>
    </rPh>
    <rPh sb="9" eb="11">
      <t>アベ</t>
    </rPh>
    <phoneticPr fontId="2"/>
  </si>
  <si>
    <t>048-752-3551</t>
    <phoneticPr fontId="2"/>
  </si>
  <si>
    <t>東武スカイツリーライン春日部駅から徒歩5分</t>
    <rPh sb="0" eb="2">
      <t>トウブ</t>
    </rPh>
    <rPh sb="11" eb="15">
      <t>カスカベエキ</t>
    </rPh>
    <rPh sb="17" eb="19">
      <t>トホ</t>
    </rPh>
    <rPh sb="20" eb="21">
      <t>フン</t>
    </rPh>
    <phoneticPr fontId="2"/>
  </si>
  <si>
    <t>つくばエクスプレス八潮駅から東武バス（草加駅東口行き）「エイトアリーナ入口」下車徒歩1分</t>
    <rPh sb="9" eb="11">
      <t>ヤシオ</t>
    </rPh>
    <rPh sb="11" eb="12">
      <t>エキ</t>
    </rPh>
    <rPh sb="14" eb="16">
      <t>トウブ</t>
    </rPh>
    <rPh sb="19" eb="22">
      <t>ソウカエキ</t>
    </rPh>
    <rPh sb="22" eb="24">
      <t>ヒガシグチ</t>
    </rPh>
    <rPh sb="24" eb="25">
      <t>ユキ</t>
    </rPh>
    <rPh sb="35" eb="37">
      <t>イリグチ</t>
    </rPh>
    <rPh sb="38" eb="40">
      <t>ゲシャ</t>
    </rPh>
    <rPh sb="40" eb="42">
      <t>トホ</t>
    </rPh>
    <rPh sb="43" eb="44">
      <t>フン</t>
    </rPh>
    <phoneticPr fontId="2"/>
  </si>
  <si>
    <t>(特非)ＣＩＬひこうせん</t>
    <rPh sb="1" eb="2">
      <t>トク</t>
    </rPh>
    <rPh sb="2" eb="3">
      <t>ヒ</t>
    </rPh>
    <phoneticPr fontId="2"/>
  </si>
  <si>
    <t>アンフィニ</t>
    <phoneticPr fontId="2"/>
  </si>
  <si>
    <t>長野4611</t>
    <rPh sb="0" eb="2">
      <t>ナガノ</t>
    </rPh>
    <phoneticPr fontId="2"/>
  </si>
  <si>
    <t>048-501-6610</t>
    <phoneticPr fontId="2"/>
  </si>
  <si>
    <t>高崎線行田駅から行田市内循環バス（観光拠点循環コース右回り）「長野新大橋」下車徒歩8分</t>
    <rPh sb="0" eb="3">
      <t>タカサキセン</t>
    </rPh>
    <rPh sb="3" eb="5">
      <t>ギョウダ</t>
    </rPh>
    <rPh sb="5" eb="6">
      <t>エキ</t>
    </rPh>
    <rPh sb="8" eb="10">
      <t>ギョウダ</t>
    </rPh>
    <rPh sb="10" eb="12">
      <t>シナイ</t>
    </rPh>
    <rPh sb="12" eb="14">
      <t>ジュンカン</t>
    </rPh>
    <rPh sb="17" eb="19">
      <t>カンコウ</t>
    </rPh>
    <rPh sb="19" eb="21">
      <t>キョテン</t>
    </rPh>
    <rPh sb="21" eb="23">
      <t>ジュンカン</t>
    </rPh>
    <rPh sb="26" eb="28">
      <t>ミギマワ</t>
    </rPh>
    <rPh sb="31" eb="33">
      <t>ナガノ</t>
    </rPh>
    <rPh sb="33" eb="36">
      <t>シンオオハシ</t>
    </rPh>
    <rPh sb="37" eb="39">
      <t>ゲシャ</t>
    </rPh>
    <rPh sb="39" eb="41">
      <t>トホ</t>
    </rPh>
    <rPh sb="42" eb="43">
      <t>フン</t>
    </rPh>
    <phoneticPr fontId="2"/>
  </si>
  <si>
    <t>越谷市指定障害福祉サービス事業所「しらこばと」（定着支援）</t>
    <rPh sb="0" eb="3">
      <t>コシガヤシ</t>
    </rPh>
    <rPh sb="3" eb="9">
      <t>シテイショウガイフクシ</t>
    </rPh>
    <rPh sb="13" eb="16">
      <t>ジギョウショ</t>
    </rPh>
    <rPh sb="24" eb="26">
      <t>テイチャク</t>
    </rPh>
    <rPh sb="26" eb="28">
      <t>シエン</t>
    </rPh>
    <phoneticPr fontId="2"/>
  </si>
  <si>
    <t>東武スカイツリーライン越谷駅東口朝日バス総合公園行「橋林バス停」下車</t>
    <rPh sb="0" eb="2">
      <t>トウブ</t>
    </rPh>
    <rPh sb="11" eb="13">
      <t>コシガヤ</t>
    </rPh>
    <rPh sb="13" eb="14">
      <t>エキ</t>
    </rPh>
    <rPh sb="14" eb="16">
      <t>ヒガシグチ</t>
    </rPh>
    <rPh sb="16" eb="18">
      <t>アサヒ</t>
    </rPh>
    <rPh sb="20" eb="24">
      <t>ソウゴウコウエン</t>
    </rPh>
    <rPh sb="24" eb="25">
      <t>ユキ</t>
    </rPh>
    <rPh sb="26" eb="28">
      <t>ハシバヤシ</t>
    </rPh>
    <rPh sb="30" eb="31">
      <t>テイ</t>
    </rPh>
    <rPh sb="32" eb="34">
      <t>ゲシャ</t>
    </rPh>
    <phoneticPr fontId="2"/>
  </si>
  <si>
    <t>CocorportCollege川越駅前キャンパス</t>
    <rPh sb="16" eb="18">
      <t>カワゴエ</t>
    </rPh>
    <rPh sb="18" eb="20">
      <t>エキマエ</t>
    </rPh>
    <phoneticPr fontId="2"/>
  </si>
  <si>
    <t>脇田本町10-24　藤蔵ロイヤルビル3階</t>
    <rPh sb="0" eb="2">
      <t>ワキタ</t>
    </rPh>
    <rPh sb="2" eb="4">
      <t>ホンマチ</t>
    </rPh>
    <rPh sb="10" eb="11">
      <t>フジ</t>
    </rPh>
    <rPh sb="11" eb="12">
      <t>クラ</t>
    </rPh>
    <rPh sb="19" eb="20">
      <t>カイ</t>
    </rPh>
    <phoneticPr fontId="2"/>
  </si>
  <si>
    <t>049-293-6040</t>
  </si>
  <si>
    <t>049-293-6047</t>
  </si>
  <si>
    <t>川越駅より徒歩5分</t>
    <rPh sb="0" eb="2">
      <t>カワゴエ</t>
    </rPh>
    <rPh sb="2" eb="3">
      <t>エキ</t>
    </rPh>
    <rPh sb="5" eb="7">
      <t>トホ</t>
    </rPh>
    <rPh sb="8" eb="9">
      <t>フン</t>
    </rPh>
    <phoneticPr fontId="2"/>
  </si>
  <si>
    <t>ミラトレ川越</t>
    <rPh sb="4" eb="6">
      <t>カワゴエ</t>
    </rPh>
    <phoneticPr fontId="2"/>
  </si>
  <si>
    <t>脇田本町11-1　川越シティービル5階</t>
    <rPh sb="0" eb="2">
      <t>ワキタ</t>
    </rPh>
    <rPh sb="2" eb="4">
      <t>ホンマチ</t>
    </rPh>
    <rPh sb="9" eb="11">
      <t>カワゴエ</t>
    </rPh>
    <rPh sb="18" eb="19">
      <t>カイ</t>
    </rPh>
    <phoneticPr fontId="2"/>
  </si>
  <si>
    <t>049-257-4283</t>
  </si>
  <si>
    <t>049-257-4284</t>
  </si>
  <si>
    <t>川越駅より徒歩2分</t>
    <rPh sb="0" eb="2">
      <t>カワゴエ</t>
    </rPh>
    <rPh sb="2" eb="3">
      <t>エキ</t>
    </rPh>
    <rPh sb="5" eb="7">
      <t>トホ</t>
    </rPh>
    <rPh sb="8" eb="9">
      <t>フン</t>
    </rPh>
    <phoneticPr fontId="2"/>
  </si>
  <si>
    <t>川越いもの子作業所</t>
    <rPh sb="0" eb="2">
      <t>カワゴエ</t>
    </rPh>
    <rPh sb="5" eb="6">
      <t>コ</t>
    </rPh>
    <rPh sb="6" eb="9">
      <t>サギョウジョ</t>
    </rPh>
    <phoneticPr fontId="2"/>
  </si>
  <si>
    <t>笠幡4063-1</t>
    <rPh sb="0" eb="2">
      <t>カサハタ</t>
    </rPh>
    <phoneticPr fontId="2"/>
  </si>
  <si>
    <t>350-1175</t>
  </si>
  <si>
    <t>笠幡駅から徒歩15分</t>
    <rPh sb="0" eb="2">
      <t>カサハタ</t>
    </rPh>
    <rPh sb="2" eb="3">
      <t>エキ</t>
    </rPh>
    <rPh sb="5" eb="7">
      <t>トホ</t>
    </rPh>
    <rPh sb="9" eb="10">
      <t>フン</t>
    </rPh>
    <phoneticPr fontId="2"/>
  </si>
  <si>
    <t>医療法人ゆうしん</t>
    <rPh sb="0" eb="2">
      <t>イリョウ</t>
    </rPh>
    <rPh sb="2" eb="4">
      <t>ホウジン</t>
    </rPh>
    <phoneticPr fontId="2"/>
  </si>
  <si>
    <t>今福らしいく</t>
    <rPh sb="0" eb="2">
      <t>イマフク</t>
    </rPh>
    <phoneticPr fontId="2"/>
  </si>
  <si>
    <t>今福738-7</t>
    <rPh sb="0" eb="2">
      <t>イマフク</t>
    </rPh>
    <phoneticPr fontId="2"/>
  </si>
  <si>
    <t>049-246-0011</t>
  </si>
  <si>
    <t>049-246-0012</t>
  </si>
  <si>
    <t>南大塚駅から徒歩30分</t>
    <rPh sb="0" eb="1">
      <t>ミナミ</t>
    </rPh>
    <rPh sb="1" eb="3">
      <t>オオツカ</t>
    </rPh>
    <rPh sb="3" eb="4">
      <t>エキ</t>
    </rPh>
    <rPh sb="6" eb="8">
      <t>トホ</t>
    </rPh>
    <rPh sb="10" eb="11">
      <t>フン</t>
    </rPh>
    <phoneticPr fontId="2"/>
  </si>
  <si>
    <t>350-0016</t>
  </si>
  <si>
    <t>まごころケア川越</t>
    <rPh sb="6" eb="8">
      <t>カワゴエ</t>
    </rPh>
    <phoneticPr fontId="2"/>
  </si>
  <si>
    <t>砂久保50-1</t>
    <rPh sb="0" eb="3">
      <t>スナクボ</t>
    </rPh>
    <phoneticPr fontId="2"/>
  </si>
  <si>
    <t>350-1152</t>
  </si>
  <si>
    <t>049-293-2886</t>
  </si>
  <si>
    <t>049-293-2887</t>
  </si>
  <si>
    <t>新河岸駅から徒歩13分
※共生型短期入所</t>
    <rPh sb="0" eb="3">
      <t>シンガシ</t>
    </rPh>
    <rPh sb="3" eb="4">
      <t>エキ</t>
    </rPh>
    <rPh sb="6" eb="8">
      <t>トホ</t>
    </rPh>
    <rPh sb="10" eb="11">
      <t>フン</t>
    </rPh>
    <rPh sb="13" eb="16">
      <t>キョウセイガタ</t>
    </rPh>
    <rPh sb="16" eb="18">
      <t>タンキ</t>
    </rPh>
    <rPh sb="18" eb="20">
      <t>ニュウショ</t>
    </rPh>
    <phoneticPr fontId="2"/>
  </si>
  <si>
    <t>新河岸駅から徒歩13分
※共生型生活介護</t>
    <rPh sb="0" eb="3">
      <t>シンガシ</t>
    </rPh>
    <rPh sb="3" eb="4">
      <t>エキ</t>
    </rPh>
    <rPh sb="6" eb="8">
      <t>トホ</t>
    </rPh>
    <rPh sb="10" eb="11">
      <t>フン</t>
    </rPh>
    <rPh sb="13" eb="16">
      <t>キョウセイガタ</t>
    </rPh>
    <rPh sb="16" eb="18">
      <t>セイカツ</t>
    </rPh>
    <rPh sb="18" eb="20">
      <t>カイゴ</t>
    </rPh>
    <phoneticPr fontId="2"/>
  </si>
  <si>
    <t>松郷705-1</t>
    <rPh sb="0" eb="2">
      <t>マツゴウ</t>
    </rPh>
    <phoneticPr fontId="2"/>
  </si>
  <si>
    <t>350-0857</t>
  </si>
  <si>
    <t>049-298-7170</t>
  </si>
  <si>
    <t>049-298-7180</t>
  </si>
  <si>
    <t>川越駅からバス13分</t>
    <rPh sb="0" eb="2">
      <t>カワゴエ</t>
    </rPh>
    <rPh sb="2" eb="3">
      <t>エキ</t>
    </rPh>
    <rPh sb="9" eb="10">
      <t>フン</t>
    </rPh>
    <phoneticPr fontId="2"/>
  </si>
  <si>
    <t>ゆめの園初雁　ショートステイ事業所</t>
    <rPh sb="3" eb="4">
      <t>エン</t>
    </rPh>
    <rPh sb="4" eb="6">
      <t>ハツカリ</t>
    </rPh>
    <rPh sb="14" eb="17">
      <t>ジギョウショ</t>
    </rPh>
    <phoneticPr fontId="2"/>
  </si>
  <si>
    <t>(福)皆の郷</t>
    <rPh sb="3" eb="4">
      <t>ミナ</t>
    </rPh>
    <rPh sb="5" eb="6">
      <t>ゴウ</t>
    </rPh>
    <phoneticPr fontId="2"/>
  </si>
  <si>
    <t>みなのさと</t>
  </si>
  <si>
    <t>笠幡1410</t>
    <rPh sb="0" eb="2">
      <t>カサハタ</t>
    </rPh>
    <phoneticPr fontId="2"/>
  </si>
  <si>
    <t>○
児</t>
    <rPh sb="2" eb="3">
      <t>ジ</t>
    </rPh>
    <phoneticPr fontId="2"/>
  </si>
  <si>
    <t>川越線笠幡駅下車徒歩15分</t>
    <rPh sb="0" eb="2">
      <t>カワゴエ</t>
    </rPh>
    <rPh sb="2" eb="3">
      <t>セン</t>
    </rPh>
    <rPh sb="3" eb="5">
      <t>カサハタ</t>
    </rPh>
    <rPh sb="5" eb="6">
      <t>エキ</t>
    </rPh>
    <rPh sb="6" eb="8">
      <t>ゲシャ</t>
    </rPh>
    <rPh sb="8" eb="10">
      <t>トホ</t>
    </rPh>
    <rPh sb="12" eb="13">
      <t>フン</t>
    </rPh>
    <phoneticPr fontId="2"/>
  </si>
  <si>
    <t>(特非)ほうき星</t>
    <rPh sb="0" eb="4">
      <t>トクヒ</t>
    </rPh>
    <rPh sb="7" eb="8">
      <t>ホシ</t>
    </rPh>
    <phoneticPr fontId="2"/>
  </si>
  <si>
    <t>川越ワークいちばん星</t>
    <rPh sb="0" eb="2">
      <t>カワゴエ</t>
    </rPh>
    <rPh sb="9" eb="10">
      <t>ホシ</t>
    </rPh>
    <phoneticPr fontId="2"/>
  </si>
  <si>
    <t>伊佐沼6-1</t>
    <rPh sb="0" eb="3">
      <t>イサヌマ</t>
    </rPh>
    <phoneticPr fontId="2"/>
  </si>
  <si>
    <t>049-223-6070</t>
    <phoneticPr fontId="2"/>
  </si>
  <si>
    <t>まはろ　和光南</t>
  </si>
  <si>
    <t>和光市</t>
    <rPh sb="0" eb="3">
      <t>ワコウシ</t>
    </rPh>
    <phoneticPr fontId="34"/>
  </si>
  <si>
    <t>南1-16-65</t>
  </si>
  <si>
    <t>048-423-4043</t>
  </si>
  <si>
    <t>048-450-5026</t>
  </si>
  <si>
    <t>東武東上線和光市駅南口からバス「南大和団地」下車徒歩3分</t>
  </si>
  <si>
    <t>ゆりヶ丘学園</t>
    <rPh sb="3" eb="6">
      <t>おかがくえん</t>
    </rPh>
    <phoneticPr fontId="2" type="Hiragana"/>
  </si>
  <si>
    <t>048-294-6039</t>
  </si>
  <si>
    <t>048-294-9591</t>
  </si>
  <si>
    <t>差間3-16-36</t>
    <phoneticPr fontId="2"/>
  </si>
  <si>
    <t>048-299-9981</t>
  </si>
  <si>
    <t>048-229-6266</t>
  </si>
  <si>
    <t>安行慈林752-6</t>
    <phoneticPr fontId="2"/>
  </si>
  <si>
    <t>チャレンジド</t>
    <phoneticPr fontId="2" type="Hiragana"/>
  </si>
  <si>
    <t>048-259-2960</t>
  </si>
  <si>
    <t>西青木5-2-43 ｸｻｶﾋﾞﾙ</t>
    <phoneticPr fontId="2"/>
  </si>
  <si>
    <t>ＣｏｃｏｒｐｏｒｔＣｏｌｌｅｇｅ大宮キャンパス</t>
    <rPh sb="16" eb="18">
      <t>オオミヤ</t>
    </rPh>
    <phoneticPr fontId="5"/>
  </si>
  <si>
    <t>048-788-4381</t>
  </si>
  <si>
    <t>048-788-4382</t>
  </si>
  <si>
    <t>JR大宮駅から徒歩７分</t>
    <rPh sb="2" eb="5">
      <t>オオミヤエキ</t>
    </rPh>
    <rPh sb="7" eb="9">
      <t>トホ</t>
    </rPh>
    <rPh sb="10" eb="11">
      <t>フン</t>
    </rPh>
    <phoneticPr fontId="2"/>
  </si>
  <si>
    <t>どっぽカフェ</t>
  </si>
  <si>
    <t>西区西大宮３－１９－１２</t>
    <rPh sb="0" eb="2">
      <t>ニシク</t>
    </rPh>
    <rPh sb="2" eb="5">
      <t>ニシオオミヤ</t>
    </rPh>
    <phoneticPr fontId="5"/>
  </si>
  <si>
    <t>048-620-3800</t>
  </si>
  <si>
    <t>048-620-3801</t>
  </si>
  <si>
    <t>JR西大宮駅から徒歩5分</t>
    <rPh sb="2" eb="3">
      <t>ニシ</t>
    </rPh>
    <rPh sb="3" eb="6">
      <t>オオミヤエキ</t>
    </rPh>
    <rPh sb="8" eb="10">
      <t>トホ</t>
    </rPh>
    <rPh sb="11" eb="12">
      <t>フン</t>
    </rPh>
    <phoneticPr fontId="2"/>
  </si>
  <si>
    <t>ウーリー与野本町</t>
    <rPh sb="4" eb="8">
      <t>ヨノホンマチ</t>
    </rPh>
    <phoneticPr fontId="5"/>
  </si>
  <si>
    <t>中央区下落合７－６－８</t>
    <rPh sb="0" eb="3">
      <t>チュウオウク</t>
    </rPh>
    <rPh sb="3" eb="6">
      <t>シモオチアイ</t>
    </rPh>
    <phoneticPr fontId="5"/>
  </si>
  <si>
    <t>338-0002</t>
  </si>
  <si>
    <t>048-627-7798</t>
  </si>
  <si>
    <t>JR与野本町駅から徒歩5分</t>
    <rPh sb="2" eb="7">
      <t>ヨノホンマチエキ</t>
    </rPh>
    <rPh sb="9" eb="11">
      <t>トホ</t>
    </rPh>
    <rPh sb="12" eb="13">
      <t>フン</t>
    </rPh>
    <phoneticPr fontId="2"/>
  </si>
  <si>
    <t>西大宮プロダクツ</t>
    <rPh sb="0" eb="1">
      <t>ニシ</t>
    </rPh>
    <rPh sb="1" eb="3">
      <t>オオミヤ</t>
    </rPh>
    <phoneticPr fontId="5"/>
  </si>
  <si>
    <t>西区西大宮３－６２－４１</t>
    <rPh sb="0" eb="2">
      <t>ニシク</t>
    </rPh>
    <rPh sb="2" eb="3">
      <t>ニシ</t>
    </rPh>
    <rPh sb="3" eb="5">
      <t>オオミヤ</t>
    </rPh>
    <phoneticPr fontId="3"/>
  </si>
  <si>
    <t>JR西大宮駅から徒歩14分</t>
    <rPh sb="2" eb="3">
      <t>ニシ</t>
    </rPh>
    <rPh sb="3" eb="6">
      <t>オオミヤエキ</t>
    </rPh>
    <rPh sb="8" eb="10">
      <t>トホ</t>
    </rPh>
    <rPh sb="12" eb="13">
      <t>フン</t>
    </rPh>
    <phoneticPr fontId="2"/>
  </si>
  <si>
    <t>プレノワ</t>
  </si>
  <si>
    <t>北区東大成町１－４５７－１</t>
    <phoneticPr fontId="2"/>
  </si>
  <si>
    <t>331-0814</t>
  </si>
  <si>
    <t>048-782-9216</t>
  </si>
  <si>
    <t>東部アーバンパークライン北大宮駅から徒歩５分</t>
    <rPh sb="0" eb="2">
      <t>トウブ</t>
    </rPh>
    <rPh sb="12" eb="16">
      <t>キタオオミヤエキ</t>
    </rPh>
    <rPh sb="18" eb="20">
      <t>トホ</t>
    </rPh>
    <rPh sb="21" eb="22">
      <t>フン</t>
    </rPh>
    <phoneticPr fontId="2"/>
  </si>
  <si>
    <t>東武アーバンパークライン 七里駅　徒歩５分
定員30人→40人に変更</t>
    <rPh sb="13" eb="15">
      <t>ナナサト</t>
    </rPh>
    <rPh sb="15" eb="16">
      <t>エキ</t>
    </rPh>
    <rPh sb="17" eb="19">
      <t>トホ</t>
    </rPh>
    <rPh sb="20" eb="21">
      <t>フン</t>
    </rPh>
    <phoneticPr fontId="2"/>
  </si>
  <si>
    <t>048-580-6531</t>
    <phoneticPr fontId="2"/>
  </si>
  <si>
    <t>048-580-6571</t>
    <phoneticPr fontId="2"/>
  </si>
  <si>
    <t>048-594-7775</t>
    <phoneticPr fontId="2"/>
  </si>
  <si>
    <t>048-432-8172</t>
    <phoneticPr fontId="2"/>
  </si>
  <si>
    <t>04-2954-8901</t>
    <phoneticPr fontId="2"/>
  </si>
  <si>
    <t>（株）松栄産業</t>
    <rPh sb="1" eb="2">
      <t>カブ</t>
    </rPh>
    <rPh sb="3" eb="4">
      <t>マツ</t>
    </rPh>
    <rPh sb="4" eb="5">
      <t>サカエ</t>
    </rPh>
    <rPh sb="5" eb="7">
      <t>サンギョウ</t>
    </rPh>
    <phoneticPr fontId="2"/>
  </si>
  <si>
    <t>藤久保1078-3</t>
    <rPh sb="0" eb="3">
      <t>フジクボ</t>
    </rPh>
    <phoneticPr fontId="2"/>
  </si>
  <si>
    <t>東武東上線鶴瀬駅からライフバス「三芳町役場」下車徒歩5分</t>
    <rPh sb="0" eb="2">
      <t>トウブ</t>
    </rPh>
    <rPh sb="2" eb="4">
      <t>トウジョウ</t>
    </rPh>
    <rPh sb="4" eb="5">
      <t>セン</t>
    </rPh>
    <rPh sb="5" eb="7">
      <t>ツルセ</t>
    </rPh>
    <rPh sb="7" eb="8">
      <t>エキ</t>
    </rPh>
    <rPh sb="16" eb="19">
      <t>ミヨシマチ</t>
    </rPh>
    <rPh sb="19" eb="21">
      <t>ヤクバ</t>
    </rPh>
    <rPh sb="21" eb="22">
      <t>コマエ</t>
    </rPh>
    <rPh sb="22" eb="24">
      <t>ゲシャ</t>
    </rPh>
    <rPh sb="24" eb="26">
      <t>トホ</t>
    </rPh>
    <rPh sb="27" eb="28">
      <t>フン</t>
    </rPh>
    <phoneticPr fontId="2"/>
  </si>
  <si>
    <t>桜区塚本６０－１</t>
    <rPh sb="0" eb="1">
      <t>サクラ</t>
    </rPh>
    <rPh sb="1" eb="2">
      <t>ク</t>
    </rPh>
    <phoneticPr fontId="2"/>
  </si>
  <si>
    <t>南栗橋12-11-8</t>
    <rPh sb="0" eb="3">
      <t>ミナミクリハシ</t>
    </rPh>
    <phoneticPr fontId="1"/>
  </si>
  <si>
    <t>349-1117</t>
    <phoneticPr fontId="2"/>
  </si>
  <si>
    <t>0480-38-9281</t>
    <phoneticPr fontId="2"/>
  </si>
  <si>
    <t>0480-38-9287</t>
    <phoneticPr fontId="2"/>
  </si>
  <si>
    <t>東武日光線南栗橋駅から徒歩20分</t>
    <rPh sb="0" eb="4">
      <t>トウブニッコウ</t>
    </rPh>
    <rPh sb="4" eb="5">
      <t>セン</t>
    </rPh>
    <rPh sb="5" eb="9">
      <t>ミナミクリハシエキ</t>
    </rPh>
    <rPh sb="11" eb="13">
      <t>トホ</t>
    </rPh>
    <rPh sb="15" eb="16">
      <t>フン</t>
    </rPh>
    <phoneticPr fontId="2"/>
  </si>
  <si>
    <t>めぐ（株）</t>
    <rPh sb="2" eb="5">
      <t>カブ</t>
    </rPh>
    <phoneticPr fontId="2"/>
  </si>
  <si>
    <t>めぐ就労継続支援Ｂ型加須</t>
    <rPh sb="2" eb="4">
      <t>シュウロウ</t>
    </rPh>
    <rPh sb="4" eb="6">
      <t>ケイゾク</t>
    </rPh>
    <rPh sb="6" eb="8">
      <t>シエン</t>
    </rPh>
    <rPh sb="9" eb="10">
      <t>ガタ</t>
    </rPh>
    <rPh sb="10" eb="12">
      <t>カゾ</t>
    </rPh>
    <phoneticPr fontId="2"/>
  </si>
  <si>
    <t>琴寄385-2</t>
    <rPh sb="0" eb="2">
      <t>コトヨリ</t>
    </rPh>
    <phoneticPr fontId="2"/>
  </si>
  <si>
    <t>349-1133</t>
    <phoneticPr fontId="2"/>
  </si>
  <si>
    <t>0480-37-7877</t>
    <phoneticPr fontId="2"/>
  </si>
  <si>
    <t>宇都宮線栗橋駅から車で7分</t>
    <rPh sb="0" eb="3">
      <t>ウツノミヤ</t>
    </rPh>
    <rPh sb="3" eb="4">
      <t>セン</t>
    </rPh>
    <rPh sb="4" eb="6">
      <t>クリハシ</t>
    </rPh>
    <rPh sb="6" eb="7">
      <t>エキ</t>
    </rPh>
    <rPh sb="9" eb="10">
      <t>クルマ</t>
    </rPh>
    <rPh sb="12" eb="13">
      <t>フン</t>
    </rPh>
    <phoneticPr fontId="2"/>
  </si>
  <si>
    <t>生活介護　ななほし</t>
    <rPh sb="0" eb="2">
      <t>セイカツ</t>
    </rPh>
    <rPh sb="2" eb="4">
      <t>カイゴ</t>
    </rPh>
    <phoneticPr fontId="2"/>
  </si>
  <si>
    <t>緑町6-11-18</t>
    <rPh sb="0" eb="1">
      <t>ミドリ</t>
    </rPh>
    <rPh sb="1" eb="2">
      <t>チョウ</t>
    </rPh>
    <phoneticPr fontId="2"/>
  </si>
  <si>
    <t>344-0063</t>
    <phoneticPr fontId="2"/>
  </si>
  <si>
    <t>東武スカイツリーライン一ノ割駅から徒歩6分</t>
    <rPh sb="0" eb="2">
      <t>トウブ</t>
    </rPh>
    <rPh sb="11" eb="12">
      <t>イチ</t>
    </rPh>
    <rPh sb="13" eb="14">
      <t>ワリ</t>
    </rPh>
    <rPh sb="14" eb="15">
      <t>エキ</t>
    </rPh>
    <rPh sb="17" eb="19">
      <t>トホ</t>
    </rPh>
    <rPh sb="20" eb="21">
      <t>フン</t>
    </rPh>
    <phoneticPr fontId="2"/>
  </si>
  <si>
    <t>（株）ななほし</t>
    <rPh sb="0" eb="3">
      <t>カブ</t>
    </rPh>
    <phoneticPr fontId="2"/>
  </si>
  <si>
    <t>多機能型事業所　空-Coo-</t>
    <rPh sb="0" eb="4">
      <t>タキノウガタ</t>
    </rPh>
    <rPh sb="4" eb="6">
      <t>ジギョウ</t>
    </rPh>
    <rPh sb="6" eb="7">
      <t>ショ</t>
    </rPh>
    <rPh sb="8" eb="9">
      <t>クウ</t>
    </rPh>
    <phoneticPr fontId="2"/>
  </si>
  <si>
    <t>栄町3-80</t>
    <rPh sb="0" eb="1">
      <t>サカエ</t>
    </rPh>
    <rPh sb="1" eb="2">
      <t>チョウ</t>
    </rPh>
    <phoneticPr fontId="2"/>
  </si>
  <si>
    <t>344-0058</t>
    <phoneticPr fontId="2"/>
  </si>
  <si>
    <t>東武スカイツリーライン北春日部駅から徒歩10分</t>
    <rPh sb="0" eb="2">
      <t>トウブ</t>
    </rPh>
    <rPh sb="11" eb="16">
      <t>キタカスカベエキ</t>
    </rPh>
    <rPh sb="18" eb="20">
      <t>トホ</t>
    </rPh>
    <rPh sb="22" eb="23">
      <t>フン</t>
    </rPh>
    <phoneticPr fontId="2"/>
  </si>
  <si>
    <t>字西原278</t>
    <rPh sb="0" eb="1">
      <t>アザ</t>
    </rPh>
    <rPh sb="1" eb="3">
      <t>ニシハラ</t>
    </rPh>
    <phoneticPr fontId="2"/>
  </si>
  <si>
    <t>0480-32-8299</t>
    <phoneticPr fontId="2"/>
  </si>
  <si>
    <t>Kaien大宮</t>
    <rPh sb="5" eb="7">
      <t>オオミヤ</t>
    </rPh>
    <phoneticPr fontId="5"/>
  </si>
  <si>
    <t>大宮区仲町３－１０２－１０　リーベンスハイム大宮１０１</t>
    <rPh sb="0" eb="3">
      <t>オオミヤク</t>
    </rPh>
    <rPh sb="3" eb="5">
      <t>ナカチョウ</t>
    </rPh>
    <rPh sb="22" eb="24">
      <t>オオミヤ</t>
    </rPh>
    <phoneticPr fontId="5"/>
  </si>
  <si>
    <t>050-2018-2725</t>
  </si>
  <si>
    <t>050-2018-0907</t>
  </si>
  <si>
    <t>atGPジョブトレIT・Web大宮</t>
    <rPh sb="15" eb="17">
      <t>オオミヤ</t>
    </rPh>
    <phoneticPr fontId="5"/>
  </si>
  <si>
    <t>大宮区仲町２－２５　松亀プレジデントビル４階</t>
    <phoneticPr fontId="2"/>
  </si>
  <si>
    <t>050-3645-6400</t>
  </si>
  <si>
    <t>050-3512-3920</t>
  </si>
  <si>
    <t>JR大宮駅から徒歩4分</t>
    <rPh sb="2" eb="4">
      <t>オオミヤ</t>
    </rPh>
    <rPh sb="4" eb="5">
      <t>エキ</t>
    </rPh>
    <rPh sb="7" eb="9">
      <t>トホ</t>
    </rPh>
    <rPh sb="10" eb="11">
      <t>フン</t>
    </rPh>
    <phoneticPr fontId="2"/>
  </si>
  <si>
    <t>336-0021</t>
  </si>
  <si>
    <t>就労定着支援ディーキャリア大宮事業所</t>
    <rPh sb="0" eb="2">
      <t>シュウロウ</t>
    </rPh>
    <rPh sb="2" eb="4">
      <t>テイチャク</t>
    </rPh>
    <rPh sb="4" eb="6">
      <t>シエン</t>
    </rPh>
    <rPh sb="13" eb="15">
      <t>オオミヤ</t>
    </rPh>
    <rPh sb="15" eb="18">
      <t>ジギョウショ</t>
    </rPh>
    <phoneticPr fontId="5"/>
  </si>
  <si>
    <t>中央区上落合８－１５－３
三進ビル３階</t>
    <rPh sb="0" eb="3">
      <t>チュウオウク</t>
    </rPh>
    <rPh sb="3" eb="6">
      <t>カミオチアイ</t>
    </rPh>
    <rPh sb="13" eb="15">
      <t>サンシン</t>
    </rPh>
    <rPh sb="18" eb="19">
      <t>カイ</t>
    </rPh>
    <phoneticPr fontId="5"/>
  </si>
  <si>
    <t>338-0001</t>
    <phoneticPr fontId="2"/>
  </si>
  <si>
    <t>048-749-1758</t>
    <phoneticPr fontId="2"/>
  </si>
  <si>
    <t>ＪＲ大宮駅から徒歩１０分</t>
    <rPh sb="2" eb="4">
      <t>オオミヤ</t>
    </rPh>
    <rPh sb="4" eb="5">
      <t>エキ</t>
    </rPh>
    <rPh sb="7" eb="9">
      <t>トホ</t>
    </rPh>
    <rPh sb="11" eb="12">
      <t>フン</t>
    </rPh>
    <phoneticPr fontId="2"/>
  </si>
  <si>
    <t>048-762-3532</t>
  </si>
  <si>
    <t>かやの木</t>
    <phoneticPr fontId="2"/>
  </si>
  <si>
    <t>けや木2-5-5</t>
    <rPh sb="2" eb="3">
      <t>キ</t>
    </rPh>
    <phoneticPr fontId="2"/>
  </si>
  <si>
    <t>ブロッサムワークス川口</t>
    <rPh sb="9" eb="11">
      <t>かわぐち</t>
    </rPh>
    <phoneticPr fontId="2" type="Hiragana"/>
  </si>
  <si>
    <t>芝樋ノ爪１－１－４５</t>
  </si>
  <si>
    <t>048-424-7218</t>
  </si>
  <si>
    <t>048-424-7118</t>
  </si>
  <si>
    <t>JR蕨駅より徒歩５分</t>
    <rPh sb="2" eb="4">
      <t>わらびえき</t>
    </rPh>
    <rPh sb="6" eb="8">
      <t>とほ</t>
    </rPh>
    <rPh sb="9" eb="10">
      <t>ふん</t>
    </rPh>
    <phoneticPr fontId="2" type="Hiragana"/>
  </si>
  <si>
    <t>ディーキャリアワーク　浦和スタジオ</t>
    <rPh sb="11" eb="13">
      <t>ウラワ</t>
    </rPh>
    <phoneticPr fontId="5"/>
  </si>
  <si>
    <t>浦和区常盤４－１６－９　NYY浦和ビル４F</t>
    <rPh sb="0" eb="2">
      <t>ウラワ</t>
    </rPh>
    <rPh sb="2" eb="3">
      <t>ク</t>
    </rPh>
    <rPh sb="3" eb="5">
      <t>トキワ</t>
    </rPh>
    <rPh sb="15" eb="17">
      <t>ウラワ</t>
    </rPh>
    <phoneticPr fontId="5"/>
  </si>
  <si>
    <t>330-0061</t>
  </si>
  <si>
    <t>048-714-0414</t>
  </si>
  <si>
    <t>048-714-0413</t>
  </si>
  <si>
    <t>JR浦和駅から徒歩18分</t>
    <rPh sb="2" eb="5">
      <t>ウラワエキ</t>
    </rPh>
    <rPh sb="7" eb="9">
      <t>トホ</t>
    </rPh>
    <rPh sb="11" eb="12">
      <t>フン</t>
    </rPh>
    <phoneticPr fontId="2"/>
  </si>
  <si>
    <t>with go</t>
  </si>
  <si>
    <t>見沼区東大宮５－３２－８－１０１</t>
    <rPh sb="0" eb="2">
      <t>ミヌマ</t>
    </rPh>
    <rPh sb="2" eb="3">
      <t>ク</t>
    </rPh>
    <rPh sb="3" eb="6">
      <t>ヒガシオオミヤ</t>
    </rPh>
    <phoneticPr fontId="5"/>
  </si>
  <si>
    <t>048-685-3351</t>
  </si>
  <si>
    <t>048-685-3352</t>
  </si>
  <si>
    <t>JR「東大宮」駅から徒歩４分</t>
    <rPh sb="3" eb="6">
      <t>ヒガシオオミヤ</t>
    </rPh>
    <rPh sb="7" eb="8">
      <t>エキ</t>
    </rPh>
    <rPh sb="10" eb="12">
      <t>トホ</t>
    </rPh>
    <rPh sb="13" eb="14">
      <t>フン</t>
    </rPh>
    <phoneticPr fontId="2"/>
  </si>
  <si>
    <t>リワークセンター大宮</t>
    <rPh sb="8" eb="10">
      <t>オオミヤ</t>
    </rPh>
    <phoneticPr fontId="3"/>
  </si>
  <si>
    <t>大宮区桜木町４－２１０　鈴木ビル３Ｆ</t>
    <rPh sb="0" eb="3">
      <t>オオミヤク</t>
    </rPh>
    <rPh sb="3" eb="6">
      <t>サクラギチョウ</t>
    </rPh>
    <rPh sb="12" eb="14">
      <t>スズキ</t>
    </rPh>
    <phoneticPr fontId="5"/>
  </si>
  <si>
    <t>048-640-2291</t>
  </si>
  <si>
    <t>048-640-2292</t>
  </si>
  <si>
    <t>ぽかぽかハウス</t>
  </si>
  <si>
    <t>大宮区上小町２２０</t>
    <rPh sb="0" eb="3">
      <t>オオミヤク</t>
    </rPh>
    <rPh sb="3" eb="6">
      <t>カミコチョウ</t>
    </rPh>
    <phoneticPr fontId="5"/>
  </si>
  <si>
    <t>330-0855</t>
  </si>
  <si>
    <t>048-745-9430</t>
  </si>
  <si>
    <t>048-745-9431</t>
  </si>
  <si>
    <t>048-796-5852</t>
  </si>
  <si>
    <t>048-796-5853</t>
  </si>
  <si>
    <t>浜崎1-3-6
ル・クール3階301号</t>
    <rPh sb="0" eb="2">
      <t>ハマサキ</t>
    </rPh>
    <rPh sb="14" eb="15">
      <t>カイ</t>
    </rPh>
    <rPh sb="18" eb="19">
      <t>ゴウ</t>
    </rPh>
    <phoneticPr fontId="2"/>
  </si>
  <si>
    <t>氷川町2104-6
篠ビル6F</t>
    <rPh sb="0" eb="3">
      <t>ヒカワチョウ</t>
    </rPh>
    <rPh sb="10" eb="11">
      <t>シノ</t>
    </rPh>
    <phoneticPr fontId="2"/>
  </si>
  <si>
    <t>048-999-5223</t>
    <phoneticPr fontId="2"/>
  </si>
  <si>
    <t>048-999-5655</t>
    <phoneticPr fontId="2"/>
  </si>
  <si>
    <t>草加駅から徒歩6分</t>
    <rPh sb="0" eb="3">
      <t>ソウカエキ</t>
    </rPh>
    <rPh sb="5" eb="7">
      <t>トホ</t>
    </rPh>
    <rPh sb="8" eb="9">
      <t>フン</t>
    </rPh>
    <phoneticPr fontId="2"/>
  </si>
  <si>
    <t>ＷＯＯＯＬＹ（株）</t>
    <rPh sb="6" eb="9">
      <t>カブ</t>
    </rPh>
    <phoneticPr fontId="2"/>
  </si>
  <si>
    <t>ウーリー戸田・蕨</t>
    <rPh sb="4" eb="6">
      <t>トダ</t>
    </rPh>
    <rPh sb="7" eb="8">
      <t>ワラビ</t>
    </rPh>
    <phoneticPr fontId="2"/>
  </si>
  <si>
    <t>中央6-15-13</t>
    <rPh sb="0" eb="2">
      <t>チュウオウ</t>
    </rPh>
    <phoneticPr fontId="2"/>
  </si>
  <si>
    <t>048-213-1454</t>
    <phoneticPr fontId="2"/>
  </si>
  <si>
    <t>048-213-1454</t>
  </si>
  <si>
    <t>JR京浜東北線蕨駅から徒歩21分</t>
    <rPh sb="2" eb="7">
      <t>ケイヒントウホクセン</t>
    </rPh>
    <rPh sb="7" eb="9">
      <t>ワラビエキ</t>
    </rPh>
    <rPh sb="11" eb="13">
      <t>トホ</t>
    </rPh>
    <rPh sb="15" eb="16">
      <t>フン</t>
    </rPh>
    <phoneticPr fontId="2"/>
  </si>
  <si>
    <t>ひまわり</t>
  </si>
  <si>
    <t>0495-22-0207</t>
  </si>
  <si>
    <t>0495-22-1425</t>
  </si>
  <si>
    <t>（同）こころのつばさ</t>
    <rPh sb="1" eb="2">
      <t>オナ</t>
    </rPh>
    <phoneticPr fontId="2"/>
  </si>
  <si>
    <t>（福）邑元会</t>
    <rPh sb="1" eb="2">
      <t>フク</t>
    </rPh>
    <rPh sb="3" eb="4">
      <t>ユウ</t>
    </rPh>
    <rPh sb="4" eb="5">
      <t>ゲン</t>
    </rPh>
    <rPh sb="5" eb="6">
      <t>カイ</t>
    </rPh>
    <phoneticPr fontId="5"/>
  </si>
  <si>
    <t>（株）チャレンジプラットフォーム</t>
    <rPh sb="1" eb="2">
      <t>カブ</t>
    </rPh>
    <phoneticPr fontId="5"/>
  </si>
  <si>
    <t>サニースポット大和田</t>
    <rPh sb="7" eb="10">
      <t>オオワダ</t>
    </rPh>
    <phoneticPr fontId="5"/>
  </si>
  <si>
    <t>337-0053</t>
  </si>
  <si>
    <t>048-796-5863</t>
  </si>
  <si>
    <t>048-796-5877</t>
  </si>
  <si>
    <t>東武アーバンパークライン大和田駅から徒歩3分</t>
    <rPh sb="0" eb="2">
      <t>トウブ</t>
    </rPh>
    <rPh sb="12" eb="15">
      <t>オオワダ</t>
    </rPh>
    <rPh sb="15" eb="16">
      <t>エキ</t>
    </rPh>
    <rPh sb="18" eb="20">
      <t>トホ</t>
    </rPh>
    <rPh sb="21" eb="22">
      <t>フン</t>
    </rPh>
    <phoneticPr fontId="2"/>
  </si>
  <si>
    <t>（株）アクセシブル</t>
  </si>
  <si>
    <t>アクセシブル北大宮</t>
    <rPh sb="6" eb="9">
      <t>キタオオミヤ</t>
    </rPh>
    <phoneticPr fontId="5"/>
  </si>
  <si>
    <t>北区東大成町１－６２６－１　野原ビル２階</t>
    <rPh sb="0" eb="2">
      <t>キタク</t>
    </rPh>
    <rPh sb="2" eb="6">
      <t>ヒガシオオナリチョウ</t>
    </rPh>
    <rPh sb="14" eb="16">
      <t>ノハラ</t>
    </rPh>
    <rPh sb="19" eb="20">
      <t>カイ</t>
    </rPh>
    <phoneticPr fontId="5"/>
  </si>
  <si>
    <t>048-871-5862</t>
  </si>
  <si>
    <t>048-871-5872</t>
  </si>
  <si>
    <t>東武アーバンパークライン北大宮駅から徒歩8分</t>
    <rPh sb="0" eb="2">
      <t>トウブ</t>
    </rPh>
    <rPh sb="12" eb="16">
      <t>キタオオミヤエキ</t>
    </rPh>
    <rPh sb="18" eb="20">
      <t>トホ</t>
    </rPh>
    <rPh sb="21" eb="22">
      <t>フン</t>
    </rPh>
    <phoneticPr fontId="2"/>
  </si>
  <si>
    <t>（特非）生涯学習コーディネート協会</t>
    <rPh sb="1" eb="2">
      <t>トク</t>
    </rPh>
    <rPh sb="2" eb="3">
      <t>ヒ</t>
    </rPh>
    <rPh sb="4" eb="6">
      <t>ショウガイ</t>
    </rPh>
    <rPh sb="6" eb="8">
      <t>ガクシュウ</t>
    </rPh>
    <rPh sb="15" eb="17">
      <t>キョウカイ</t>
    </rPh>
    <phoneticPr fontId="2"/>
  </si>
  <si>
    <t>キャリアプラス美蕾（みらい）</t>
    <rPh sb="7" eb="8">
      <t>ウツク</t>
    </rPh>
    <rPh sb="8" eb="9">
      <t>ツボミ</t>
    </rPh>
    <phoneticPr fontId="2"/>
  </si>
  <si>
    <t>（福）埼玉福祉事業協会</t>
    <rPh sb="1" eb="2">
      <t>フク</t>
    </rPh>
    <rPh sb="3" eb="9">
      <t>サイタマフクシジギョウ</t>
    </rPh>
    <rPh sb="9" eb="11">
      <t>キョウカイ</t>
    </rPh>
    <phoneticPr fontId="2"/>
  </si>
  <si>
    <t>すこやか倶楽部</t>
    <rPh sb="4" eb="7">
      <t>クラブ</t>
    </rPh>
    <phoneticPr fontId="2"/>
  </si>
  <si>
    <t>西区三橋５－１０１０（湯けむり横丁内）</t>
    <rPh sb="0" eb="2">
      <t>ニシク</t>
    </rPh>
    <rPh sb="2" eb="4">
      <t>ミハシ</t>
    </rPh>
    <rPh sb="11" eb="12">
      <t>ユ</t>
    </rPh>
    <rPh sb="15" eb="17">
      <t>ヨコチョウ</t>
    </rPh>
    <rPh sb="17" eb="18">
      <t>ナイ</t>
    </rPh>
    <phoneticPr fontId="2"/>
  </si>
  <si>
    <t>従たる事業所の追加(杉の子マート日進駅前店)
JR大宮駅から西武バスに乗り「三橋五丁目」下車徒歩1分</t>
    <rPh sb="0" eb="1">
      <t>ジュウ</t>
    </rPh>
    <rPh sb="3" eb="6">
      <t>ジギョウショ</t>
    </rPh>
    <rPh sb="7" eb="9">
      <t>ツイカ</t>
    </rPh>
    <rPh sb="10" eb="11">
      <t>スギ</t>
    </rPh>
    <rPh sb="20" eb="21">
      <t>ミセ</t>
    </rPh>
    <rPh sb="25" eb="28">
      <t>オオミヤエキ</t>
    </rPh>
    <rPh sb="35" eb="36">
      <t>ノ</t>
    </rPh>
    <rPh sb="44" eb="46">
      <t>ゲシャ</t>
    </rPh>
    <rPh sb="46" eb="48">
      <t>トホ</t>
    </rPh>
    <rPh sb="49" eb="50">
      <t>フン</t>
    </rPh>
    <phoneticPr fontId="2"/>
  </si>
  <si>
    <t>(福)皆の郷</t>
    <rPh sb="3" eb="4">
      <t>ミナ</t>
    </rPh>
    <rPh sb="5" eb="6">
      <t>ゴウ</t>
    </rPh>
    <phoneticPr fontId="28"/>
  </si>
  <si>
    <t>第４川越いもの子作業所</t>
    <rPh sb="0" eb="1">
      <t>ダイ</t>
    </rPh>
    <rPh sb="2" eb="4">
      <t>カワゴエ</t>
    </rPh>
    <rPh sb="7" eb="8">
      <t>コ</t>
    </rPh>
    <rPh sb="8" eb="11">
      <t>サギョウジョ</t>
    </rPh>
    <phoneticPr fontId="28"/>
  </si>
  <si>
    <t>川越市</t>
    <rPh sb="0" eb="3">
      <t>カワゴエシ</t>
    </rPh>
    <phoneticPr fontId="28"/>
  </si>
  <si>
    <t>石田156番1</t>
    <rPh sb="0" eb="2">
      <t>イシダ</t>
    </rPh>
    <rPh sb="5" eb="6">
      <t>バン</t>
    </rPh>
    <phoneticPr fontId="28"/>
  </si>
  <si>
    <t>350-0837</t>
  </si>
  <si>
    <t>049-224-0808</t>
  </si>
  <si>
    <t>049-298-5067</t>
  </si>
  <si>
    <t>東武東上線川越市駅から徒歩46分</t>
    <rPh sb="0" eb="2">
      <t>トウブ</t>
    </rPh>
    <rPh sb="2" eb="4">
      <t>トウジョウ</t>
    </rPh>
    <rPh sb="4" eb="5">
      <t>セン</t>
    </rPh>
    <rPh sb="5" eb="8">
      <t>カワゴエシ</t>
    </rPh>
    <rPh sb="8" eb="9">
      <t>エキ</t>
    </rPh>
    <rPh sb="11" eb="13">
      <t>トホ</t>
    </rPh>
    <rPh sb="15" eb="16">
      <t>フン</t>
    </rPh>
    <phoneticPr fontId="28"/>
  </si>
  <si>
    <t>スカイサービス</t>
  </si>
  <si>
    <t>三光町24-2　ウエルズ石山2号室</t>
    <rPh sb="0" eb="2">
      <t>サンコウ</t>
    </rPh>
    <rPh sb="2" eb="3">
      <t>チョウ</t>
    </rPh>
    <rPh sb="12" eb="14">
      <t>イシヤマ</t>
    </rPh>
    <rPh sb="15" eb="17">
      <t>ゴウシツ</t>
    </rPh>
    <phoneticPr fontId="28"/>
  </si>
  <si>
    <t>049-298-5661</t>
  </si>
  <si>
    <t>東武東上線川越市駅から徒歩10分</t>
    <rPh sb="11" eb="13">
      <t>トホ</t>
    </rPh>
    <rPh sb="15" eb="16">
      <t>フン</t>
    </rPh>
    <phoneticPr fontId="28"/>
  </si>
  <si>
    <t>（同）ＳＫＹ</t>
    <rPh sb="1" eb="2">
      <t>ドウ</t>
    </rPh>
    <phoneticPr fontId="28"/>
  </si>
  <si>
    <t>（株）アモル</t>
    <rPh sb="0" eb="3">
      <t>カブ</t>
    </rPh>
    <phoneticPr fontId="28"/>
  </si>
  <si>
    <t>霞ケ関東1-2-23kビル１階</t>
    <rPh sb="0" eb="1">
      <t>カスミ</t>
    </rPh>
    <rPh sb="2" eb="3">
      <t>セキ</t>
    </rPh>
    <rPh sb="3" eb="4">
      <t>ヒガシ</t>
    </rPh>
    <rPh sb="14" eb="15">
      <t>カイ</t>
    </rPh>
    <phoneticPr fontId="28"/>
  </si>
  <si>
    <t>霞ケ関駅から徒歩1分</t>
    <rPh sb="0" eb="1">
      <t>カスミ</t>
    </rPh>
    <rPh sb="2" eb="3">
      <t>セキ</t>
    </rPh>
    <rPh sb="3" eb="4">
      <t>エキ</t>
    </rPh>
    <rPh sb="6" eb="8">
      <t>トホ</t>
    </rPh>
    <rPh sb="9" eb="10">
      <t>フン</t>
    </rPh>
    <phoneticPr fontId="28"/>
  </si>
  <si>
    <t>FULCRUM（フルクラム）</t>
    <phoneticPr fontId="2"/>
  </si>
  <si>
    <t>カーサ・アミ</t>
  </si>
  <si>
    <t>川口市</t>
    <rPh sb="0" eb="3">
      <t>かわぐちし</t>
    </rPh>
    <phoneticPr fontId="16" type="Hiragana"/>
  </si>
  <si>
    <t>前川2-10-11　2Ｆ</t>
  </si>
  <si>
    <t>048-458-0993</t>
  </si>
  <si>
    <t>048-458-0994</t>
  </si>
  <si>
    <t>（バス）蕨駅東口から新井宿駅行き「天神前」下車、徒歩１分</t>
  </si>
  <si>
    <t>（株）クリオ</t>
    <rPh sb="0" eb="3">
      <t>カブ</t>
    </rPh>
    <phoneticPr fontId="2"/>
  </si>
  <si>
    <t>（株）plusA</t>
    <rPh sb="0" eb="3">
      <t>カブ</t>
    </rPh>
    <phoneticPr fontId="2"/>
  </si>
  <si>
    <t>就労継続支援Ｂ型事業所　アンビシャス</t>
    <rPh sb="0" eb="6">
      <t>シュウロウケイゾクシエン</t>
    </rPh>
    <rPh sb="7" eb="11">
      <t>ガタジギョウショ</t>
    </rPh>
    <phoneticPr fontId="2"/>
  </si>
  <si>
    <t>上尾市</t>
    <rPh sb="0" eb="2">
      <t>アゲオ</t>
    </rPh>
    <rPh sb="2" eb="3">
      <t>シ</t>
    </rPh>
    <phoneticPr fontId="2"/>
  </si>
  <si>
    <t>大字大谷本郷443-1</t>
    <rPh sb="0" eb="2">
      <t>オオアザ</t>
    </rPh>
    <rPh sb="2" eb="6">
      <t>オオヤホンゴウ</t>
    </rPh>
    <phoneticPr fontId="2"/>
  </si>
  <si>
    <t>048-780-7149</t>
    <phoneticPr fontId="2"/>
  </si>
  <si>
    <t>048-780-7150</t>
  </si>
  <si>
    <t>ＪＲ上尾駅西口から東武バス（埼玉医大総合医療センター行）「大谷小学校」下車徒歩7分</t>
    <rPh sb="2" eb="5">
      <t>アゲオエキ</t>
    </rPh>
    <rPh sb="5" eb="7">
      <t>ニシグチ</t>
    </rPh>
    <rPh sb="9" eb="11">
      <t>トウブ</t>
    </rPh>
    <rPh sb="14" eb="16">
      <t>サイタマ</t>
    </rPh>
    <rPh sb="16" eb="18">
      <t>イダイ</t>
    </rPh>
    <rPh sb="18" eb="20">
      <t>ソウゴウ</t>
    </rPh>
    <rPh sb="20" eb="22">
      <t>イリョウ</t>
    </rPh>
    <rPh sb="26" eb="27">
      <t>イキ</t>
    </rPh>
    <rPh sb="29" eb="31">
      <t>オオタニ</t>
    </rPh>
    <rPh sb="31" eb="34">
      <t>ショウガッコウ</t>
    </rPh>
    <rPh sb="35" eb="37">
      <t>ゲシャ</t>
    </rPh>
    <rPh sb="37" eb="39">
      <t>トホ</t>
    </rPh>
    <rPh sb="40" eb="41">
      <t>ブン</t>
    </rPh>
    <phoneticPr fontId="2"/>
  </si>
  <si>
    <t>（特非）こころのおと</t>
    <rPh sb="1" eb="2">
      <t>トク</t>
    </rPh>
    <rPh sb="2" eb="3">
      <t>ヒ</t>
    </rPh>
    <phoneticPr fontId="2"/>
  </si>
  <si>
    <t>あすもっと</t>
    <phoneticPr fontId="2"/>
  </si>
  <si>
    <t>松原1-3-7</t>
    <rPh sb="0" eb="2">
      <t>マツバラ</t>
    </rPh>
    <phoneticPr fontId="2"/>
  </si>
  <si>
    <t>365-0042</t>
    <phoneticPr fontId="2"/>
  </si>
  <si>
    <t>048-598-7042</t>
    <phoneticPr fontId="2"/>
  </si>
  <si>
    <t>048-598-7043</t>
  </si>
  <si>
    <t>鴻巣駅西口から鴻巣市コミュニティーバス「フラワー号」馬室コース「大栄一号公園」下車徒歩1分</t>
    <rPh sb="0" eb="2">
      <t>コウノス</t>
    </rPh>
    <rPh sb="2" eb="3">
      <t>エキ</t>
    </rPh>
    <rPh sb="3" eb="5">
      <t>ニシグチ</t>
    </rPh>
    <rPh sb="7" eb="10">
      <t>コウノスシ</t>
    </rPh>
    <rPh sb="24" eb="25">
      <t>ゴウ</t>
    </rPh>
    <rPh sb="26" eb="27">
      <t>ウマ</t>
    </rPh>
    <rPh sb="27" eb="28">
      <t>ムロ</t>
    </rPh>
    <rPh sb="32" eb="34">
      <t>ダイエイ</t>
    </rPh>
    <rPh sb="34" eb="36">
      <t>イチゴウ</t>
    </rPh>
    <rPh sb="36" eb="38">
      <t>コウエン</t>
    </rPh>
    <rPh sb="39" eb="41">
      <t>ゲシャ</t>
    </rPh>
    <rPh sb="41" eb="43">
      <t>トホ</t>
    </rPh>
    <rPh sb="44" eb="45">
      <t>ブン</t>
    </rPh>
    <phoneticPr fontId="2"/>
  </si>
  <si>
    <t>（株）ファルムＹ</t>
    <rPh sb="0" eb="3">
      <t>カブ</t>
    </rPh>
    <phoneticPr fontId="2"/>
  </si>
  <si>
    <t>アシストワーク　あおぞら</t>
    <phoneticPr fontId="2"/>
  </si>
  <si>
    <t>愛宕1-16-14</t>
    <rPh sb="0" eb="2">
      <t>アタゴ</t>
    </rPh>
    <phoneticPr fontId="2"/>
  </si>
  <si>
    <t>362-0034</t>
    <phoneticPr fontId="2"/>
  </si>
  <si>
    <t>048-771-0059</t>
    <phoneticPr fontId="2"/>
  </si>
  <si>
    <t>048-774-9443</t>
    <phoneticPr fontId="2"/>
  </si>
  <si>
    <t>ＪＲ上尾駅より徒歩5分</t>
    <rPh sb="2" eb="5">
      <t>アゲオエキ</t>
    </rPh>
    <rPh sb="7" eb="9">
      <t>トホ</t>
    </rPh>
    <rPh sb="10" eb="11">
      <t>フン</t>
    </rPh>
    <phoneticPr fontId="2"/>
  </si>
  <si>
    <t>（株）チャレジョブ</t>
    <rPh sb="0" eb="3">
      <t>カブ</t>
    </rPh>
    <phoneticPr fontId="2"/>
  </si>
  <si>
    <t>yours</t>
    <phoneticPr fontId="2"/>
  </si>
  <si>
    <t>神明3-3-11</t>
    <rPh sb="0" eb="2">
      <t>シンメイ</t>
    </rPh>
    <phoneticPr fontId="2"/>
  </si>
  <si>
    <t>365-0074</t>
    <phoneticPr fontId="2"/>
  </si>
  <si>
    <t>048-538-4538</t>
    <phoneticPr fontId="2"/>
  </si>
  <si>
    <t>048-538-4538</t>
  </si>
  <si>
    <t>鴻巣駅から徒歩23分
※共同生活援助との併設</t>
    <rPh sb="0" eb="2">
      <t>コウノス</t>
    </rPh>
    <rPh sb="2" eb="3">
      <t>エキ</t>
    </rPh>
    <rPh sb="5" eb="7">
      <t>トホ</t>
    </rPh>
    <rPh sb="9" eb="10">
      <t>ブン</t>
    </rPh>
    <rPh sb="12" eb="18">
      <t>キョウドウセイカツエンジョ</t>
    </rPh>
    <rPh sb="20" eb="22">
      <t>ヘイセツ</t>
    </rPh>
    <phoneticPr fontId="2"/>
  </si>
  <si>
    <t>（特非）はなみずき</t>
    <rPh sb="1" eb="2">
      <t>トク</t>
    </rPh>
    <rPh sb="2" eb="3">
      <t>ヒ</t>
    </rPh>
    <phoneticPr fontId="2"/>
  </si>
  <si>
    <t>もみじ寮</t>
    <rPh sb="3" eb="4">
      <t>リョウ</t>
    </rPh>
    <phoneticPr fontId="2"/>
  </si>
  <si>
    <t>新座二丁目1-20
むさしの102・202</t>
    <rPh sb="0" eb="2">
      <t>ニイザ</t>
    </rPh>
    <rPh sb="2" eb="5">
      <t>ニチョウメ</t>
    </rPh>
    <phoneticPr fontId="2"/>
  </si>
  <si>
    <t>090-6110-6966</t>
    <phoneticPr fontId="2"/>
  </si>
  <si>
    <t>048-278-4951</t>
    <phoneticPr fontId="2"/>
  </si>
  <si>
    <t>志木駅から新座団地行バス「新座団地入口」下車後徒歩２分</t>
    <rPh sb="0" eb="3">
      <t>シキエキ</t>
    </rPh>
    <rPh sb="5" eb="7">
      <t>ニイザ</t>
    </rPh>
    <rPh sb="7" eb="9">
      <t>ダンチ</t>
    </rPh>
    <rPh sb="9" eb="10">
      <t>イキ</t>
    </rPh>
    <rPh sb="13" eb="15">
      <t>ニイザ</t>
    </rPh>
    <rPh sb="15" eb="17">
      <t>ダンチ</t>
    </rPh>
    <rPh sb="17" eb="19">
      <t>イリグチ</t>
    </rPh>
    <rPh sb="20" eb="22">
      <t>ゲシャ</t>
    </rPh>
    <rPh sb="22" eb="23">
      <t>ゴ</t>
    </rPh>
    <rPh sb="23" eb="25">
      <t>トホ</t>
    </rPh>
    <rPh sb="26" eb="27">
      <t>フン</t>
    </rPh>
    <phoneticPr fontId="2"/>
  </si>
  <si>
    <t>（特非）ひまわりの家</t>
    <rPh sb="1" eb="2">
      <t>トク</t>
    </rPh>
    <rPh sb="2" eb="3">
      <t>ヒ</t>
    </rPh>
    <rPh sb="9" eb="10">
      <t>イエ</t>
    </rPh>
    <phoneticPr fontId="2"/>
  </si>
  <si>
    <t>ケアホームひまわり</t>
    <phoneticPr fontId="2"/>
  </si>
  <si>
    <t>戸ヶ崎字大道西2362-1</t>
    <rPh sb="0" eb="3">
      <t>トガサキ</t>
    </rPh>
    <rPh sb="3" eb="4">
      <t>アザ</t>
    </rPh>
    <rPh sb="4" eb="6">
      <t>ダイドウ</t>
    </rPh>
    <rPh sb="6" eb="7">
      <t>ニシ</t>
    </rPh>
    <phoneticPr fontId="2"/>
  </si>
  <si>
    <t>048-955-2352</t>
    <phoneticPr fontId="2"/>
  </si>
  <si>
    <t>つくばエクスプレス三郷中央駅から徒歩34分</t>
    <rPh sb="9" eb="11">
      <t>ミサト</t>
    </rPh>
    <rPh sb="11" eb="13">
      <t>チュウオウ</t>
    </rPh>
    <rPh sb="13" eb="14">
      <t>エキ</t>
    </rPh>
    <rPh sb="16" eb="18">
      <t>トホ</t>
    </rPh>
    <rPh sb="20" eb="21">
      <t>フン</t>
    </rPh>
    <phoneticPr fontId="2"/>
  </si>
  <si>
    <t>粕壁東1-2-19 玄養ﾋﾞﾙ201</t>
    <rPh sb="0" eb="2">
      <t>カスカベ</t>
    </rPh>
    <rPh sb="2" eb="3">
      <t>ヒガシ</t>
    </rPh>
    <rPh sb="10" eb="11">
      <t>ゲン</t>
    </rPh>
    <rPh sb="11" eb="12">
      <t>ヤシナ</t>
    </rPh>
    <phoneticPr fontId="2"/>
  </si>
  <si>
    <t>はなもも</t>
    <phoneticPr fontId="2"/>
  </si>
  <si>
    <t>伊勢野306</t>
    <rPh sb="0" eb="3">
      <t>イセノ</t>
    </rPh>
    <phoneticPr fontId="2"/>
  </si>
  <si>
    <t>340-0821</t>
    <phoneticPr fontId="2"/>
  </si>
  <si>
    <t>048-951-1443</t>
    <phoneticPr fontId="2"/>
  </si>
  <si>
    <t>八潮駅から徒歩20分</t>
    <rPh sb="0" eb="2">
      <t>ヤシオ</t>
    </rPh>
    <rPh sb="2" eb="3">
      <t>エキ</t>
    </rPh>
    <rPh sb="5" eb="7">
      <t>トホ</t>
    </rPh>
    <rPh sb="9" eb="10">
      <t>フン</t>
    </rPh>
    <phoneticPr fontId="2"/>
  </si>
  <si>
    <t>緑町2-14-6</t>
    <rPh sb="0" eb="2">
      <t>ミドリチョウ</t>
    </rPh>
    <phoneticPr fontId="2"/>
  </si>
  <si>
    <t>せんげん台「世一緒」</t>
    <rPh sb="4" eb="5">
      <t>ダイ</t>
    </rPh>
    <rPh sb="6" eb="9">
      <t>ヨイッショ</t>
    </rPh>
    <phoneticPr fontId="2"/>
  </si>
  <si>
    <t>千間台西3-1-16</t>
    <rPh sb="0" eb="3">
      <t>センゲンダイ</t>
    </rPh>
    <rPh sb="3" eb="4">
      <t>ニシ</t>
    </rPh>
    <phoneticPr fontId="2"/>
  </si>
  <si>
    <t>048-971-8038</t>
    <phoneticPr fontId="2"/>
  </si>
  <si>
    <t>東武スカイツリーラインせんげん台駅徒歩6分</t>
    <rPh sb="0" eb="2">
      <t>トウブ</t>
    </rPh>
    <rPh sb="15" eb="16">
      <t>ダイ</t>
    </rPh>
    <rPh sb="16" eb="17">
      <t>エキ</t>
    </rPh>
    <rPh sb="17" eb="19">
      <t>トホ</t>
    </rPh>
    <rPh sb="20" eb="21">
      <t>フン</t>
    </rPh>
    <phoneticPr fontId="2"/>
  </si>
  <si>
    <t>343-0822</t>
  </si>
  <si>
    <t>048-940-8653</t>
  </si>
  <si>
    <t>就労移行支援事業所リンクス新越谷</t>
    <rPh sb="0" eb="2">
      <t>シュウロウ</t>
    </rPh>
    <rPh sb="2" eb="4">
      <t>イコウ</t>
    </rPh>
    <rPh sb="4" eb="6">
      <t>シエン</t>
    </rPh>
    <rPh sb="6" eb="9">
      <t>ジギョウショ</t>
    </rPh>
    <rPh sb="13" eb="14">
      <t>シン</t>
    </rPh>
    <rPh sb="14" eb="16">
      <t>コシガヤ</t>
    </rPh>
    <phoneticPr fontId="2"/>
  </si>
  <si>
    <t>南越谷4-17-5ラメールヘライビル１Ｆ</t>
    <phoneticPr fontId="2"/>
  </si>
  <si>
    <t>048-940-8895</t>
    <phoneticPr fontId="2"/>
  </si>
  <si>
    <t>048-940-8896</t>
    <phoneticPr fontId="2"/>
  </si>
  <si>
    <t>東武スカイツリーライン新越谷駅・ＪＲ武蔵野線南越谷駅徒歩4分</t>
    <rPh sb="0" eb="2">
      <t>トウブ</t>
    </rPh>
    <rPh sb="11" eb="12">
      <t>シン</t>
    </rPh>
    <rPh sb="12" eb="14">
      <t>コシガヤ</t>
    </rPh>
    <rPh sb="14" eb="15">
      <t>エキ</t>
    </rPh>
    <rPh sb="18" eb="22">
      <t>ムサシノセン</t>
    </rPh>
    <rPh sb="22" eb="26">
      <t>ミナミコシガヤエキ</t>
    </rPh>
    <rPh sb="26" eb="28">
      <t>トホ</t>
    </rPh>
    <rPh sb="29" eb="30">
      <t>フン</t>
    </rPh>
    <phoneticPr fontId="2"/>
  </si>
  <si>
    <t>336-0931</t>
  </si>
  <si>
    <t>048-799-2293</t>
  </si>
  <si>
    <t>048-799-2294</t>
  </si>
  <si>
    <t>大宮区大成町３－５１３　セブンビル２Ｆ</t>
    <rPh sb="0" eb="2">
      <t>オオミヤ</t>
    </rPh>
    <rPh sb="2" eb="3">
      <t>ク</t>
    </rPh>
    <rPh sb="3" eb="6">
      <t>オオナリチョウ</t>
    </rPh>
    <phoneticPr fontId="5"/>
  </si>
  <si>
    <t>048-606-3090</t>
  </si>
  <si>
    <t>048-657-8017</t>
  </si>
  <si>
    <t>ニューシャトル鉄道博物館駅から徒歩５分</t>
    <rPh sb="7" eb="12">
      <t>テツドウハクブツカン</t>
    </rPh>
    <rPh sb="12" eb="13">
      <t>エキ</t>
    </rPh>
    <rPh sb="15" eb="17">
      <t>トホ</t>
    </rPh>
    <rPh sb="18" eb="19">
      <t>フン</t>
    </rPh>
    <phoneticPr fontId="2"/>
  </si>
  <si>
    <t>ウーリー上尾</t>
    <rPh sb="4" eb="6">
      <t>アゲオ</t>
    </rPh>
    <phoneticPr fontId="2"/>
  </si>
  <si>
    <t>愛宕1-16-13 ルミエール上尾601号</t>
    <rPh sb="0" eb="2">
      <t>アタゴ</t>
    </rPh>
    <rPh sb="15" eb="17">
      <t>アゲオ</t>
    </rPh>
    <rPh sb="20" eb="21">
      <t>ゴウ</t>
    </rPh>
    <phoneticPr fontId="2"/>
  </si>
  <si>
    <t>048-671-3708</t>
    <phoneticPr fontId="2"/>
  </si>
  <si>
    <t>048-671-3708</t>
  </si>
  <si>
    <t>JR上尾駅から徒歩7分</t>
    <rPh sb="2" eb="4">
      <t>アゲオ</t>
    </rPh>
    <rPh sb="4" eb="5">
      <t>エキ</t>
    </rPh>
    <rPh sb="7" eb="9">
      <t>トホ</t>
    </rPh>
    <rPh sb="10" eb="11">
      <t>フン</t>
    </rPh>
    <phoneticPr fontId="2"/>
  </si>
  <si>
    <t>（株）ＮＳＢ</t>
    <rPh sb="1" eb="2">
      <t>カブ</t>
    </rPh>
    <phoneticPr fontId="2"/>
  </si>
  <si>
    <t>ＮＳＢ</t>
    <phoneticPr fontId="2"/>
  </si>
  <si>
    <t>人形1-7-39</t>
    <rPh sb="0" eb="2">
      <t>ニンギョウ</t>
    </rPh>
    <phoneticPr fontId="2"/>
  </si>
  <si>
    <t>365-0037</t>
    <phoneticPr fontId="2"/>
  </si>
  <si>
    <t>048-542-9571</t>
    <phoneticPr fontId="2"/>
  </si>
  <si>
    <t>048-542-9571</t>
  </si>
  <si>
    <t>鴻巣駅から徒歩19分</t>
    <rPh sb="0" eb="2">
      <t>コウノス</t>
    </rPh>
    <rPh sb="2" eb="3">
      <t>エキ</t>
    </rPh>
    <rPh sb="5" eb="7">
      <t>トホ</t>
    </rPh>
    <rPh sb="9" eb="10">
      <t>ブン</t>
    </rPh>
    <phoneticPr fontId="2"/>
  </si>
  <si>
    <t>（福)はぐくむ会</t>
    <rPh sb="1" eb="2">
      <t>フク</t>
    </rPh>
    <rPh sb="7" eb="8">
      <t>カイ</t>
    </rPh>
    <phoneticPr fontId="2"/>
  </si>
  <si>
    <t>はぐくみデイサービスセンター</t>
    <phoneticPr fontId="2"/>
  </si>
  <si>
    <t>末野527-1</t>
    <rPh sb="0" eb="2">
      <t>スエノ</t>
    </rPh>
    <phoneticPr fontId="2"/>
  </si>
  <si>
    <t>369-1205</t>
    <phoneticPr fontId="2"/>
  </si>
  <si>
    <t>048-581-0055</t>
    <phoneticPr fontId="2"/>
  </si>
  <si>
    <t>048-581-0066</t>
    <phoneticPr fontId="2"/>
  </si>
  <si>
    <t>秩父鉄道波久礼駅より車で3分
※共生型</t>
    <rPh sb="0" eb="4">
      <t>チチブテツドウ</t>
    </rPh>
    <rPh sb="4" eb="5">
      <t>ナミ</t>
    </rPh>
    <rPh sb="5" eb="6">
      <t>ヒサ</t>
    </rPh>
    <rPh sb="6" eb="7">
      <t>レイ</t>
    </rPh>
    <rPh sb="7" eb="8">
      <t>エキ</t>
    </rPh>
    <rPh sb="10" eb="11">
      <t>クルマ</t>
    </rPh>
    <rPh sb="13" eb="14">
      <t>ブン</t>
    </rPh>
    <rPh sb="16" eb="19">
      <t>キョウセイガタ</t>
    </rPh>
    <phoneticPr fontId="2"/>
  </si>
  <si>
    <t>おりひめ</t>
    <phoneticPr fontId="2"/>
  </si>
  <si>
    <t>（株）Waiwai housing</t>
    <rPh sb="1" eb="2">
      <t>カブ</t>
    </rPh>
    <phoneticPr fontId="2"/>
  </si>
  <si>
    <t>グループホームデイジー若山</t>
    <rPh sb="11" eb="13">
      <t>ワカヤマ</t>
    </rPh>
    <phoneticPr fontId="2"/>
  </si>
  <si>
    <t>若山1丁目55-16、55-5</t>
    <rPh sb="0" eb="2">
      <t>ワカヤマ</t>
    </rPh>
    <rPh sb="3" eb="5">
      <t>チョウメ</t>
    </rPh>
    <phoneticPr fontId="2"/>
  </si>
  <si>
    <t>350-0462</t>
    <phoneticPr fontId="2"/>
  </si>
  <si>
    <t>049-295-4660</t>
    <phoneticPr fontId="2"/>
  </si>
  <si>
    <t>049-298-4617</t>
    <phoneticPr fontId="2"/>
  </si>
  <si>
    <t>武州長瀬駅北口から徒歩8分</t>
    <rPh sb="0" eb="2">
      <t>ブシュウ</t>
    </rPh>
    <rPh sb="2" eb="4">
      <t>ナガセ</t>
    </rPh>
    <rPh sb="4" eb="5">
      <t>エキ</t>
    </rPh>
    <rPh sb="5" eb="6">
      <t>キタ</t>
    </rPh>
    <rPh sb="6" eb="7">
      <t>クチ</t>
    </rPh>
    <rPh sb="9" eb="11">
      <t>トホ</t>
    </rPh>
    <rPh sb="12" eb="13">
      <t>フン</t>
    </rPh>
    <phoneticPr fontId="2"/>
  </si>
  <si>
    <t>くすのき台1-2-1
エーワンビル2階</t>
    <rPh sb="4" eb="5">
      <t>ダイ</t>
    </rPh>
    <rPh sb="18" eb="19">
      <t>カイ</t>
    </rPh>
    <phoneticPr fontId="2"/>
  </si>
  <si>
    <t>04-2968-6926</t>
    <phoneticPr fontId="2"/>
  </si>
  <si>
    <t>04-2968-6927</t>
    <phoneticPr fontId="2"/>
  </si>
  <si>
    <t>西部新宿線・池袋線所沢駅から徒歩2分</t>
    <rPh sb="0" eb="2">
      <t>セイブ</t>
    </rPh>
    <rPh sb="2" eb="5">
      <t>シンジュクセン</t>
    </rPh>
    <rPh sb="6" eb="8">
      <t>イケブクロ</t>
    </rPh>
    <rPh sb="8" eb="9">
      <t>セン</t>
    </rPh>
    <rPh sb="9" eb="11">
      <t>トコロザワ</t>
    </rPh>
    <rPh sb="11" eb="12">
      <t>エキ</t>
    </rPh>
    <rPh sb="14" eb="16">
      <t>トホ</t>
    </rPh>
    <rPh sb="17" eb="18">
      <t>フン</t>
    </rPh>
    <phoneticPr fontId="2"/>
  </si>
  <si>
    <t>（一社）虹のち晴れ</t>
    <rPh sb="1" eb="3">
      <t>イッシャ</t>
    </rPh>
    <rPh sb="4" eb="5">
      <t>ニジ</t>
    </rPh>
    <rPh sb="7" eb="8">
      <t>ハ</t>
    </rPh>
    <phoneticPr fontId="2"/>
  </si>
  <si>
    <t>Pinton</t>
    <phoneticPr fontId="2"/>
  </si>
  <si>
    <t>並木8-1-6-115.116.117</t>
    <rPh sb="0" eb="2">
      <t>ナミキ</t>
    </rPh>
    <phoneticPr fontId="2"/>
  </si>
  <si>
    <t>359-0042</t>
    <phoneticPr fontId="2"/>
  </si>
  <si>
    <t>04-2941-2841</t>
    <phoneticPr fontId="2"/>
  </si>
  <si>
    <t>航空公園駅から「並木通り団地行き」バスで「並木通り団地」下車徒歩１分</t>
    <rPh sb="0" eb="2">
      <t>コウクウ</t>
    </rPh>
    <rPh sb="2" eb="5">
      <t>コウエンエキ</t>
    </rPh>
    <rPh sb="8" eb="10">
      <t>ナミキ</t>
    </rPh>
    <rPh sb="10" eb="11">
      <t>ドオ</t>
    </rPh>
    <rPh sb="12" eb="14">
      <t>ダンチ</t>
    </rPh>
    <rPh sb="14" eb="15">
      <t>イキ</t>
    </rPh>
    <rPh sb="21" eb="23">
      <t>ナミキ</t>
    </rPh>
    <rPh sb="23" eb="24">
      <t>ドオ</t>
    </rPh>
    <rPh sb="25" eb="27">
      <t>ダンチ</t>
    </rPh>
    <rPh sb="28" eb="30">
      <t>ゲシャ</t>
    </rPh>
    <rPh sb="30" eb="32">
      <t>トホ</t>
    </rPh>
    <rPh sb="33" eb="34">
      <t>フン</t>
    </rPh>
    <phoneticPr fontId="2"/>
  </si>
  <si>
    <t>春日部市中央8-8-40</t>
    <rPh sb="0" eb="4">
      <t>カスカベシ</t>
    </rPh>
    <rPh sb="4" eb="6">
      <t>チュウオウ</t>
    </rPh>
    <phoneticPr fontId="2"/>
  </si>
  <si>
    <t>春日部駅西口から徒歩20分</t>
    <rPh sb="0" eb="3">
      <t>カスカベ</t>
    </rPh>
    <rPh sb="3" eb="4">
      <t>エキ</t>
    </rPh>
    <rPh sb="4" eb="6">
      <t>ニシグチ</t>
    </rPh>
    <rPh sb="8" eb="10">
      <t>トホ</t>
    </rPh>
    <rPh sb="12" eb="13">
      <t>フン</t>
    </rPh>
    <phoneticPr fontId="2"/>
  </si>
  <si>
    <t>（株）objective</t>
    <rPh sb="1" eb="2">
      <t>カブ</t>
    </rPh>
    <phoneticPr fontId="2"/>
  </si>
  <si>
    <t>生活介護事業所　よりみち</t>
    <rPh sb="0" eb="2">
      <t>セイカツ</t>
    </rPh>
    <rPh sb="2" eb="4">
      <t>カイゴ</t>
    </rPh>
    <rPh sb="4" eb="6">
      <t>ジギョウ</t>
    </rPh>
    <rPh sb="6" eb="7">
      <t>ショ</t>
    </rPh>
    <phoneticPr fontId="2"/>
  </si>
  <si>
    <t>川野75-2</t>
    <rPh sb="0" eb="2">
      <t>カワノ</t>
    </rPh>
    <phoneticPr fontId="2"/>
  </si>
  <si>
    <t>342-0051</t>
    <phoneticPr fontId="2"/>
  </si>
  <si>
    <t>048-972-6922</t>
    <phoneticPr fontId="2"/>
  </si>
  <si>
    <t>048-972-6923</t>
    <phoneticPr fontId="2"/>
  </si>
  <si>
    <t>吉川駅から車で10分</t>
    <rPh sb="0" eb="2">
      <t>ヨシカワ</t>
    </rPh>
    <rPh sb="2" eb="3">
      <t>エキ</t>
    </rPh>
    <rPh sb="5" eb="6">
      <t>クルマ</t>
    </rPh>
    <rPh sb="9" eb="10">
      <t>フン</t>
    </rPh>
    <phoneticPr fontId="2"/>
  </si>
  <si>
    <t>（特非）やまぶき</t>
    <rPh sb="1" eb="2">
      <t>トク</t>
    </rPh>
    <rPh sb="2" eb="3">
      <t>ヒ</t>
    </rPh>
    <phoneticPr fontId="2"/>
  </si>
  <si>
    <t>やまぶき</t>
    <phoneticPr fontId="2"/>
  </si>
  <si>
    <t>蓮田5-135</t>
    <rPh sb="0" eb="2">
      <t>ハスダ</t>
    </rPh>
    <phoneticPr fontId="2"/>
  </si>
  <si>
    <t>349-0115</t>
    <phoneticPr fontId="2"/>
  </si>
  <si>
    <t>048-769-2836</t>
    <phoneticPr fontId="2"/>
  </si>
  <si>
    <t>蓮田駅から徒歩19分</t>
    <rPh sb="0" eb="2">
      <t>ハスダ</t>
    </rPh>
    <rPh sb="2" eb="3">
      <t>エキ</t>
    </rPh>
    <rPh sb="5" eb="7">
      <t>トホ</t>
    </rPh>
    <rPh sb="9" eb="10">
      <t>フン</t>
    </rPh>
    <phoneticPr fontId="2"/>
  </si>
  <si>
    <t>かぞ花崎キャリアセンター</t>
    <rPh sb="2" eb="4">
      <t>ハナサキ</t>
    </rPh>
    <phoneticPr fontId="2"/>
  </si>
  <si>
    <t>花崎北1-18-2</t>
    <rPh sb="0" eb="2">
      <t>ハナサキ</t>
    </rPh>
    <rPh sb="2" eb="3">
      <t>キタ</t>
    </rPh>
    <phoneticPr fontId="2"/>
  </si>
  <si>
    <t>347-0016</t>
    <phoneticPr fontId="2"/>
  </si>
  <si>
    <t>0480-47-0378</t>
    <phoneticPr fontId="2"/>
  </si>
  <si>
    <t>0480-47-0379</t>
    <phoneticPr fontId="2"/>
  </si>
  <si>
    <t>花崎駅徒歩1分</t>
    <rPh sb="0" eb="2">
      <t>ハナサキ</t>
    </rPh>
    <rPh sb="2" eb="3">
      <t>エキ</t>
    </rPh>
    <rPh sb="3" eb="5">
      <t>トホ</t>
    </rPh>
    <rPh sb="6" eb="7">
      <t>フン</t>
    </rPh>
    <phoneticPr fontId="2"/>
  </si>
  <si>
    <t>Studio Nagi</t>
  </si>
  <si>
    <t>大宮区三橋４－１０８－１１</t>
  </si>
  <si>
    <t>330-0856</t>
  </si>
  <si>
    <t>048-783-2801</t>
  </si>
  <si>
    <t>048-611-7674</t>
  </si>
  <si>
    <t>大宮駅西口から西武バスにて「三橋２丁目」下車徒歩１０分　</t>
    <rPh sb="0" eb="2">
      <t>オオミヤ</t>
    </rPh>
    <rPh sb="3" eb="5">
      <t>ニシグチ</t>
    </rPh>
    <rPh sb="14" eb="16">
      <t>ミハシ</t>
    </rPh>
    <rPh sb="17" eb="19">
      <t>チョウメ</t>
    </rPh>
    <phoneticPr fontId="2"/>
  </si>
  <si>
    <t>（株）東日本ユニバーサル</t>
    <rPh sb="1" eb="2">
      <t>カブ</t>
    </rPh>
    <rPh sb="3" eb="4">
      <t>ヒガシ</t>
    </rPh>
    <rPh sb="4" eb="6">
      <t>ニホン</t>
    </rPh>
    <phoneticPr fontId="5"/>
  </si>
  <si>
    <t>就労定着支援事業所カルディア</t>
    <rPh sb="0" eb="2">
      <t>シュウロウ</t>
    </rPh>
    <rPh sb="2" eb="4">
      <t>テイチャク</t>
    </rPh>
    <rPh sb="4" eb="6">
      <t>シエン</t>
    </rPh>
    <rPh sb="6" eb="9">
      <t>ジギョウショ</t>
    </rPh>
    <phoneticPr fontId="2"/>
  </si>
  <si>
    <t>048-971-9781</t>
    <phoneticPr fontId="2"/>
  </si>
  <si>
    <t>048-971-9783</t>
    <phoneticPr fontId="2"/>
  </si>
  <si>
    <t>Cocorport南越谷駅前Office</t>
    <rPh sb="9" eb="14">
      <t>ミナミコシガヤエキマエ</t>
    </rPh>
    <phoneticPr fontId="2"/>
  </si>
  <si>
    <t>南越谷1-20-6 高木ビル5F</t>
    <rPh sb="10" eb="12">
      <t>タカギ</t>
    </rPh>
    <phoneticPr fontId="2"/>
  </si>
  <si>
    <t>東武スカイツリーライン新越谷駅・ＪＲ武蔵野線南越谷駅徒歩2分</t>
    <rPh sb="0" eb="2">
      <t>トウブ</t>
    </rPh>
    <rPh sb="11" eb="12">
      <t>シン</t>
    </rPh>
    <rPh sb="12" eb="14">
      <t>コシガヤ</t>
    </rPh>
    <rPh sb="14" eb="15">
      <t>エキ</t>
    </rPh>
    <rPh sb="18" eb="22">
      <t>ムサシノセン</t>
    </rPh>
    <rPh sb="22" eb="26">
      <t>ミナミコシガヤエキ</t>
    </rPh>
    <rPh sb="26" eb="28">
      <t>トホ</t>
    </rPh>
    <rPh sb="29" eb="30">
      <t>フン</t>
    </rPh>
    <phoneticPr fontId="2"/>
  </si>
  <si>
    <t>ウーリー北越谷</t>
  </si>
  <si>
    <t>北越谷2-38-32五十嵐ビル2階</t>
  </si>
  <si>
    <t>343-0026</t>
  </si>
  <si>
    <t>048-947-9963</t>
  </si>
  <si>
    <t>東武スカイツリーライン北越谷駅徒歩5分</t>
    <rPh sb="0" eb="2">
      <t>トウブ</t>
    </rPh>
    <rPh sb="11" eb="12">
      <t>キタ</t>
    </rPh>
    <rPh sb="12" eb="14">
      <t>コシガヤ</t>
    </rPh>
    <rPh sb="14" eb="15">
      <t>エキ</t>
    </rPh>
    <rPh sb="15" eb="17">
      <t>トホ</t>
    </rPh>
    <rPh sb="18" eb="19">
      <t>フン</t>
    </rPh>
    <phoneticPr fontId="2"/>
  </si>
  <si>
    <t>332-0021</t>
  </si>
  <si>
    <t>ＷＯＯＯＬＹ(株)</t>
    <phoneticPr fontId="2"/>
  </si>
  <si>
    <t>（株）モードファイブ</t>
    <rPh sb="1" eb="2">
      <t>カブ</t>
    </rPh>
    <phoneticPr fontId="2"/>
  </si>
  <si>
    <t>aloha入間センター</t>
    <rPh sb="5" eb="7">
      <t>イルマ</t>
    </rPh>
    <phoneticPr fontId="2"/>
  </si>
  <si>
    <t>豊岡1-5-34</t>
    <rPh sb="0" eb="2">
      <t>トヨオカ</t>
    </rPh>
    <phoneticPr fontId="2"/>
  </si>
  <si>
    <t>04-2937-5898</t>
    <phoneticPr fontId="2"/>
  </si>
  <si>
    <t>04-2937-5899</t>
    <phoneticPr fontId="2"/>
  </si>
  <si>
    <t>入間市駅から徒歩7分</t>
    <rPh sb="0" eb="3">
      <t>イルマシ</t>
    </rPh>
    <rPh sb="3" eb="4">
      <t>エキ</t>
    </rPh>
    <rPh sb="6" eb="8">
      <t>トホ</t>
    </rPh>
    <rPh sb="9" eb="10">
      <t>フン</t>
    </rPh>
    <phoneticPr fontId="2"/>
  </si>
  <si>
    <t>防災育成センター（同）</t>
    <rPh sb="0" eb="2">
      <t>ボウサイイ</t>
    </rPh>
    <rPh sb="2" eb="4">
      <t>クセイ</t>
    </rPh>
    <rPh sb="9" eb="10">
      <t>ドウ</t>
    </rPh>
    <phoneticPr fontId="2"/>
  </si>
  <si>
    <t>ライフディフェンス希望　短期入所</t>
    <rPh sb="9" eb="11">
      <t>キボウ</t>
    </rPh>
    <rPh sb="12" eb="14">
      <t>タンキ</t>
    </rPh>
    <rPh sb="14" eb="16">
      <t>ニュウショ</t>
    </rPh>
    <phoneticPr fontId="2"/>
  </si>
  <si>
    <t>備後東7-19-26</t>
    <rPh sb="0" eb="3">
      <t>ビンゴヒガシ</t>
    </rPh>
    <phoneticPr fontId="2"/>
  </si>
  <si>
    <t>344-0032</t>
    <phoneticPr fontId="2"/>
  </si>
  <si>
    <t>070-3818-5271</t>
    <phoneticPr fontId="2"/>
  </si>
  <si>
    <t>東部伊勢崎線武里駅徒歩8分</t>
    <rPh sb="0" eb="2">
      <t>トウブ</t>
    </rPh>
    <rPh sb="2" eb="5">
      <t>イセサキ</t>
    </rPh>
    <rPh sb="5" eb="6">
      <t>セン</t>
    </rPh>
    <rPh sb="6" eb="9">
      <t>タケサトエキ</t>
    </rPh>
    <rPh sb="9" eb="11">
      <t>トホ</t>
    </rPh>
    <rPh sb="12" eb="13">
      <t>フン</t>
    </rPh>
    <phoneticPr fontId="2"/>
  </si>
  <si>
    <t>（株）チャレンジプラットフォーム</t>
    <phoneticPr fontId="2"/>
  </si>
  <si>
    <t>サニースポット新越谷</t>
    <rPh sb="7" eb="10">
      <t>シンコシガヤ</t>
    </rPh>
    <phoneticPr fontId="2"/>
  </si>
  <si>
    <t>南越谷1-6-62
コーポ南越谷Ｂ棟5.6号</t>
    <rPh sb="0" eb="3">
      <t>ミナミコシガヤ</t>
    </rPh>
    <rPh sb="13" eb="16">
      <t>ミナミコシガヤ</t>
    </rPh>
    <rPh sb="17" eb="18">
      <t>トウ</t>
    </rPh>
    <rPh sb="21" eb="22">
      <t>ゴウ</t>
    </rPh>
    <phoneticPr fontId="2"/>
  </si>
  <si>
    <t>03-3519-7787</t>
    <phoneticPr fontId="2"/>
  </si>
  <si>
    <t>03-3591-7797</t>
    <phoneticPr fontId="2"/>
  </si>
  <si>
    <t>東武スカイツリーライン新越谷駅徒歩8分
ＪＲ武蔵野線南越谷駅徒歩8分</t>
    <rPh sb="0" eb="2">
      <t>トウブ</t>
    </rPh>
    <rPh sb="11" eb="12">
      <t>シン</t>
    </rPh>
    <rPh sb="12" eb="14">
      <t>コシガヤ</t>
    </rPh>
    <rPh sb="14" eb="15">
      <t>エキ</t>
    </rPh>
    <rPh sb="15" eb="17">
      <t>トホ</t>
    </rPh>
    <rPh sb="18" eb="19">
      <t>フン</t>
    </rPh>
    <rPh sb="22" eb="26">
      <t>ムサシノセン</t>
    </rPh>
    <rPh sb="26" eb="30">
      <t>ミナミコシガヤエキ</t>
    </rPh>
    <rPh sb="30" eb="32">
      <t>トホ</t>
    </rPh>
    <rPh sb="33" eb="34">
      <t>フン</t>
    </rPh>
    <phoneticPr fontId="2"/>
  </si>
  <si>
    <t>デイサービスセンターしらさぎ</t>
  </si>
  <si>
    <t>岩槻区真福寺１４６５</t>
    <rPh sb="0" eb="3">
      <t>イワツキク</t>
    </rPh>
    <rPh sb="3" eb="6">
      <t>シンプクジ</t>
    </rPh>
    <phoneticPr fontId="5"/>
  </si>
  <si>
    <t>339-0044</t>
  </si>
  <si>
    <t>048-797-4348</t>
  </si>
  <si>
    <t>048-797-1114</t>
  </si>
  <si>
    <t>東武野田線岩槻駅から目白大学・東川口行きバス乗車、城南小学校/浮谷バス停から徒歩5分</t>
    <rPh sb="0" eb="2">
      <t>トウブ</t>
    </rPh>
    <rPh sb="2" eb="5">
      <t>ノダセン</t>
    </rPh>
    <rPh sb="5" eb="8">
      <t>イワツキエキ</t>
    </rPh>
    <rPh sb="10" eb="12">
      <t>メジロ</t>
    </rPh>
    <rPh sb="12" eb="14">
      <t>ダイガク</t>
    </rPh>
    <rPh sb="15" eb="18">
      <t>ヒガシカワグチ</t>
    </rPh>
    <rPh sb="18" eb="19">
      <t>イ</t>
    </rPh>
    <rPh sb="22" eb="24">
      <t>ジョウシャ</t>
    </rPh>
    <rPh sb="25" eb="27">
      <t>ジョウナン</t>
    </rPh>
    <rPh sb="27" eb="30">
      <t>ショウガッコウ</t>
    </rPh>
    <rPh sb="31" eb="33">
      <t>ウキヤ</t>
    </rPh>
    <rPh sb="35" eb="36">
      <t>テイ</t>
    </rPh>
    <rPh sb="38" eb="40">
      <t>トホ</t>
    </rPh>
    <rPh sb="41" eb="42">
      <t>フン</t>
    </rPh>
    <phoneticPr fontId="2"/>
  </si>
  <si>
    <t>インクルード（株）</t>
  </si>
  <si>
    <t>大宮区大門町３－１９７　星野第２ビル２階Ｃ</t>
    <rPh sb="0" eb="2">
      <t>オオミヤ</t>
    </rPh>
    <rPh sb="2" eb="3">
      <t>ク</t>
    </rPh>
    <rPh sb="3" eb="5">
      <t>ダイモン</t>
    </rPh>
    <rPh sb="5" eb="6">
      <t>チョウ</t>
    </rPh>
    <rPh sb="12" eb="14">
      <t>ホシノ</t>
    </rPh>
    <rPh sb="14" eb="15">
      <t>ダイ</t>
    </rPh>
    <rPh sb="19" eb="20">
      <t>カイ</t>
    </rPh>
    <phoneticPr fontId="5"/>
  </si>
  <si>
    <t>048-729-7390</t>
  </si>
  <si>
    <t>JR大宮駅から徒歩6分</t>
    <rPh sb="2" eb="5">
      <t>オオミヤエキ</t>
    </rPh>
    <rPh sb="7" eb="9">
      <t>トホ</t>
    </rPh>
    <rPh sb="10" eb="11">
      <t>フン</t>
    </rPh>
    <phoneticPr fontId="2"/>
  </si>
  <si>
    <t>（株）リンクス</t>
    <rPh sb="0" eb="3">
      <t>カブシキガイシャ</t>
    </rPh>
    <phoneticPr fontId="2"/>
  </si>
  <si>
    <t>就労移行支援事業所リンクス川越</t>
    <rPh sb="0" eb="2">
      <t>シュウロウ</t>
    </rPh>
    <rPh sb="2" eb="4">
      <t>イコウ</t>
    </rPh>
    <rPh sb="4" eb="6">
      <t>シエン</t>
    </rPh>
    <rPh sb="6" eb="9">
      <t>ジギョウショ</t>
    </rPh>
    <rPh sb="13" eb="15">
      <t>カワゴエ</t>
    </rPh>
    <phoneticPr fontId="2"/>
  </si>
  <si>
    <t>脇田町16-29　川越脇田ビル4階</t>
    <rPh sb="0" eb="3">
      <t>ワキタマチ</t>
    </rPh>
    <rPh sb="9" eb="11">
      <t>カワゴエ</t>
    </rPh>
    <rPh sb="11" eb="13">
      <t>ワキタ</t>
    </rPh>
    <rPh sb="16" eb="17">
      <t>カイ</t>
    </rPh>
    <phoneticPr fontId="2"/>
  </si>
  <si>
    <t>350-1122</t>
  </si>
  <si>
    <t>049-298-4906</t>
  </si>
  <si>
    <t>049-298-4907</t>
  </si>
  <si>
    <t>川越駅下車徒歩3分</t>
    <rPh sb="0" eb="2">
      <t>カワゴエ</t>
    </rPh>
    <rPh sb="2" eb="3">
      <t>エキ</t>
    </rPh>
    <rPh sb="3" eb="5">
      <t>ゲシャ</t>
    </rPh>
    <rPh sb="5" eb="7">
      <t>トホ</t>
    </rPh>
    <rPh sb="8" eb="9">
      <t>フン</t>
    </rPh>
    <phoneticPr fontId="2"/>
  </si>
  <si>
    <t>（株）アスタス</t>
    <rPh sb="0" eb="3">
      <t>カブシキガイシャ</t>
    </rPh>
    <phoneticPr fontId="2"/>
  </si>
  <si>
    <t>liveステーション上野田町</t>
    <rPh sb="10" eb="13">
      <t>カミノダ</t>
    </rPh>
    <rPh sb="13" eb="14">
      <t>マチ</t>
    </rPh>
    <phoneticPr fontId="2"/>
  </si>
  <si>
    <t>上野田町34-22</t>
    <rPh sb="0" eb="3">
      <t>カミノダ</t>
    </rPh>
    <rPh sb="3" eb="4">
      <t>マチ</t>
    </rPh>
    <phoneticPr fontId="2"/>
  </si>
  <si>
    <t>350-1112</t>
  </si>
  <si>
    <t>石原町2-29-2</t>
    <rPh sb="0" eb="3">
      <t>イシワラチョウ</t>
    </rPh>
    <phoneticPr fontId="2"/>
  </si>
  <si>
    <t>049-298-3500</t>
  </si>
  <si>
    <t>049-298-3502</t>
  </si>
  <si>
    <t>ＪＲ東川口駅から徒歩３分
埼玉高速鉄道　東川口駅から徒歩５分</t>
    <rPh sb="2" eb="5">
      <t>ひがしかわぐち</t>
    </rPh>
    <rPh sb="5" eb="6">
      <t>えき</t>
    </rPh>
    <rPh sb="8" eb="10">
      <t>とほ</t>
    </rPh>
    <rPh sb="11" eb="12">
      <t>ふん</t>
    </rPh>
    <rPh sb="13" eb="15">
      <t>さいたま</t>
    </rPh>
    <rPh sb="15" eb="17">
      <t>こうそく</t>
    </rPh>
    <rPh sb="17" eb="19">
      <t>てつどう</t>
    </rPh>
    <rPh sb="20" eb="24">
      <t>ひがしかわぐちえき</t>
    </rPh>
    <rPh sb="26" eb="28">
      <t>とほ</t>
    </rPh>
    <rPh sb="29" eb="30">
      <t>ふん</t>
    </rPh>
    <phoneticPr fontId="16" type="Hiragana"/>
  </si>
  <si>
    <t>BELL　東川口</t>
  </si>
  <si>
    <t>334-0811</t>
  </si>
  <si>
    <t>048-452-4070</t>
  </si>
  <si>
    <t>048-452-4071</t>
  </si>
  <si>
    <t>（株）スマイル桶川</t>
    <rPh sb="0" eb="3">
      <t>カブ</t>
    </rPh>
    <rPh sb="7" eb="9">
      <t>オケガワ</t>
    </rPh>
    <phoneticPr fontId="2"/>
  </si>
  <si>
    <t>就労継続支援Ｂ型事業所えがお</t>
    <rPh sb="0" eb="6">
      <t>シュウロウケイゾクシエン</t>
    </rPh>
    <rPh sb="7" eb="11">
      <t>ガタジギョウショ</t>
    </rPh>
    <phoneticPr fontId="2"/>
  </si>
  <si>
    <t>363-0026</t>
    <phoneticPr fontId="2"/>
  </si>
  <si>
    <t>048-662-9091</t>
    <phoneticPr fontId="2"/>
  </si>
  <si>
    <t>048-662-9092</t>
  </si>
  <si>
    <t>JR桶川駅から桶川市内循環バス「日出谷保育所入口」下車徒歩2分</t>
    <rPh sb="2" eb="4">
      <t>オケガワ</t>
    </rPh>
    <rPh sb="4" eb="5">
      <t>エキ</t>
    </rPh>
    <rPh sb="7" eb="9">
      <t>オケガワ</t>
    </rPh>
    <rPh sb="9" eb="10">
      <t>シ</t>
    </rPh>
    <rPh sb="10" eb="11">
      <t>ナイ</t>
    </rPh>
    <rPh sb="11" eb="13">
      <t>ジュンカン</t>
    </rPh>
    <rPh sb="16" eb="19">
      <t>ヒデヤ</t>
    </rPh>
    <rPh sb="19" eb="21">
      <t>ホイク</t>
    </rPh>
    <rPh sb="21" eb="22">
      <t>ショ</t>
    </rPh>
    <rPh sb="22" eb="24">
      <t>イリグチ</t>
    </rPh>
    <rPh sb="25" eb="27">
      <t>ゲシャ</t>
    </rPh>
    <rPh sb="27" eb="29">
      <t>トホ</t>
    </rPh>
    <rPh sb="30" eb="31">
      <t>フン</t>
    </rPh>
    <phoneticPr fontId="2"/>
  </si>
  <si>
    <t>（株）クラ・ゼミ</t>
    <rPh sb="1" eb="2">
      <t>カブ</t>
    </rPh>
    <phoneticPr fontId="2"/>
  </si>
  <si>
    <t>アクセスジョブ熊谷</t>
    <rPh sb="7" eb="9">
      <t>クマガヤ</t>
    </rPh>
    <phoneticPr fontId="2"/>
  </si>
  <si>
    <t>宮前町2-104
サルーテ熊谷1Ｆ</t>
    <rPh sb="0" eb="3">
      <t>ミヤマエチョウ</t>
    </rPh>
    <rPh sb="13" eb="15">
      <t>クマガヤ</t>
    </rPh>
    <phoneticPr fontId="2"/>
  </si>
  <si>
    <t>360-0045</t>
    <phoneticPr fontId="2"/>
  </si>
  <si>
    <t>048-501-6506</t>
    <phoneticPr fontId="2"/>
  </si>
  <si>
    <t>JR熊谷駅から徒歩3分</t>
    <rPh sb="2" eb="4">
      <t>クマガヤ</t>
    </rPh>
    <rPh sb="4" eb="5">
      <t>エキ</t>
    </rPh>
    <rPh sb="7" eb="9">
      <t>トホ</t>
    </rPh>
    <rPh sb="10" eb="11">
      <t>ブン</t>
    </rPh>
    <phoneticPr fontId="2"/>
  </si>
  <si>
    <t>（福）光彩会</t>
    <rPh sb="1" eb="2">
      <t>フク</t>
    </rPh>
    <rPh sb="3" eb="4">
      <t>ヒカリ</t>
    </rPh>
    <rPh sb="4" eb="5">
      <t>アヤ</t>
    </rPh>
    <rPh sb="5" eb="6">
      <t>カイ</t>
    </rPh>
    <phoneticPr fontId="2"/>
  </si>
  <si>
    <t>障害者多機能型施設新座みちしるべ</t>
    <rPh sb="0" eb="3">
      <t>ショウガイシャ</t>
    </rPh>
    <rPh sb="3" eb="7">
      <t>タキノウガタ</t>
    </rPh>
    <rPh sb="7" eb="9">
      <t>シセツ</t>
    </rPh>
    <rPh sb="9" eb="11">
      <t>ニイザ</t>
    </rPh>
    <phoneticPr fontId="2"/>
  </si>
  <si>
    <t>野火止一丁目19-8</t>
    <rPh sb="0" eb="3">
      <t>ノビドメ</t>
    </rPh>
    <rPh sb="3" eb="6">
      <t>イッチョウメ</t>
    </rPh>
    <phoneticPr fontId="2"/>
  </si>
  <si>
    <t>352-0011</t>
    <phoneticPr fontId="2"/>
  </si>
  <si>
    <t>048-485-9768</t>
    <phoneticPr fontId="2"/>
  </si>
  <si>
    <t>048-485-9769</t>
    <phoneticPr fontId="2"/>
  </si>
  <si>
    <t>武蔵野線新座駅南口から西部バス【新座01】新座営業所行「陣屋」下車徒歩5分</t>
    <rPh sb="0" eb="4">
      <t>ムサシノセン</t>
    </rPh>
    <rPh sb="4" eb="6">
      <t>ニイザ</t>
    </rPh>
    <rPh sb="6" eb="7">
      <t>エキ</t>
    </rPh>
    <rPh sb="7" eb="8">
      <t>ミナミ</t>
    </rPh>
    <rPh sb="8" eb="9">
      <t>グチ</t>
    </rPh>
    <rPh sb="11" eb="13">
      <t>セイブ</t>
    </rPh>
    <rPh sb="16" eb="18">
      <t>ニイザ</t>
    </rPh>
    <rPh sb="21" eb="23">
      <t>ニイザ</t>
    </rPh>
    <rPh sb="23" eb="26">
      <t>エイギョウショ</t>
    </rPh>
    <rPh sb="26" eb="27">
      <t>ユ</t>
    </rPh>
    <rPh sb="28" eb="30">
      <t>ジンヤ</t>
    </rPh>
    <rPh sb="31" eb="33">
      <t>ゲシャ</t>
    </rPh>
    <rPh sb="33" eb="35">
      <t>トホ</t>
    </rPh>
    <rPh sb="36" eb="37">
      <t>フン</t>
    </rPh>
    <phoneticPr fontId="2"/>
  </si>
  <si>
    <t>箭弓町1丁目20番1号</t>
    <rPh sb="0" eb="3">
      <t>ヤキュウチョウ</t>
    </rPh>
    <rPh sb="4" eb="6">
      <t>チョウメ</t>
    </rPh>
    <rPh sb="8" eb="9">
      <t>バン</t>
    </rPh>
    <rPh sb="10" eb="11">
      <t>ゴウ</t>
    </rPh>
    <phoneticPr fontId="1"/>
  </si>
  <si>
    <t>0493-81-3586</t>
    <phoneticPr fontId="2"/>
  </si>
  <si>
    <t>0493-81-3589</t>
    <phoneticPr fontId="2"/>
  </si>
  <si>
    <t>東武東上線東松山駅から徒歩5分
※共同生活援助との併設</t>
    <rPh sb="0" eb="5">
      <t>トウブトウジョウセン</t>
    </rPh>
    <rPh sb="5" eb="6">
      <t>ヒガシ</t>
    </rPh>
    <rPh sb="6" eb="8">
      <t>マツヤマ</t>
    </rPh>
    <rPh sb="8" eb="9">
      <t>エキ</t>
    </rPh>
    <rPh sb="11" eb="13">
      <t>トホ</t>
    </rPh>
    <rPh sb="14" eb="15">
      <t>フン</t>
    </rPh>
    <phoneticPr fontId="2"/>
  </si>
  <si>
    <t>（株）あずいず</t>
    <rPh sb="0" eb="3">
      <t>カブ</t>
    </rPh>
    <phoneticPr fontId="2"/>
  </si>
  <si>
    <t>ぶらいと</t>
    <phoneticPr fontId="2"/>
  </si>
  <si>
    <t>鶴ケ丘81番地24　
齊藤ビル2階</t>
    <rPh sb="0" eb="3">
      <t>ツルガオカ</t>
    </rPh>
    <rPh sb="5" eb="7">
      <t>バンチ</t>
    </rPh>
    <rPh sb="11" eb="13">
      <t>サイトウ</t>
    </rPh>
    <rPh sb="16" eb="17">
      <t>カイ</t>
    </rPh>
    <phoneticPr fontId="2"/>
  </si>
  <si>
    <t>350-2204</t>
    <phoneticPr fontId="2"/>
  </si>
  <si>
    <t>049-298-6660</t>
    <phoneticPr fontId="2"/>
  </si>
  <si>
    <t>049-298-6659</t>
    <phoneticPr fontId="2"/>
  </si>
  <si>
    <t>東部東上線鶴ヶ島駅から徒歩8分</t>
    <rPh sb="0" eb="2">
      <t>トウブ</t>
    </rPh>
    <rPh sb="2" eb="5">
      <t>トウジョウセン</t>
    </rPh>
    <rPh sb="5" eb="8">
      <t>ツルガシマ</t>
    </rPh>
    <rPh sb="8" eb="9">
      <t>エキ</t>
    </rPh>
    <rPh sb="11" eb="13">
      <t>トホ</t>
    </rPh>
    <rPh sb="14" eb="15">
      <t>フン</t>
    </rPh>
    <phoneticPr fontId="2"/>
  </si>
  <si>
    <t>(有)大和ハッピーケアサービス</t>
    <rPh sb="1" eb="2">
      <t>ユウ</t>
    </rPh>
    <rPh sb="3" eb="5">
      <t>ヤマト</t>
    </rPh>
    <phoneticPr fontId="5"/>
  </si>
  <si>
    <t>生活介護事業所ハッピーみつばち</t>
    <rPh sb="0" eb="2">
      <t>セイカツ</t>
    </rPh>
    <rPh sb="2" eb="4">
      <t>カイゴ</t>
    </rPh>
    <rPh sb="4" eb="7">
      <t>ジギョウショ</t>
    </rPh>
    <phoneticPr fontId="5"/>
  </si>
  <si>
    <t>中央区上落合２－９－３０　ハーモニックビル３F</t>
    <rPh sb="0" eb="3">
      <t>チュウオウク</t>
    </rPh>
    <rPh sb="3" eb="6">
      <t>カミオチアイ</t>
    </rPh>
    <phoneticPr fontId="5"/>
  </si>
  <si>
    <t>048-853-2655</t>
  </si>
  <si>
    <t>048-853-2656</t>
  </si>
  <si>
    <t>JR北与野駅から徒歩5分</t>
    <rPh sb="2" eb="6">
      <t>キタヨノエキ</t>
    </rPh>
    <rPh sb="8" eb="10">
      <t>トホ</t>
    </rPh>
    <rPh sb="11" eb="12">
      <t>フン</t>
    </rPh>
    <phoneticPr fontId="2"/>
  </si>
  <si>
    <t>(同)Size</t>
    <rPh sb="1" eb="2">
      <t>ドウ</t>
    </rPh>
    <phoneticPr fontId="5"/>
  </si>
  <si>
    <t>就労支援センターsize</t>
    <rPh sb="0" eb="4">
      <t>シュウロウシエン</t>
    </rPh>
    <phoneticPr fontId="5"/>
  </si>
  <si>
    <t>浦和区常盤４－１６－９　NYY浦和ビル３０２</t>
    <rPh sb="0" eb="2">
      <t>ウラワ</t>
    </rPh>
    <rPh sb="2" eb="3">
      <t>ク</t>
    </rPh>
    <rPh sb="3" eb="5">
      <t>トキワ</t>
    </rPh>
    <rPh sb="15" eb="17">
      <t>ウラワ</t>
    </rPh>
    <phoneticPr fontId="5"/>
  </si>
  <si>
    <t>048-767-8745</t>
  </si>
  <si>
    <t>048-767-8746</t>
  </si>
  <si>
    <t>JR浦和駅から徒歩１５分</t>
    <rPh sb="2" eb="5">
      <t>ウラワエキ</t>
    </rPh>
    <rPh sb="7" eb="9">
      <t>トホ</t>
    </rPh>
    <rPh sb="11" eb="12">
      <t>フン</t>
    </rPh>
    <phoneticPr fontId="2"/>
  </si>
  <si>
    <t>就労支援事業所シゴプラッ！！川口戸塚安行</t>
    <rPh sb="0" eb="2">
      <t>しゅうろう</t>
    </rPh>
    <rPh sb="2" eb="4">
      <t>しえん</t>
    </rPh>
    <rPh sb="4" eb="7">
      <t>じぎょうしょ</t>
    </rPh>
    <rPh sb="14" eb="20">
      <t>かわぐちとつかあんぎょう</t>
    </rPh>
    <phoneticPr fontId="2" type="Hiragana"/>
  </si>
  <si>
    <t>安行藤八３１５</t>
    <rPh sb="0" eb="2">
      <t>あんぎょう</t>
    </rPh>
    <rPh sb="2" eb="4">
      <t>とうはち</t>
    </rPh>
    <phoneticPr fontId="16" type="Hiragana"/>
  </si>
  <si>
    <t>334-0051</t>
    <phoneticPr fontId="2" type="Hiragana"/>
  </si>
  <si>
    <t>048-446-9423</t>
    <phoneticPr fontId="2"/>
  </si>
  <si>
    <t>048-446-9425</t>
    <phoneticPr fontId="2"/>
  </si>
  <si>
    <t>埼玉高速鉄道　戸塚安行駅から徒歩９分</t>
    <rPh sb="0" eb="2">
      <t>さいたま</t>
    </rPh>
    <rPh sb="2" eb="4">
      <t>こうそく</t>
    </rPh>
    <rPh sb="4" eb="6">
      <t>てつどう</t>
    </rPh>
    <rPh sb="7" eb="9">
      <t>とつか</t>
    </rPh>
    <rPh sb="9" eb="11">
      <t>あんぎょう</t>
    </rPh>
    <rPh sb="11" eb="12">
      <t>えき</t>
    </rPh>
    <rPh sb="14" eb="16">
      <t>とほ</t>
    </rPh>
    <rPh sb="17" eb="18">
      <t>ふん</t>
    </rPh>
    <phoneticPr fontId="16" type="Hiragana"/>
  </si>
  <si>
    <t>（株）Grow</t>
    <rPh sb="0" eb="3">
      <t>カブ</t>
    </rPh>
    <phoneticPr fontId="2"/>
  </si>
  <si>
    <t>（同）ＮＰライフケア</t>
    <rPh sb="1" eb="2">
      <t>ドウ</t>
    </rPh>
    <phoneticPr fontId="5"/>
  </si>
  <si>
    <t>プレミアムわおん久喜</t>
    <rPh sb="8" eb="10">
      <t>クキ</t>
    </rPh>
    <phoneticPr fontId="5"/>
  </si>
  <si>
    <t>本町6-15-41</t>
    <rPh sb="0" eb="2">
      <t>ホンチョウ</t>
    </rPh>
    <phoneticPr fontId="1"/>
  </si>
  <si>
    <t>346-0005</t>
    <phoneticPr fontId="2"/>
  </si>
  <si>
    <t>0480-88-7597</t>
    <phoneticPr fontId="2"/>
  </si>
  <si>
    <t>久喜駅から徒歩17分</t>
    <rPh sb="0" eb="2">
      <t>クキ</t>
    </rPh>
    <rPh sb="2" eb="3">
      <t>エキ</t>
    </rPh>
    <rPh sb="5" eb="7">
      <t>トホ</t>
    </rPh>
    <rPh sb="9" eb="10">
      <t>フン</t>
    </rPh>
    <phoneticPr fontId="2"/>
  </si>
  <si>
    <t>未来サポート（株）</t>
    <rPh sb="0" eb="2">
      <t>みらい</t>
    </rPh>
    <rPh sb="6" eb="9">
      <t>かぶ</t>
    </rPh>
    <phoneticPr fontId="2" type="Hiragana"/>
  </si>
  <si>
    <t>048-767-5964</t>
  </si>
  <si>
    <t>048-767-5965</t>
  </si>
  <si>
    <t>JR浦和駅から徒歩4分</t>
    <rPh sb="2" eb="5">
      <t>ウラワエキ</t>
    </rPh>
    <rPh sb="7" eb="9">
      <t>トホ</t>
    </rPh>
    <rPh sb="10" eb="11">
      <t>フン</t>
    </rPh>
    <phoneticPr fontId="2"/>
  </si>
  <si>
    <t>浦和区高砂２－２－２　ＢＡＩＧＹＯＫＵ．Ｓビル４階</t>
  </si>
  <si>
    <t>就労定着支援ディーキャリア大宮第二事業所</t>
    <rPh sb="0" eb="2">
      <t>シュウロウ</t>
    </rPh>
    <rPh sb="2" eb="4">
      <t>テイチャク</t>
    </rPh>
    <rPh sb="4" eb="6">
      <t>シエン</t>
    </rPh>
    <rPh sb="13" eb="15">
      <t>オオミヤ</t>
    </rPh>
    <rPh sb="15" eb="17">
      <t>ダイニ</t>
    </rPh>
    <rPh sb="17" eb="20">
      <t>ジギョウショ</t>
    </rPh>
    <phoneticPr fontId="5"/>
  </si>
  <si>
    <t>大宮区桜木町４－２０９　第三バーディトライビル３階</t>
  </si>
  <si>
    <t>花田1-23-11</t>
    <rPh sb="0" eb="2">
      <t>ハナタ</t>
    </rPh>
    <phoneticPr fontId="2"/>
  </si>
  <si>
    <t>（株）典雅</t>
    <rPh sb="0" eb="3">
      <t>カブ</t>
    </rPh>
    <rPh sb="3" eb="5">
      <t>テンガ</t>
    </rPh>
    <phoneticPr fontId="27"/>
  </si>
  <si>
    <t>able FACTORY</t>
  </si>
  <si>
    <t>川越市</t>
    <rPh sb="0" eb="3">
      <t>カワゴエシ</t>
    </rPh>
    <phoneticPr fontId="27"/>
  </si>
  <si>
    <t>かし野台2-14-1</t>
    <rPh sb="2" eb="4">
      <t>ノダイ</t>
    </rPh>
    <phoneticPr fontId="27"/>
  </si>
  <si>
    <t>350-1179</t>
  </si>
  <si>
    <t>049-293-7497</t>
  </si>
  <si>
    <t>049-293-7498</t>
  </si>
  <si>
    <t>西武池袋線南大塚駅から徒歩15分</t>
    <rPh sb="0" eb="2">
      <t>セイブ</t>
    </rPh>
    <rPh sb="2" eb="4">
      <t>イケブクロ</t>
    </rPh>
    <rPh sb="4" eb="5">
      <t>セン</t>
    </rPh>
    <rPh sb="5" eb="6">
      <t>ミナミ</t>
    </rPh>
    <rPh sb="6" eb="8">
      <t>オオツカ</t>
    </rPh>
    <rPh sb="8" eb="9">
      <t>エキ</t>
    </rPh>
    <rPh sb="11" eb="13">
      <t>トホ</t>
    </rPh>
    <rPh sb="15" eb="16">
      <t>フン</t>
    </rPh>
    <phoneticPr fontId="27"/>
  </si>
  <si>
    <t>朝日1-8-12</t>
    <rPh sb="0" eb="2">
      <t>アサヒ</t>
    </rPh>
    <phoneticPr fontId="1"/>
  </si>
  <si>
    <t>363-0023</t>
    <phoneticPr fontId="2"/>
  </si>
  <si>
    <t>048-729-6824</t>
    <phoneticPr fontId="2"/>
  </si>
  <si>
    <t>048-729-6825</t>
    <phoneticPr fontId="2"/>
  </si>
  <si>
    <t>ウーリー熊谷</t>
    <rPh sb="4" eb="6">
      <t>クマガヤ</t>
    </rPh>
    <phoneticPr fontId="2"/>
  </si>
  <si>
    <t>桜木町1-65 ホクシンビル１階</t>
    <rPh sb="0" eb="3">
      <t>サクラギチョウ</t>
    </rPh>
    <rPh sb="15" eb="16">
      <t>カイ</t>
    </rPh>
    <phoneticPr fontId="2"/>
  </si>
  <si>
    <t>048-538-9530</t>
    <phoneticPr fontId="2"/>
  </si>
  <si>
    <t>048-538-9530</t>
  </si>
  <si>
    <t>JＲ熊谷駅から徒歩3分</t>
    <rPh sb="2" eb="5">
      <t>クマガヤエキ</t>
    </rPh>
    <rPh sb="7" eb="9">
      <t>トホ</t>
    </rPh>
    <rPh sb="10" eb="11">
      <t>フン</t>
    </rPh>
    <phoneticPr fontId="2"/>
  </si>
  <si>
    <t>永田408</t>
    <rPh sb="0" eb="2">
      <t>ナガタ</t>
    </rPh>
    <phoneticPr fontId="2"/>
  </si>
  <si>
    <t>369-1243</t>
    <phoneticPr fontId="2"/>
  </si>
  <si>
    <t>048-577-3800</t>
    <phoneticPr fontId="2"/>
  </si>
  <si>
    <t>048-594-8418</t>
    <phoneticPr fontId="2"/>
  </si>
  <si>
    <t>ふかや花園駅から徒歩20分</t>
    <rPh sb="3" eb="5">
      <t>ハナゾノ</t>
    </rPh>
    <rPh sb="5" eb="6">
      <t>エキ</t>
    </rPh>
    <rPh sb="8" eb="10">
      <t>トホ</t>
    </rPh>
    <rPh sb="12" eb="13">
      <t>フン</t>
    </rPh>
    <phoneticPr fontId="2"/>
  </si>
  <si>
    <t>大字植竹388-5</t>
    <rPh sb="0" eb="2">
      <t>オオアザ</t>
    </rPh>
    <rPh sb="2" eb="4">
      <t>ウエタケ</t>
    </rPh>
    <phoneticPr fontId="2"/>
  </si>
  <si>
    <t>0495-71-3451</t>
    <phoneticPr fontId="2"/>
  </si>
  <si>
    <t>0495-77-5090</t>
    <phoneticPr fontId="2"/>
  </si>
  <si>
    <t>八高線丹荘駅下車徒歩14分</t>
    <rPh sb="0" eb="2">
      <t>ハチコウ</t>
    </rPh>
    <rPh sb="2" eb="3">
      <t>セン</t>
    </rPh>
    <rPh sb="3" eb="5">
      <t>タンショウ</t>
    </rPh>
    <rPh sb="5" eb="6">
      <t>エキ</t>
    </rPh>
    <rPh sb="6" eb="8">
      <t>ゲシャ</t>
    </rPh>
    <rPh sb="8" eb="10">
      <t>トホ</t>
    </rPh>
    <rPh sb="12" eb="13">
      <t>フン</t>
    </rPh>
    <phoneticPr fontId="2"/>
  </si>
  <si>
    <t>サンフォレスト草加北谷</t>
    <rPh sb="7" eb="9">
      <t>ソウカ</t>
    </rPh>
    <rPh sb="9" eb="11">
      <t>キタヤ</t>
    </rPh>
    <phoneticPr fontId="2"/>
  </si>
  <si>
    <t>北谷1-22-5 3階</t>
    <rPh sb="0" eb="2">
      <t>キタヤ</t>
    </rPh>
    <rPh sb="10" eb="11">
      <t>カイ</t>
    </rPh>
    <phoneticPr fontId="2"/>
  </si>
  <si>
    <t>340-0046</t>
    <phoneticPr fontId="2"/>
  </si>
  <si>
    <t>048-960-0225</t>
    <phoneticPr fontId="2"/>
  </si>
  <si>
    <t>048-960-0049</t>
    <phoneticPr fontId="2"/>
  </si>
  <si>
    <t>東武スカイツリーライン獨協大学前（草加松原）から徒歩23分</t>
    <rPh sb="0" eb="2">
      <t>トウブ</t>
    </rPh>
    <rPh sb="11" eb="13">
      <t>ドッキョウ</t>
    </rPh>
    <rPh sb="13" eb="15">
      <t>ダイガク</t>
    </rPh>
    <rPh sb="15" eb="16">
      <t>マエ</t>
    </rPh>
    <rPh sb="17" eb="21">
      <t>ソウカマツバラ</t>
    </rPh>
    <rPh sb="24" eb="26">
      <t>トホ</t>
    </rPh>
    <rPh sb="28" eb="29">
      <t>フン</t>
    </rPh>
    <phoneticPr fontId="2"/>
  </si>
  <si>
    <t>（株）ekプラン</t>
    <rPh sb="0" eb="3">
      <t>カブ</t>
    </rPh>
    <phoneticPr fontId="2"/>
  </si>
  <si>
    <t>ウィルウェイ</t>
    <phoneticPr fontId="2"/>
  </si>
  <si>
    <t>増富405-6</t>
    <rPh sb="0" eb="2">
      <t>マストミ</t>
    </rPh>
    <phoneticPr fontId="2"/>
  </si>
  <si>
    <t>048-812-4081</t>
    <phoneticPr fontId="2"/>
  </si>
  <si>
    <t>東部アーバンパークライン豊春駅から徒歩19分</t>
    <rPh sb="0" eb="2">
      <t>トウブ</t>
    </rPh>
    <rPh sb="12" eb="15">
      <t>トヨハルエキ</t>
    </rPh>
    <rPh sb="17" eb="19">
      <t>トホ</t>
    </rPh>
    <rPh sb="21" eb="22">
      <t>フン</t>
    </rPh>
    <phoneticPr fontId="2"/>
  </si>
  <si>
    <t>桶川駅から徒歩13分
※共同生活援助との併設</t>
    <rPh sb="0" eb="3">
      <t>オケガワエキ</t>
    </rPh>
    <rPh sb="5" eb="7">
      <t>トホ</t>
    </rPh>
    <rPh sb="9" eb="10">
      <t>ブン</t>
    </rPh>
    <rPh sb="12" eb="18">
      <t>キョウドウセイカツエンジョ</t>
    </rPh>
    <rPh sb="20" eb="22">
      <t>ヘイセツ</t>
    </rPh>
    <phoneticPr fontId="2"/>
  </si>
  <si>
    <t>大林589-2</t>
    <rPh sb="0" eb="2">
      <t>オオバヤシ</t>
    </rPh>
    <phoneticPr fontId="2"/>
  </si>
  <si>
    <t>048-971-5778</t>
    <phoneticPr fontId="2"/>
  </si>
  <si>
    <t>048-971-1489</t>
    <phoneticPr fontId="2"/>
  </si>
  <si>
    <t>Ｍｅｌｔｈ越谷</t>
    <rPh sb="5" eb="7">
      <t>コシガヤ</t>
    </rPh>
    <phoneticPr fontId="2"/>
  </si>
  <si>
    <t>弥生町11-5 大野ビル2F</t>
    <rPh sb="0" eb="3">
      <t>ヤヨイチョウ</t>
    </rPh>
    <rPh sb="8" eb="10">
      <t>オオノ</t>
    </rPh>
    <phoneticPr fontId="2"/>
  </si>
  <si>
    <t>343-0816</t>
    <phoneticPr fontId="2"/>
  </si>
  <si>
    <t>048-940-0047</t>
    <phoneticPr fontId="2"/>
  </si>
  <si>
    <t>048-970-0147</t>
    <phoneticPr fontId="2"/>
  </si>
  <si>
    <t>（株）Ｍｅｌｔｈ</t>
    <phoneticPr fontId="2"/>
  </si>
  <si>
    <t>アドライズｐｌｕｓ浦和駅前センター</t>
    <rPh sb="9" eb="12">
      <t>ウラワエキ</t>
    </rPh>
    <rPh sb="12" eb="13">
      <t>マエ</t>
    </rPh>
    <phoneticPr fontId="5"/>
  </si>
  <si>
    <t>浦和区高砂２－２－２　ＢＡＩＧＹＯＫＵ．Ｓビル３階</t>
  </si>
  <si>
    <t>048-755-9665</t>
  </si>
  <si>
    <t>048-755-9656</t>
  </si>
  <si>
    <t>JR浦和駅から徒歩4分</t>
    <rPh sb="2" eb="4">
      <t>ウラワ</t>
    </rPh>
    <rPh sb="4" eb="5">
      <t>エキ</t>
    </rPh>
    <rPh sb="7" eb="9">
      <t>トホ</t>
    </rPh>
    <rPh sb="10" eb="11">
      <t>フン</t>
    </rPh>
    <phoneticPr fontId="2"/>
  </si>
  <si>
    <t>グループホームＲＡＳＩＥＬ南中丸</t>
    <rPh sb="12" eb="15">
      <t>ミナミナカマル</t>
    </rPh>
    <phoneticPr fontId="5"/>
  </si>
  <si>
    <t>見沼区南中丸９５０－１</t>
    <rPh sb="0" eb="2">
      <t>ミヌマ</t>
    </rPh>
    <rPh sb="1" eb="2">
      <t>ク</t>
    </rPh>
    <rPh sb="2" eb="3">
      <t>ク</t>
    </rPh>
    <rPh sb="3" eb="6">
      <t>ミナミナカマル</t>
    </rPh>
    <phoneticPr fontId="5"/>
  </si>
  <si>
    <t>337-0041</t>
  </si>
  <si>
    <t>048-731-8582</t>
  </si>
  <si>
    <t>048-731-8583</t>
  </si>
  <si>
    <t>ＪＲ大宮駅から東武バス宮下行「導守」停留所から徒歩10分</t>
    <rPh sb="2" eb="5">
      <t>オオミヤエキ</t>
    </rPh>
    <rPh sb="7" eb="9">
      <t>トウブ</t>
    </rPh>
    <rPh sb="11" eb="13">
      <t>ミヤシタ</t>
    </rPh>
    <rPh sb="13" eb="14">
      <t>ギョウ</t>
    </rPh>
    <rPh sb="15" eb="16">
      <t>ドウ</t>
    </rPh>
    <rPh sb="16" eb="17">
      <t>マモル</t>
    </rPh>
    <rPh sb="18" eb="21">
      <t>テイリュウジョ</t>
    </rPh>
    <rPh sb="23" eb="25">
      <t>トホ</t>
    </rPh>
    <rPh sb="27" eb="28">
      <t>フン</t>
    </rPh>
    <phoneticPr fontId="2"/>
  </si>
  <si>
    <t>（株）ラシエル</t>
    <rPh sb="0" eb="3">
      <t>カブ</t>
    </rPh>
    <phoneticPr fontId="5"/>
  </si>
  <si>
    <t>シャローム浦和</t>
    <rPh sb="4" eb="6">
      <t>ウラワ</t>
    </rPh>
    <phoneticPr fontId="2"/>
  </si>
  <si>
    <t>JR浦和駅西口から徒歩４分</t>
    <rPh sb="2" eb="4">
      <t>ウラワ</t>
    </rPh>
    <rPh sb="4" eb="5">
      <t>エキ</t>
    </rPh>
    <rPh sb="5" eb="7">
      <t>ニシグチ</t>
    </rPh>
    <rPh sb="9" eb="11">
      <t>トホ</t>
    </rPh>
    <rPh sb="12" eb="13">
      <t>フン</t>
    </rPh>
    <phoneticPr fontId="2"/>
  </si>
  <si>
    <t>330-0803</t>
  </si>
  <si>
    <t>048-729-6592</t>
  </si>
  <si>
    <t>048-729-6593</t>
  </si>
  <si>
    <t>（株）ユーエイチ</t>
    <rPh sb="0" eb="3">
      <t>カブ</t>
    </rPh>
    <phoneticPr fontId="5"/>
  </si>
  <si>
    <t>（一財）福祉教育支援協会</t>
    <rPh sb="1" eb="3">
      <t>イチザイ</t>
    </rPh>
    <rPh sb="2" eb="3">
      <t>ザイ</t>
    </rPh>
    <rPh sb="4" eb="6">
      <t>フクシ</t>
    </rPh>
    <rPh sb="6" eb="8">
      <t>キョウイク</t>
    </rPh>
    <rPh sb="8" eb="10">
      <t>シエン</t>
    </rPh>
    <rPh sb="10" eb="12">
      <t>キョウカイ</t>
    </rPh>
    <phoneticPr fontId="2"/>
  </si>
  <si>
    <t>(一財）福祉教育支援協会</t>
    <rPh sb="1" eb="2">
      <t>イチ</t>
    </rPh>
    <rPh sb="2" eb="3">
      <t>ザイ</t>
    </rPh>
    <rPh sb="4" eb="6">
      <t>フクシ</t>
    </rPh>
    <rPh sb="6" eb="8">
      <t>キョウイク</t>
    </rPh>
    <rPh sb="8" eb="10">
      <t>シエン</t>
    </rPh>
    <rPh sb="10" eb="12">
      <t>キョウカイ</t>
    </rPh>
    <phoneticPr fontId="5"/>
  </si>
  <si>
    <t>JR日進駅から徒歩３分
B型の定員減（20人→14人）</t>
    <rPh sb="2" eb="5">
      <t>ニッシンエキ</t>
    </rPh>
    <rPh sb="7" eb="9">
      <t>トホ</t>
    </rPh>
    <rPh sb="10" eb="11">
      <t>フン</t>
    </rPh>
    <phoneticPr fontId="2"/>
  </si>
  <si>
    <t>（株）モードファイブ</t>
    <rPh sb="0" eb="3">
      <t>カブ</t>
    </rPh>
    <phoneticPr fontId="27"/>
  </si>
  <si>
    <t>aloha川越</t>
    <rPh sb="5" eb="7">
      <t>カワゴエ</t>
    </rPh>
    <phoneticPr fontId="27"/>
  </si>
  <si>
    <t>野田町1-6-31 矢島第2ビル1F</t>
    <rPh sb="0" eb="3">
      <t>ノダマチ</t>
    </rPh>
    <rPh sb="10" eb="12">
      <t>ヤジマ</t>
    </rPh>
    <rPh sb="12" eb="13">
      <t>ダイ</t>
    </rPh>
    <phoneticPr fontId="27"/>
  </si>
  <si>
    <t>049-238-4315</t>
  </si>
  <si>
    <t>049-238-4316</t>
  </si>
  <si>
    <t>川越駅より徒歩11分</t>
    <rPh sb="0" eb="2">
      <t>カワゴエ</t>
    </rPh>
    <rPh sb="2" eb="3">
      <t>エキ</t>
    </rPh>
    <rPh sb="5" eb="7">
      <t>トホ</t>
    </rPh>
    <rPh sb="9" eb="10">
      <t>フン</t>
    </rPh>
    <phoneticPr fontId="27"/>
  </si>
  <si>
    <t>東松山市・（福）東松山市社会福祉協議会</t>
    <rPh sb="0" eb="3">
      <t>ヒガシマツヤマシ</t>
    </rPh>
    <rPh sb="5" eb="6">
      <t>フク</t>
    </rPh>
    <rPh sb="6" eb="7">
      <t>ケン</t>
    </rPh>
    <rPh sb="8" eb="12">
      <t>ヒガシマツヤマシ</t>
    </rPh>
    <rPh sb="12" eb="14">
      <t>シャカイ</t>
    </rPh>
    <rPh sb="14" eb="16">
      <t>フクシ</t>
    </rPh>
    <rPh sb="16" eb="19">
      <t>キョウギカイ</t>
    </rPh>
    <phoneticPr fontId="2"/>
  </si>
  <si>
    <t>介護老人保健施設東松山市総合福祉エリア</t>
    <rPh sb="0" eb="1">
      <t>カイゴ</t>
    </rPh>
    <rPh sb="1" eb="3">
      <t>ロウジン</t>
    </rPh>
    <rPh sb="3" eb="5">
      <t>ホケン</t>
    </rPh>
    <rPh sb="5" eb="7">
      <t>シセツ</t>
    </rPh>
    <rPh sb="8" eb="12">
      <t>ヒガシマツヤマシ</t>
    </rPh>
    <rPh sb="12" eb="14">
      <t>ソウゴウ</t>
    </rPh>
    <rPh sb="14" eb="16">
      <t>フクシ</t>
    </rPh>
    <phoneticPr fontId="2"/>
  </si>
  <si>
    <t>大字松山2183</t>
    <rPh sb="0" eb="2">
      <t>オオアザ</t>
    </rPh>
    <rPh sb="2" eb="3">
      <t>マツ</t>
    </rPh>
    <rPh sb="3" eb="4">
      <t>ヤマ</t>
    </rPh>
    <phoneticPr fontId="2"/>
  </si>
  <si>
    <t>355-0005</t>
    <phoneticPr fontId="2"/>
  </si>
  <si>
    <t>0493-21-5556</t>
    <phoneticPr fontId="2"/>
  </si>
  <si>
    <t>0493-25-3305</t>
    <phoneticPr fontId="2"/>
  </si>
  <si>
    <t>東武東上線東松山駅東口より熊谷駅行バス「市民病院」下車徒歩10分
※介護老人保健施設の空床利用　医療型短期入所</t>
    <rPh sb="0" eb="5">
      <t>トウブトウジョウセン</t>
    </rPh>
    <rPh sb="5" eb="9">
      <t>ヒガシマツヤマエキ</t>
    </rPh>
    <rPh sb="9" eb="11">
      <t>ヒガシグチ</t>
    </rPh>
    <rPh sb="13" eb="15">
      <t>クマガヤ</t>
    </rPh>
    <rPh sb="15" eb="16">
      <t>エキ</t>
    </rPh>
    <rPh sb="16" eb="17">
      <t>イキ</t>
    </rPh>
    <rPh sb="20" eb="22">
      <t>シミン</t>
    </rPh>
    <rPh sb="22" eb="24">
      <t>ビョウイン</t>
    </rPh>
    <rPh sb="25" eb="27">
      <t>ゲシャ</t>
    </rPh>
    <rPh sb="27" eb="29">
      <t>トホ</t>
    </rPh>
    <rPh sb="31" eb="32">
      <t>フン</t>
    </rPh>
    <phoneticPr fontId="2"/>
  </si>
  <si>
    <t>（特非）所沢つばさの会</t>
    <rPh sb="1" eb="2">
      <t>トク</t>
    </rPh>
    <rPh sb="2" eb="3">
      <t>ヒ</t>
    </rPh>
    <rPh sb="4" eb="6">
      <t>トコロザワ</t>
    </rPh>
    <rPh sb="10" eb="11">
      <t>カイ</t>
    </rPh>
    <phoneticPr fontId="2"/>
  </si>
  <si>
    <t>つばさカフェ</t>
    <phoneticPr fontId="2"/>
  </si>
  <si>
    <t>三ケ島五丁目541-43</t>
    <rPh sb="0" eb="3">
      <t>ミカジマ</t>
    </rPh>
    <rPh sb="3" eb="6">
      <t>ゴチョウメ</t>
    </rPh>
    <phoneticPr fontId="2"/>
  </si>
  <si>
    <t>04-2946-9080</t>
    <phoneticPr fontId="2"/>
  </si>
  <si>
    <t>04-2946-9181</t>
    <phoneticPr fontId="2"/>
  </si>
  <si>
    <t>西武池袋線小手指駅または狭山ヶ丘駅から西武バス「芸術総合高校」下車後徒歩3分</t>
    <rPh sb="0" eb="5">
      <t>セイブイケブクロセン</t>
    </rPh>
    <rPh sb="5" eb="6">
      <t>ショウ</t>
    </rPh>
    <rPh sb="6" eb="7">
      <t>テ</t>
    </rPh>
    <rPh sb="7" eb="8">
      <t>ユビ</t>
    </rPh>
    <rPh sb="8" eb="9">
      <t>エキ</t>
    </rPh>
    <rPh sb="12" eb="14">
      <t>サヤマ</t>
    </rPh>
    <rPh sb="15" eb="16">
      <t>オカ</t>
    </rPh>
    <rPh sb="16" eb="17">
      <t>エキ</t>
    </rPh>
    <rPh sb="19" eb="21">
      <t>セイブ</t>
    </rPh>
    <rPh sb="24" eb="26">
      <t>ゲイジュツ</t>
    </rPh>
    <rPh sb="26" eb="28">
      <t>ソウゴウ</t>
    </rPh>
    <rPh sb="28" eb="30">
      <t>コウコウ</t>
    </rPh>
    <rPh sb="31" eb="33">
      <t>ゲシャ</t>
    </rPh>
    <rPh sb="33" eb="34">
      <t>ゴ</t>
    </rPh>
    <rPh sb="34" eb="36">
      <t>トホ</t>
    </rPh>
    <rPh sb="37" eb="38">
      <t>フン</t>
    </rPh>
    <phoneticPr fontId="2"/>
  </si>
  <si>
    <t>aloha新所沢</t>
    <rPh sb="5" eb="6">
      <t>シン</t>
    </rPh>
    <rPh sb="6" eb="8">
      <t>トコロザワ</t>
    </rPh>
    <phoneticPr fontId="2"/>
  </si>
  <si>
    <t>緑町2-7-16 三上ビル2階</t>
    <rPh sb="0" eb="1">
      <t>ミドリ</t>
    </rPh>
    <rPh sb="1" eb="2">
      <t>マチ</t>
    </rPh>
    <rPh sb="9" eb="11">
      <t>ミカミ</t>
    </rPh>
    <rPh sb="14" eb="15">
      <t>カイ</t>
    </rPh>
    <phoneticPr fontId="2"/>
  </si>
  <si>
    <t>359-1111</t>
    <phoneticPr fontId="2"/>
  </si>
  <si>
    <t>04-2937-6811</t>
    <phoneticPr fontId="2"/>
  </si>
  <si>
    <t>04-2937-6833</t>
    <phoneticPr fontId="2"/>
  </si>
  <si>
    <t>新所沢駅から徒歩3分</t>
    <rPh sb="0" eb="1">
      <t>シン</t>
    </rPh>
    <rPh sb="1" eb="3">
      <t>トコロザワ</t>
    </rPh>
    <rPh sb="3" eb="4">
      <t>エキ</t>
    </rPh>
    <rPh sb="6" eb="8">
      <t>トホ</t>
    </rPh>
    <rPh sb="9" eb="10">
      <t>フン</t>
    </rPh>
    <phoneticPr fontId="2"/>
  </si>
  <si>
    <t>多機能型事業所あおーら飯能</t>
    <rPh sb="0" eb="4">
      <t>タキノウガタ</t>
    </rPh>
    <rPh sb="4" eb="7">
      <t>ジギョウショ</t>
    </rPh>
    <rPh sb="11" eb="13">
      <t>ハンノウ</t>
    </rPh>
    <phoneticPr fontId="2"/>
  </si>
  <si>
    <t>（一社）カルミア</t>
    <rPh sb="1" eb="3">
      <t>イッシャ</t>
    </rPh>
    <phoneticPr fontId="2"/>
  </si>
  <si>
    <t>いべりす</t>
    <phoneticPr fontId="2"/>
  </si>
  <si>
    <t>粕壁東1-21-7
春日部アークビル１階</t>
    <rPh sb="0" eb="3">
      <t>カスカベヒガシ</t>
    </rPh>
    <rPh sb="10" eb="13">
      <t>カスカベ</t>
    </rPh>
    <rPh sb="19" eb="20">
      <t>カイ</t>
    </rPh>
    <phoneticPr fontId="2"/>
  </si>
  <si>
    <t>048-795-4028</t>
    <phoneticPr fontId="2"/>
  </si>
  <si>
    <t>048-795-4029</t>
    <phoneticPr fontId="2"/>
  </si>
  <si>
    <t>東武伊勢崎線・野田線春日部駅東口から徒歩6分</t>
    <rPh sb="0" eb="2">
      <t>トウブ</t>
    </rPh>
    <rPh sb="2" eb="5">
      <t>イセサキ</t>
    </rPh>
    <rPh sb="5" eb="6">
      <t>セン</t>
    </rPh>
    <rPh sb="7" eb="10">
      <t>ノダセン</t>
    </rPh>
    <rPh sb="10" eb="14">
      <t>カスカベエキ</t>
    </rPh>
    <rPh sb="14" eb="16">
      <t>ヒガシグチ</t>
    </rPh>
    <rPh sb="18" eb="20">
      <t>トホ</t>
    </rPh>
    <rPh sb="21" eb="22">
      <t>フン</t>
    </rPh>
    <phoneticPr fontId="2"/>
  </si>
  <si>
    <t>南篠崎2-2-2</t>
    <rPh sb="0" eb="1">
      <t>ミナミ</t>
    </rPh>
    <rPh sb="1" eb="3">
      <t>シノザキ</t>
    </rPh>
    <phoneticPr fontId="1"/>
  </si>
  <si>
    <t>347-0017</t>
    <phoneticPr fontId="2"/>
  </si>
  <si>
    <t>0480-53-8571</t>
    <phoneticPr fontId="2"/>
  </si>
  <si>
    <t>0480-53-8572</t>
    <phoneticPr fontId="2"/>
  </si>
  <si>
    <t>東武伊勢崎線花崎駅からバス東循環コース「加須南篠崎体育館」下車後徒歩1分</t>
    <rPh sb="0" eb="2">
      <t>トウブ</t>
    </rPh>
    <rPh sb="2" eb="5">
      <t>イセサキ</t>
    </rPh>
    <rPh sb="5" eb="6">
      <t>セン</t>
    </rPh>
    <rPh sb="6" eb="8">
      <t>ハナサキ</t>
    </rPh>
    <rPh sb="8" eb="9">
      <t>エキ</t>
    </rPh>
    <rPh sb="13" eb="14">
      <t>ヒガシ</t>
    </rPh>
    <rPh sb="14" eb="16">
      <t>ジュンカン</t>
    </rPh>
    <rPh sb="20" eb="22">
      <t>カゾ</t>
    </rPh>
    <rPh sb="22" eb="23">
      <t>ミナミ</t>
    </rPh>
    <rPh sb="23" eb="25">
      <t>シノザキ</t>
    </rPh>
    <rPh sb="25" eb="28">
      <t>タイイクカン</t>
    </rPh>
    <rPh sb="29" eb="31">
      <t>ゲシャ</t>
    </rPh>
    <rPh sb="31" eb="32">
      <t>ゴ</t>
    </rPh>
    <rPh sb="32" eb="34">
      <t>トホ</t>
    </rPh>
    <rPh sb="35" eb="36">
      <t>フン</t>
    </rPh>
    <phoneticPr fontId="2"/>
  </si>
  <si>
    <t>（特非）あおーら</t>
    <rPh sb="1" eb="2">
      <t>トク</t>
    </rPh>
    <rPh sb="2" eb="3">
      <t>ヒ</t>
    </rPh>
    <phoneticPr fontId="2"/>
  </si>
  <si>
    <t>多機能型事業所あおーら日高</t>
    <rPh sb="0" eb="4">
      <t>タキノウガタ</t>
    </rPh>
    <rPh sb="4" eb="7">
      <t>ジギョウショ</t>
    </rPh>
    <rPh sb="11" eb="13">
      <t>ヒダカ</t>
    </rPh>
    <phoneticPr fontId="2"/>
  </si>
  <si>
    <t>高麗川一丁目6-10</t>
    <rPh sb="0" eb="2">
      <t>コウライ</t>
    </rPh>
    <rPh sb="2" eb="3">
      <t>カワ</t>
    </rPh>
    <rPh sb="3" eb="6">
      <t>イッチョウメ</t>
    </rPh>
    <phoneticPr fontId="2"/>
  </si>
  <si>
    <t>350-1249</t>
    <phoneticPr fontId="2"/>
  </si>
  <si>
    <t>042-978-7370</t>
    <phoneticPr fontId="2"/>
  </si>
  <si>
    <t>高麗川駅から徒歩7分</t>
    <rPh sb="0" eb="2">
      <t>コウライ</t>
    </rPh>
    <rPh sb="2" eb="3">
      <t>カワ</t>
    </rPh>
    <rPh sb="3" eb="4">
      <t>エキ</t>
    </rPh>
    <rPh sb="6" eb="8">
      <t>トホ</t>
    </rPh>
    <rPh sb="9" eb="10">
      <t>フン</t>
    </rPh>
    <phoneticPr fontId="2"/>
  </si>
  <si>
    <t>しんわ東川口ショートステイ</t>
    <rPh sb="2" eb="5">
      <t>ヒガシカワグチ</t>
    </rPh>
    <phoneticPr fontId="5"/>
  </si>
  <si>
    <t>緑区大門５９９－３</t>
    <rPh sb="0" eb="1">
      <t>ミドリ</t>
    </rPh>
    <rPh sb="1" eb="3">
      <t>ダイモン</t>
    </rPh>
    <phoneticPr fontId="5"/>
  </si>
  <si>
    <t>336-0963</t>
  </si>
  <si>
    <t>048-767-3017</t>
  </si>
  <si>
    <t>048-767-3018</t>
  </si>
  <si>
    <t>東川口駅徒歩8分</t>
    <rPh sb="0" eb="4">
      <t>ヒガシカワグチエキ</t>
    </rPh>
    <rPh sb="4" eb="6">
      <t>トホ</t>
    </rPh>
    <rPh sb="7" eb="8">
      <t>フン</t>
    </rPh>
    <phoneticPr fontId="2"/>
  </si>
  <si>
    <t>（株）国土信和</t>
    <rPh sb="0" eb="3">
      <t>カブ</t>
    </rPh>
    <rPh sb="3" eb="5">
      <t>コクド</t>
    </rPh>
    <rPh sb="5" eb="7">
      <t>シンワ</t>
    </rPh>
    <phoneticPr fontId="5"/>
  </si>
  <si>
    <t>（株）ＢＥＬＬ　Ｅｍｐｌｏｙｍｅｎｔ　Ｓｕｐｐｏｒｔ</t>
  </si>
  <si>
    <t>見沼区東大宮５－２－１３　齋藤第１ビル４Ｆ</t>
    <rPh sb="0" eb="3">
      <t>ミヌマク</t>
    </rPh>
    <rPh sb="3" eb="6">
      <t>ヒガシオオミヤ</t>
    </rPh>
    <rPh sb="13" eb="15">
      <t>サイトウ</t>
    </rPh>
    <rPh sb="15" eb="16">
      <t>ダイ</t>
    </rPh>
    <phoneticPr fontId="5"/>
  </si>
  <si>
    <t>JR東大宮駅から徒歩30秒</t>
    <rPh sb="2" eb="6">
      <t>ヒガシオオミヤエキ</t>
    </rPh>
    <rPh sb="8" eb="10">
      <t>トホ</t>
    </rPh>
    <rPh sb="12" eb="13">
      <t>ビョウ</t>
    </rPh>
    <phoneticPr fontId="2"/>
  </si>
  <si>
    <t>（株）クラ・ゼミ</t>
    <phoneticPr fontId="5"/>
  </si>
  <si>
    <t>トモイキ</t>
  </si>
  <si>
    <t>蒲生茜町12-9　アサクラビル1F</t>
    <rPh sb="0" eb="4">
      <t>ガモウアカネチョウ</t>
    </rPh>
    <phoneticPr fontId="2"/>
  </si>
  <si>
    <t>343-0843</t>
  </si>
  <si>
    <t>048-971-5505</t>
  </si>
  <si>
    <t>048-971-5523</t>
  </si>
  <si>
    <t>東武スカイツリーライン蒲生駅徒歩1分</t>
    <rPh sb="0" eb="2">
      <t>トウブ</t>
    </rPh>
    <rPh sb="11" eb="13">
      <t>ガモウ</t>
    </rPh>
    <rPh sb="13" eb="14">
      <t>エキ</t>
    </rPh>
    <rPh sb="14" eb="16">
      <t>トホ</t>
    </rPh>
    <rPh sb="17" eb="18">
      <t>フン</t>
    </rPh>
    <phoneticPr fontId="2"/>
  </si>
  <si>
    <t>共に生きる（株）</t>
    <rPh sb="0" eb="1">
      <t>トモ</t>
    </rPh>
    <rPh sb="2" eb="3">
      <t>イ</t>
    </rPh>
    <phoneticPr fontId="2"/>
  </si>
  <si>
    <t>（同）一元</t>
    <rPh sb="1" eb="2">
      <t>オナ</t>
    </rPh>
    <rPh sb="3" eb="5">
      <t>イチゲン</t>
    </rPh>
    <phoneticPr fontId="2"/>
  </si>
  <si>
    <t>ララ・サニー</t>
  </si>
  <si>
    <t>井戸木2-19-14
小野ビル２Ｆ</t>
    <rPh sb="0" eb="3">
      <t>イドギ</t>
    </rPh>
    <rPh sb="11" eb="13">
      <t>オノ</t>
    </rPh>
    <phoneticPr fontId="2"/>
  </si>
  <si>
    <t>048-662-9085</t>
  </si>
  <si>
    <t>048-662-9086</t>
  </si>
  <si>
    <t>桶川駅西口より徒歩9分</t>
    <rPh sb="0" eb="3">
      <t>オケガワエキ</t>
    </rPh>
    <rPh sb="3" eb="5">
      <t>ニシグチ</t>
    </rPh>
    <rPh sb="7" eb="9">
      <t>トホ</t>
    </rPh>
    <rPh sb="10" eb="11">
      <t>フン</t>
    </rPh>
    <phoneticPr fontId="2"/>
  </si>
  <si>
    <t>西原1-4-32 ドレイク北朝霞　スカイオアシス1階</t>
    <rPh sb="0" eb="2">
      <t>ニシハラ</t>
    </rPh>
    <rPh sb="13" eb="16">
      <t>キタアサカ</t>
    </rPh>
    <rPh sb="25" eb="26">
      <t>カイ</t>
    </rPh>
    <phoneticPr fontId="2"/>
  </si>
  <si>
    <t>河原町1-25　ユーケー入間駅前ビル1階</t>
    <rPh sb="0" eb="3">
      <t>カワラチョウ</t>
    </rPh>
    <rPh sb="12" eb="16">
      <t>イルマエキマエ</t>
    </rPh>
    <rPh sb="19" eb="20">
      <t>カイ</t>
    </rPh>
    <phoneticPr fontId="2"/>
  </si>
  <si>
    <t>間鎌276-2</t>
    <rPh sb="0" eb="1">
      <t>マ</t>
    </rPh>
    <phoneticPr fontId="2"/>
  </si>
  <si>
    <t>ディーキャリアITエキスパート　大宮オフィス</t>
    <rPh sb="16" eb="18">
      <t>オオミヤ</t>
    </rPh>
    <phoneticPr fontId="5"/>
  </si>
  <si>
    <t>大宮区桜木町４－２４０　山崎ビル２階東</t>
    <rPh sb="0" eb="3">
      <t>オオミヤク</t>
    </rPh>
    <rPh sb="3" eb="6">
      <t>サクラギチョウ</t>
    </rPh>
    <rPh sb="12" eb="14">
      <t>ヤマザキ</t>
    </rPh>
    <rPh sb="17" eb="18">
      <t>カイ</t>
    </rPh>
    <rPh sb="18" eb="19">
      <t>ヒガシ</t>
    </rPh>
    <phoneticPr fontId="5"/>
  </si>
  <si>
    <t>048-662-9722</t>
  </si>
  <si>
    <t>048-662-9723</t>
  </si>
  <si>
    <t>アトリエ・アンノウンⅡ　浦和</t>
    <rPh sb="12" eb="14">
      <t>ウラワ</t>
    </rPh>
    <phoneticPr fontId="5"/>
  </si>
  <si>
    <t>南区大谷口１５８５－１</t>
  </si>
  <si>
    <t>336-0042</t>
  </si>
  <si>
    <t>048-816-4830</t>
  </si>
  <si>
    <t>048-816-4831</t>
  </si>
  <si>
    <t>JR南浦和駅から国際興業バス柳崎行き「太田窪５丁目」停留所から徒歩7分</t>
    <rPh sb="2" eb="5">
      <t>ミナミウラワ</t>
    </rPh>
    <rPh sb="5" eb="6">
      <t>エキ</t>
    </rPh>
    <rPh sb="8" eb="10">
      <t>コクサイ</t>
    </rPh>
    <rPh sb="10" eb="12">
      <t>コウギョウ</t>
    </rPh>
    <rPh sb="14" eb="16">
      <t>ヤナギサキ</t>
    </rPh>
    <rPh sb="16" eb="17">
      <t>ユ</t>
    </rPh>
    <rPh sb="19" eb="22">
      <t>ダイタクボ</t>
    </rPh>
    <rPh sb="23" eb="25">
      <t>チョウメ</t>
    </rPh>
    <rPh sb="26" eb="29">
      <t>テイリュウジョ</t>
    </rPh>
    <rPh sb="31" eb="33">
      <t>トホ</t>
    </rPh>
    <rPh sb="34" eb="35">
      <t>フン</t>
    </rPh>
    <phoneticPr fontId="2"/>
  </si>
  <si>
    <t>アイトライリワーク大宮</t>
    <rPh sb="9" eb="11">
      <t>オオミヤ</t>
    </rPh>
    <phoneticPr fontId="5"/>
  </si>
  <si>
    <t>大宮区大門町２－１１　プロスパーワンビル４階</t>
  </si>
  <si>
    <t>048-778-8561</t>
  </si>
  <si>
    <t>048-778-8562</t>
  </si>
  <si>
    <t>JR大宮駅から徒歩５分</t>
    <rPh sb="2" eb="4">
      <t>オオミヤ</t>
    </rPh>
    <rPh sb="4" eb="5">
      <t>エキ</t>
    </rPh>
    <rPh sb="7" eb="9">
      <t>トホ</t>
    </rPh>
    <rPh sb="10" eb="11">
      <t>フン</t>
    </rPh>
    <phoneticPr fontId="2"/>
  </si>
  <si>
    <t>有限会社来楽</t>
    <rPh sb="0" eb="4">
      <t>ユウゲンガイシャ</t>
    </rPh>
    <rPh sb="4" eb="5">
      <t>ライ</t>
    </rPh>
    <rPh sb="5" eb="6">
      <t>ラク</t>
    </rPh>
    <phoneticPr fontId="5"/>
  </si>
  <si>
    <t>多機能型事業所　来楽見沼</t>
    <rPh sb="0" eb="7">
      <t>タキノウガタジギョウショ</t>
    </rPh>
    <rPh sb="8" eb="9">
      <t>ライ</t>
    </rPh>
    <rPh sb="9" eb="10">
      <t>ラク</t>
    </rPh>
    <rPh sb="10" eb="12">
      <t>ミヌマ</t>
    </rPh>
    <phoneticPr fontId="5"/>
  </si>
  <si>
    <t>見沼区大谷１６７４―３</t>
    <rPh sb="0" eb="2">
      <t>ミヌマ</t>
    </rPh>
    <rPh sb="2" eb="3">
      <t>ク</t>
    </rPh>
    <rPh sb="3" eb="5">
      <t>オオタニ</t>
    </rPh>
    <phoneticPr fontId="5"/>
  </si>
  <si>
    <t>337-0014</t>
  </si>
  <si>
    <t>048-871-8570</t>
  </si>
  <si>
    <t>サムズアップワークス</t>
  </si>
  <si>
    <t>343-0813</t>
  </si>
  <si>
    <t>048-940-6232</t>
  </si>
  <si>
    <t>048-999-6348</t>
  </si>
  <si>
    <t>東武スカイツリーライン越谷駅徒歩4分</t>
  </si>
  <si>
    <t>（株）WITHハピネス</t>
    <rPh sb="0" eb="3">
      <t>カブシキガイシャ</t>
    </rPh>
    <phoneticPr fontId="27"/>
  </si>
  <si>
    <t>就労移行支援事業所ルーツ川越</t>
    <rPh sb="0" eb="2">
      <t>シュウロウ</t>
    </rPh>
    <rPh sb="2" eb="4">
      <t>イコウ</t>
    </rPh>
    <rPh sb="4" eb="6">
      <t>シエン</t>
    </rPh>
    <rPh sb="6" eb="9">
      <t>ジギョウショ</t>
    </rPh>
    <rPh sb="12" eb="14">
      <t>カワゴエ</t>
    </rPh>
    <phoneticPr fontId="27"/>
  </si>
  <si>
    <t>中原町2-10-12　MKビル2階</t>
    <rPh sb="0" eb="3">
      <t>ナカハラマチ</t>
    </rPh>
    <rPh sb="16" eb="17">
      <t>カイ</t>
    </rPh>
    <phoneticPr fontId="27"/>
  </si>
  <si>
    <t>350-0042</t>
  </si>
  <si>
    <t>049-299-7810</t>
  </si>
  <si>
    <t>049-299-7818</t>
  </si>
  <si>
    <t>本川越駅より徒歩4分</t>
    <rPh sb="0" eb="1">
      <t>ホン</t>
    </rPh>
    <rPh sb="1" eb="3">
      <t>カワゴエ</t>
    </rPh>
    <rPh sb="3" eb="4">
      <t>エキ</t>
    </rPh>
    <rPh sb="6" eb="8">
      <t>トホ</t>
    </rPh>
    <rPh sb="9" eb="10">
      <t>フン</t>
    </rPh>
    <phoneticPr fontId="27"/>
  </si>
  <si>
    <t>鴻巣1183-2</t>
    <rPh sb="0" eb="2">
      <t>コウノス</t>
    </rPh>
    <phoneticPr fontId="2"/>
  </si>
  <si>
    <t>365-0028</t>
    <phoneticPr fontId="2"/>
  </si>
  <si>
    <t>048-598-3068</t>
    <phoneticPr fontId="2"/>
  </si>
  <si>
    <t>048-598-3069</t>
  </si>
  <si>
    <t>鴻巣駅から徒歩18分</t>
    <rPh sb="0" eb="2">
      <t>コウノス</t>
    </rPh>
    <rPh sb="2" eb="3">
      <t>エキ</t>
    </rPh>
    <rPh sb="5" eb="7">
      <t>トホ</t>
    </rPh>
    <rPh sb="9" eb="10">
      <t>ブン</t>
    </rPh>
    <phoneticPr fontId="2"/>
  </si>
  <si>
    <t>（特非）ホワイトベース</t>
    <rPh sb="1" eb="2">
      <t>トク</t>
    </rPh>
    <rPh sb="2" eb="3">
      <t>ヒ</t>
    </rPh>
    <phoneticPr fontId="2"/>
  </si>
  <si>
    <t>ホワイトキャンバス</t>
    <phoneticPr fontId="2"/>
  </si>
  <si>
    <t>武蔵野315-1</t>
    <rPh sb="0" eb="3">
      <t>ムサシノ</t>
    </rPh>
    <phoneticPr fontId="2"/>
  </si>
  <si>
    <t>369-1241</t>
    <phoneticPr fontId="2"/>
  </si>
  <si>
    <t>090-2646-7634</t>
    <phoneticPr fontId="2"/>
  </si>
  <si>
    <t>秩父鉄道寄居駅より本庄駅南口行きバス「北飯塚」下車徒歩2分</t>
    <rPh sb="0" eb="2">
      <t>チチブ</t>
    </rPh>
    <rPh sb="2" eb="4">
      <t>テツドウ</t>
    </rPh>
    <rPh sb="4" eb="7">
      <t>ヨリイエキ</t>
    </rPh>
    <rPh sb="9" eb="11">
      <t>ホンジョウ</t>
    </rPh>
    <rPh sb="11" eb="12">
      <t>エキ</t>
    </rPh>
    <rPh sb="12" eb="14">
      <t>ミナミグチ</t>
    </rPh>
    <rPh sb="14" eb="15">
      <t>イキ</t>
    </rPh>
    <rPh sb="19" eb="20">
      <t>キタ</t>
    </rPh>
    <rPh sb="20" eb="22">
      <t>イイヅカ</t>
    </rPh>
    <rPh sb="23" eb="25">
      <t>ゲシャ</t>
    </rPh>
    <rPh sb="25" eb="27">
      <t>トホ</t>
    </rPh>
    <rPh sb="28" eb="29">
      <t>フン</t>
    </rPh>
    <phoneticPr fontId="2"/>
  </si>
  <si>
    <t>（同）レーベン</t>
    <rPh sb="1" eb="2">
      <t>オナ</t>
    </rPh>
    <phoneticPr fontId="2"/>
  </si>
  <si>
    <t>多機能型事業所たて糸上里事業所</t>
    <rPh sb="0" eb="7">
      <t>タキノウガタジギョウショ</t>
    </rPh>
    <rPh sb="9" eb="15">
      <t>イトカミサトジギョウショ</t>
    </rPh>
    <phoneticPr fontId="2"/>
  </si>
  <si>
    <t>神保原町787</t>
    <rPh sb="0" eb="4">
      <t>ジンボハラマチ</t>
    </rPh>
    <phoneticPr fontId="2"/>
  </si>
  <si>
    <t>369-0305</t>
    <phoneticPr fontId="2"/>
  </si>
  <si>
    <t>0495-71-4450</t>
    <phoneticPr fontId="2"/>
  </si>
  <si>
    <t>0495-71-4454</t>
    <phoneticPr fontId="2"/>
  </si>
  <si>
    <t>ＪＲ高崎線神保原駅より徒歩6分</t>
    <rPh sb="2" eb="5">
      <t>タカサキセン</t>
    </rPh>
    <rPh sb="5" eb="8">
      <t>ジンボハラ</t>
    </rPh>
    <rPh sb="8" eb="9">
      <t>エキ</t>
    </rPh>
    <rPh sb="11" eb="13">
      <t>トホ</t>
    </rPh>
    <rPh sb="14" eb="15">
      <t>フン</t>
    </rPh>
    <phoneticPr fontId="2"/>
  </si>
  <si>
    <t>（福）山鳥の会</t>
    <rPh sb="1" eb="2">
      <t>フク</t>
    </rPh>
    <rPh sb="3" eb="5">
      <t>ヤマドリ</t>
    </rPh>
    <rPh sb="6" eb="7">
      <t>カイ</t>
    </rPh>
    <phoneticPr fontId="2"/>
  </si>
  <si>
    <t>344-0052</t>
    <phoneticPr fontId="2"/>
  </si>
  <si>
    <t>（株）Dog Runs Well</t>
    <rPh sb="0" eb="3">
      <t>カブ</t>
    </rPh>
    <phoneticPr fontId="2"/>
  </si>
  <si>
    <t>いぬとねこのおやつ工房</t>
    <rPh sb="9" eb="11">
      <t>コウボウ</t>
    </rPh>
    <phoneticPr fontId="2"/>
  </si>
  <si>
    <t>香日向4-15-10</t>
    <rPh sb="0" eb="3">
      <t>カヒナタ</t>
    </rPh>
    <phoneticPr fontId="2"/>
  </si>
  <si>
    <t>340-0164</t>
    <phoneticPr fontId="2"/>
  </si>
  <si>
    <t>0480-44-2725</t>
    <phoneticPr fontId="2"/>
  </si>
  <si>
    <t>0480-44-2729</t>
    <phoneticPr fontId="2"/>
  </si>
  <si>
    <t>JR宇都宮線東鷲宮駅から徒歩30分</t>
    <rPh sb="2" eb="5">
      <t>ウツノミヤ</t>
    </rPh>
    <rPh sb="5" eb="6">
      <t>セン</t>
    </rPh>
    <rPh sb="6" eb="7">
      <t>ヒガシ</t>
    </rPh>
    <rPh sb="7" eb="9">
      <t>ワシミヤ</t>
    </rPh>
    <rPh sb="9" eb="10">
      <t>エキ</t>
    </rPh>
    <rPh sb="12" eb="14">
      <t>トホ</t>
    </rPh>
    <rPh sb="16" eb="17">
      <t>フン</t>
    </rPh>
    <phoneticPr fontId="2"/>
  </si>
  <si>
    <t>上日出谷南3-37-1</t>
    <rPh sb="0" eb="4">
      <t>カミヒデヤ</t>
    </rPh>
    <rPh sb="4" eb="5">
      <t>ミナミ</t>
    </rPh>
    <phoneticPr fontId="2"/>
  </si>
  <si>
    <t>（特非）カリン</t>
    <rPh sb="1" eb="2">
      <t>トク</t>
    </rPh>
    <rPh sb="2" eb="3">
      <t>ヒ</t>
    </rPh>
    <phoneticPr fontId="2"/>
  </si>
  <si>
    <t>多機能型事業所ごんたやま</t>
    <rPh sb="0" eb="4">
      <t>タキノウガタ</t>
    </rPh>
    <rPh sb="4" eb="7">
      <t>ジギョウショ</t>
    </rPh>
    <phoneticPr fontId="2"/>
  </si>
  <si>
    <t>猿田240</t>
    <rPh sb="0" eb="2">
      <t>サルタ</t>
    </rPh>
    <phoneticPr fontId="2"/>
  </si>
  <si>
    <t>350-1236</t>
    <phoneticPr fontId="2"/>
  </si>
  <si>
    <t>042-978-9070</t>
    <phoneticPr fontId="2"/>
  </si>
  <si>
    <t>高麗川駅から徒歩10分</t>
    <rPh sb="0" eb="2">
      <t>コウライ</t>
    </rPh>
    <rPh sb="2" eb="3">
      <t>カワ</t>
    </rPh>
    <rPh sb="3" eb="4">
      <t>エキ</t>
    </rPh>
    <rPh sb="6" eb="8">
      <t>トホ</t>
    </rPh>
    <rPh sb="10" eb="11">
      <t>フン</t>
    </rPh>
    <phoneticPr fontId="2"/>
  </si>
  <si>
    <t>金沢ＱＯＬ支援センター（株）</t>
    <rPh sb="0" eb="2">
      <t>カナザワ</t>
    </rPh>
    <rPh sb="5" eb="7">
      <t>シエン</t>
    </rPh>
    <rPh sb="12" eb="13">
      <t>カブ</t>
    </rPh>
    <phoneticPr fontId="2"/>
  </si>
  <si>
    <t>リハスワークふじみ野</t>
    <rPh sb="9" eb="10">
      <t>ノ</t>
    </rPh>
    <phoneticPr fontId="2"/>
  </si>
  <si>
    <t>福岡2丁目1-6 
イオンタウンふじみ野</t>
    <rPh sb="0" eb="2">
      <t>フクオカ</t>
    </rPh>
    <rPh sb="3" eb="5">
      <t>チョウメ</t>
    </rPh>
    <rPh sb="19" eb="20">
      <t>ノ</t>
    </rPh>
    <phoneticPr fontId="2"/>
  </si>
  <si>
    <t>356-0011</t>
    <phoneticPr fontId="2"/>
  </si>
  <si>
    <t>049-293-6196</t>
    <phoneticPr fontId="2"/>
  </si>
  <si>
    <t>上福岡駅東口から徒歩15分</t>
    <rPh sb="0" eb="3">
      <t>カミフクオカ</t>
    </rPh>
    <rPh sb="3" eb="4">
      <t>エキ</t>
    </rPh>
    <rPh sb="4" eb="5">
      <t>ヒガシ</t>
    </rPh>
    <rPh sb="5" eb="6">
      <t>クチ</t>
    </rPh>
    <rPh sb="8" eb="10">
      <t>トホ</t>
    </rPh>
    <rPh sb="12" eb="13">
      <t>フン</t>
    </rPh>
    <phoneticPr fontId="2"/>
  </si>
  <si>
    <t>（株）メルフィス</t>
    <rPh sb="1" eb="2">
      <t>カブ</t>
    </rPh>
    <phoneticPr fontId="2"/>
  </si>
  <si>
    <t>Design Base</t>
    <phoneticPr fontId="2"/>
  </si>
  <si>
    <t>狭山台1丁目11-3
アマン狭山台1F</t>
    <rPh sb="0" eb="3">
      <t>サヤマダイ</t>
    </rPh>
    <rPh sb="4" eb="6">
      <t>チョウメ</t>
    </rPh>
    <rPh sb="14" eb="17">
      <t>サヤマダイ</t>
    </rPh>
    <phoneticPr fontId="2"/>
  </si>
  <si>
    <t>350-1304</t>
    <phoneticPr fontId="2"/>
  </si>
  <si>
    <t>04-2937-6563</t>
    <phoneticPr fontId="2"/>
  </si>
  <si>
    <t>狭山市駅東口からバス「狭山台団地」下車徒歩3分</t>
    <rPh sb="0" eb="2">
      <t>サヤマ</t>
    </rPh>
    <rPh sb="2" eb="3">
      <t>シ</t>
    </rPh>
    <rPh sb="3" eb="4">
      <t>エキ</t>
    </rPh>
    <rPh sb="4" eb="5">
      <t>ヒガシ</t>
    </rPh>
    <rPh sb="5" eb="6">
      <t>クチ</t>
    </rPh>
    <rPh sb="11" eb="14">
      <t>サヤマダイ</t>
    </rPh>
    <rPh sb="14" eb="16">
      <t>ダンチ</t>
    </rPh>
    <rPh sb="17" eb="19">
      <t>ゲシャ</t>
    </rPh>
    <rPh sb="19" eb="21">
      <t>トホ</t>
    </rPh>
    <rPh sb="22" eb="23">
      <t>フン</t>
    </rPh>
    <phoneticPr fontId="2"/>
  </si>
  <si>
    <t>(株）ＨＡＮＡ</t>
    <rPh sb="1" eb="2">
      <t>カブ</t>
    </rPh>
    <phoneticPr fontId="5"/>
  </si>
  <si>
    <t>短期入所Ｈａｎａ</t>
    <rPh sb="0" eb="2">
      <t>タンキ</t>
    </rPh>
    <rPh sb="2" eb="4">
      <t>ニュウショ</t>
    </rPh>
    <phoneticPr fontId="5"/>
  </si>
  <si>
    <t>須ヶ谷1-87-1</t>
    <rPh sb="0" eb="3">
      <t>スカヤ</t>
    </rPh>
    <phoneticPr fontId="1"/>
  </si>
  <si>
    <t>362-0004</t>
    <phoneticPr fontId="2"/>
  </si>
  <si>
    <t>048-795-8888</t>
    <phoneticPr fontId="2"/>
  </si>
  <si>
    <t>048-795-8889</t>
    <phoneticPr fontId="2"/>
  </si>
  <si>
    <t>羽貫駅から徒歩12分
※共同生活援助との併設</t>
    <rPh sb="0" eb="2">
      <t>ハヌキ</t>
    </rPh>
    <rPh sb="2" eb="3">
      <t>エキ</t>
    </rPh>
    <rPh sb="5" eb="7">
      <t>トホ</t>
    </rPh>
    <rPh sb="9" eb="10">
      <t>フン</t>
    </rPh>
    <rPh sb="12" eb="14">
      <t>キョウドウ</t>
    </rPh>
    <rPh sb="14" eb="16">
      <t>セイカツ</t>
    </rPh>
    <rPh sb="16" eb="18">
      <t>エンジョ</t>
    </rPh>
    <rPh sb="20" eb="22">
      <t>ヘイセツ</t>
    </rPh>
    <phoneticPr fontId="2"/>
  </si>
  <si>
    <t>インクルード（株）</t>
    <rPh sb="7" eb="8">
      <t>カブ</t>
    </rPh>
    <phoneticPr fontId="2"/>
  </si>
  <si>
    <t>ニューロリワーク　所沢センター</t>
    <rPh sb="9" eb="11">
      <t>トコロザワ</t>
    </rPh>
    <phoneticPr fontId="2"/>
  </si>
  <si>
    <t>喜多町16-7</t>
    <rPh sb="0" eb="1">
      <t>キ</t>
    </rPh>
    <rPh sb="1" eb="2">
      <t>タ</t>
    </rPh>
    <rPh sb="2" eb="3">
      <t>マチ</t>
    </rPh>
    <phoneticPr fontId="2"/>
  </si>
  <si>
    <t>04-2946-7255</t>
    <phoneticPr fontId="2"/>
  </si>
  <si>
    <t>04-2946-7256</t>
    <phoneticPr fontId="2"/>
  </si>
  <si>
    <t>航空公園駅から徒歩2分</t>
    <rPh sb="0" eb="2">
      <t>コウクウ</t>
    </rPh>
    <rPh sb="2" eb="4">
      <t>コウエン</t>
    </rPh>
    <rPh sb="4" eb="5">
      <t>エキ</t>
    </rPh>
    <rPh sb="7" eb="9">
      <t>トホ</t>
    </rPh>
    <rPh sb="10" eb="11">
      <t>フン</t>
    </rPh>
    <phoneticPr fontId="2"/>
  </si>
  <si>
    <t>ＡＫＡＳＵＩ</t>
    <phoneticPr fontId="2"/>
  </si>
  <si>
    <t>円光1-11-21</t>
    <rPh sb="0" eb="2">
      <t>エンコウ</t>
    </rPh>
    <phoneticPr fontId="2"/>
  </si>
  <si>
    <t>048-526-6919</t>
    <phoneticPr fontId="2"/>
  </si>
  <si>
    <t>熊谷駅から車で10分</t>
    <rPh sb="0" eb="2">
      <t>クマガヤ</t>
    </rPh>
    <rPh sb="2" eb="3">
      <t>エキ</t>
    </rPh>
    <rPh sb="5" eb="6">
      <t>クルマ</t>
    </rPh>
    <rPh sb="9" eb="10">
      <t>フン</t>
    </rPh>
    <phoneticPr fontId="2"/>
  </si>
  <si>
    <t>野火止八丁目15-17</t>
    <rPh sb="0" eb="3">
      <t>ノビドメ</t>
    </rPh>
    <rPh sb="3" eb="6">
      <t>ハッチョウメ</t>
    </rPh>
    <phoneticPr fontId="1"/>
  </si>
  <si>
    <t>048-458-3721</t>
    <phoneticPr fontId="2"/>
  </si>
  <si>
    <t>048-458-3725</t>
    <phoneticPr fontId="2"/>
  </si>
  <si>
    <t>新座駅から徒歩19分
※共同生活援助との併設</t>
    <rPh sb="0" eb="2">
      <t>ニイザ</t>
    </rPh>
    <rPh sb="2" eb="3">
      <t>エキ</t>
    </rPh>
    <rPh sb="5" eb="7">
      <t>トホ</t>
    </rPh>
    <rPh sb="9" eb="10">
      <t>フン</t>
    </rPh>
    <phoneticPr fontId="2"/>
  </si>
  <si>
    <t>障がい者支援施設メゾン・ド・びおもす</t>
    <rPh sb="0" eb="1">
      <t>ショウ</t>
    </rPh>
    <rPh sb="3" eb="4">
      <t>シャ</t>
    </rPh>
    <rPh sb="4" eb="8">
      <t>シエンシセツ</t>
    </rPh>
    <phoneticPr fontId="2"/>
  </si>
  <si>
    <t>中丸9-259</t>
    <rPh sb="0" eb="2">
      <t>ナカマル</t>
    </rPh>
    <phoneticPr fontId="2"/>
  </si>
  <si>
    <t>048-580-7106</t>
    <phoneticPr fontId="2"/>
  </si>
  <si>
    <t>048-580-7113</t>
    <phoneticPr fontId="2"/>
  </si>
  <si>
    <t>北本駅から車で10分</t>
    <rPh sb="0" eb="2">
      <t>キタモト</t>
    </rPh>
    <rPh sb="2" eb="3">
      <t>エキ</t>
    </rPh>
    <rPh sb="5" eb="6">
      <t>クルマ</t>
    </rPh>
    <rPh sb="9" eb="10">
      <t>フン</t>
    </rPh>
    <phoneticPr fontId="2"/>
  </si>
  <si>
    <t>就労定着支援事業所カルディア草加</t>
    <rPh sb="0" eb="2">
      <t>シュウロウ</t>
    </rPh>
    <rPh sb="2" eb="4">
      <t>テイチャク</t>
    </rPh>
    <rPh sb="4" eb="6">
      <t>シエン</t>
    </rPh>
    <rPh sb="6" eb="8">
      <t>ジギョウ</t>
    </rPh>
    <rPh sb="8" eb="9">
      <t>ショ</t>
    </rPh>
    <rPh sb="14" eb="16">
      <t>ソウカ</t>
    </rPh>
    <phoneticPr fontId="2"/>
  </si>
  <si>
    <t>あやめはうす東鷲宮</t>
    <rPh sb="6" eb="9">
      <t>ヒガシワシノミヤ</t>
    </rPh>
    <phoneticPr fontId="5"/>
  </si>
  <si>
    <t>西大輪207-6</t>
    <rPh sb="0" eb="1">
      <t>ニシ</t>
    </rPh>
    <rPh sb="1" eb="3">
      <t>ダイリン</t>
    </rPh>
    <phoneticPr fontId="1"/>
  </si>
  <si>
    <t>東鷲宮駅から徒歩約15分
※共同生活援助との併設</t>
    <rPh sb="0" eb="3">
      <t>ヒガシワシノミヤ</t>
    </rPh>
    <rPh sb="3" eb="4">
      <t>エキ</t>
    </rPh>
    <rPh sb="6" eb="8">
      <t>トホ</t>
    </rPh>
    <rPh sb="8" eb="9">
      <t>ヤク</t>
    </rPh>
    <rPh sb="11" eb="12">
      <t>フン</t>
    </rPh>
    <rPh sb="14" eb="16">
      <t>キョウドウ</t>
    </rPh>
    <rPh sb="16" eb="18">
      <t>セイカツ</t>
    </rPh>
    <rPh sb="18" eb="20">
      <t>エンジョ</t>
    </rPh>
    <rPh sb="22" eb="24">
      <t>ヘイセツ</t>
    </rPh>
    <phoneticPr fontId="2"/>
  </si>
  <si>
    <t>わかば</t>
    <phoneticPr fontId="2"/>
  </si>
  <si>
    <t>常木1104-3</t>
    <rPh sb="0" eb="2">
      <t>ツネキ</t>
    </rPh>
    <phoneticPr fontId="2"/>
  </si>
  <si>
    <t>048-501-5408</t>
    <phoneticPr fontId="2"/>
  </si>
  <si>
    <t>（特非）あおいはる</t>
    <rPh sb="1" eb="2">
      <t>トク</t>
    </rPh>
    <rPh sb="2" eb="3">
      <t>ヒ</t>
    </rPh>
    <phoneticPr fontId="2"/>
  </si>
  <si>
    <t>生活介護　のらのら</t>
    <rPh sb="0" eb="2">
      <t>セイカツ</t>
    </rPh>
    <rPh sb="2" eb="4">
      <t>カイゴ</t>
    </rPh>
    <phoneticPr fontId="2"/>
  </si>
  <si>
    <t>高久1-38-4</t>
    <rPh sb="0" eb="2">
      <t>タカク</t>
    </rPh>
    <phoneticPr fontId="2"/>
  </si>
  <si>
    <t>342-0035</t>
    <phoneticPr fontId="2"/>
  </si>
  <si>
    <t>048-973-7358</t>
    <phoneticPr fontId="2"/>
  </si>
  <si>
    <t>048-973-7359</t>
    <phoneticPr fontId="2"/>
  </si>
  <si>
    <t>JR武蔵野線吉川駅から車5分
※放課後等デイサービスとの多機能</t>
    <rPh sb="2" eb="6">
      <t>ムサシノセン</t>
    </rPh>
    <rPh sb="6" eb="8">
      <t>ヨシカワ</t>
    </rPh>
    <rPh sb="8" eb="9">
      <t>エキ</t>
    </rPh>
    <rPh sb="11" eb="12">
      <t>クルマ</t>
    </rPh>
    <rPh sb="13" eb="14">
      <t>フン</t>
    </rPh>
    <rPh sb="16" eb="20">
      <t>ホウカゴトウ</t>
    </rPh>
    <rPh sb="28" eb="31">
      <t>タキノウ</t>
    </rPh>
    <phoneticPr fontId="2"/>
  </si>
  <si>
    <t>（株）ハートカンパニー</t>
    <rPh sb="0" eb="3">
      <t>カブ</t>
    </rPh>
    <phoneticPr fontId="5"/>
  </si>
  <si>
    <t>ベルモッキー</t>
    <phoneticPr fontId="5"/>
  </si>
  <si>
    <t>北青柳1331-7</t>
    <rPh sb="0" eb="1">
      <t>キタ</t>
    </rPh>
    <rPh sb="1" eb="3">
      <t>アオヤギ</t>
    </rPh>
    <phoneticPr fontId="1"/>
  </si>
  <si>
    <t>0480-25-4955</t>
    <phoneticPr fontId="2"/>
  </si>
  <si>
    <t>0480-25-4977</t>
    <phoneticPr fontId="2"/>
  </si>
  <si>
    <t>JR宇都宮線・東武伊勢崎線久喜駅西口より車で8分</t>
    <rPh sb="2" eb="5">
      <t>ウツノミヤ</t>
    </rPh>
    <rPh sb="5" eb="6">
      <t>セン</t>
    </rPh>
    <rPh sb="7" eb="9">
      <t>トウブ</t>
    </rPh>
    <rPh sb="9" eb="12">
      <t>イセサキ</t>
    </rPh>
    <rPh sb="12" eb="13">
      <t>セン</t>
    </rPh>
    <rPh sb="13" eb="15">
      <t>クキ</t>
    </rPh>
    <rPh sb="15" eb="16">
      <t>エキ</t>
    </rPh>
    <rPh sb="16" eb="18">
      <t>ニシグチ</t>
    </rPh>
    <rPh sb="20" eb="21">
      <t>クルマ</t>
    </rPh>
    <rPh sb="23" eb="24">
      <t>フン</t>
    </rPh>
    <phoneticPr fontId="2"/>
  </si>
  <si>
    <t>0422-26-9505</t>
    <phoneticPr fontId="2"/>
  </si>
  <si>
    <t>(一社）ねむの木の丘</t>
    <rPh sb="1" eb="3">
      <t>イッシャ</t>
    </rPh>
    <rPh sb="9" eb="10">
      <t>オカ</t>
    </rPh>
    <phoneticPr fontId="5"/>
  </si>
  <si>
    <t>ショートステイアルビジア</t>
    <phoneticPr fontId="5"/>
  </si>
  <si>
    <t>楊井1784-16</t>
    <rPh sb="0" eb="2">
      <t>ヤギイ</t>
    </rPh>
    <phoneticPr fontId="1"/>
  </si>
  <si>
    <t>360-0164</t>
    <phoneticPr fontId="2"/>
  </si>
  <si>
    <t>048-501-5883</t>
    <phoneticPr fontId="2"/>
  </si>
  <si>
    <t>048-501-5886</t>
    <phoneticPr fontId="2"/>
  </si>
  <si>
    <t>熊谷駅南口から立正大学行バス「平塚」下車徒歩6分</t>
    <rPh sb="0" eb="2">
      <t>クマガヤ</t>
    </rPh>
    <rPh sb="2" eb="3">
      <t>エキ</t>
    </rPh>
    <rPh sb="3" eb="5">
      <t>ミナミグチ</t>
    </rPh>
    <rPh sb="7" eb="9">
      <t>リッショウ</t>
    </rPh>
    <rPh sb="9" eb="11">
      <t>ダイガク</t>
    </rPh>
    <rPh sb="11" eb="12">
      <t>イキ</t>
    </rPh>
    <rPh sb="15" eb="17">
      <t>ヒラツカ</t>
    </rPh>
    <rPh sb="18" eb="20">
      <t>ゲシャ</t>
    </rPh>
    <rPh sb="20" eb="22">
      <t>トホ</t>
    </rPh>
    <rPh sb="23" eb="24">
      <t>フン</t>
    </rPh>
    <phoneticPr fontId="2"/>
  </si>
  <si>
    <t>末野508-1</t>
    <rPh sb="0" eb="1">
      <t>スエ</t>
    </rPh>
    <rPh sb="1" eb="2">
      <t>ノ</t>
    </rPh>
    <phoneticPr fontId="2"/>
  </si>
  <si>
    <t>（福）緑の風</t>
    <rPh sb="1" eb="2">
      <t>フク</t>
    </rPh>
    <rPh sb="3" eb="4">
      <t>ミドリ</t>
    </rPh>
    <rPh sb="5" eb="6">
      <t>カゼ</t>
    </rPh>
    <phoneticPr fontId="2"/>
  </si>
  <si>
    <t>Lagom みさと団地</t>
    <rPh sb="9" eb="11">
      <t>ダンチ</t>
    </rPh>
    <phoneticPr fontId="2"/>
  </si>
  <si>
    <t>彦成4-4-15-103</t>
    <rPh sb="0" eb="2">
      <t>ヒコナリ</t>
    </rPh>
    <phoneticPr fontId="2"/>
  </si>
  <si>
    <t>341-0003</t>
    <phoneticPr fontId="2"/>
  </si>
  <si>
    <t>070-8717-7146</t>
    <phoneticPr fontId="2"/>
  </si>
  <si>
    <t>JR武蔵野線新三郷駅徒歩10分</t>
    <rPh sb="2" eb="6">
      <t>ムサシノセン</t>
    </rPh>
    <rPh sb="6" eb="10">
      <t>シンミサトエキ</t>
    </rPh>
    <rPh sb="10" eb="12">
      <t>トホ</t>
    </rPh>
    <rPh sb="14" eb="15">
      <t>フン</t>
    </rPh>
    <phoneticPr fontId="2"/>
  </si>
  <si>
    <t>（福）誠会</t>
    <rPh sb="1" eb="2">
      <t>フク</t>
    </rPh>
    <rPh sb="3" eb="4">
      <t>マコト</t>
    </rPh>
    <rPh sb="4" eb="5">
      <t>カイ</t>
    </rPh>
    <phoneticPr fontId="2"/>
  </si>
  <si>
    <t>（医）アカシア会</t>
    <rPh sb="1" eb="2">
      <t>イ</t>
    </rPh>
    <rPh sb="7" eb="8">
      <t>カイ</t>
    </rPh>
    <phoneticPr fontId="2"/>
  </si>
  <si>
    <t>就労継続支援Ｂ型事業所パティオ</t>
    <rPh sb="0" eb="2">
      <t>シュウロウ</t>
    </rPh>
    <rPh sb="2" eb="4">
      <t>ケイゾク</t>
    </rPh>
    <rPh sb="4" eb="6">
      <t>シエン</t>
    </rPh>
    <rPh sb="7" eb="8">
      <t>ガタ</t>
    </rPh>
    <rPh sb="8" eb="10">
      <t>ジギョウ</t>
    </rPh>
    <rPh sb="10" eb="11">
      <t>ショ</t>
    </rPh>
    <phoneticPr fontId="2"/>
  </si>
  <si>
    <t>彦成3-7-13-101</t>
    <rPh sb="0" eb="2">
      <t>ヒコナリ</t>
    </rPh>
    <phoneticPr fontId="2"/>
  </si>
  <si>
    <t>048-950-7311</t>
    <phoneticPr fontId="2"/>
  </si>
  <si>
    <t>048-950-7312</t>
    <phoneticPr fontId="2"/>
  </si>
  <si>
    <t>新三郷駅から徒歩約10分</t>
    <rPh sb="0" eb="4">
      <t>シンミサトエキ</t>
    </rPh>
    <rPh sb="6" eb="8">
      <t>トホ</t>
    </rPh>
    <rPh sb="8" eb="9">
      <t>ヤク</t>
    </rPh>
    <rPh sb="11" eb="12">
      <t>フン</t>
    </rPh>
    <phoneticPr fontId="2"/>
  </si>
  <si>
    <t>（株）リーディング・ファクトリー</t>
    <rPh sb="0" eb="3">
      <t>カブ</t>
    </rPh>
    <phoneticPr fontId="2"/>
  </si>
  <si>
    <t>バリューワークス八潮</t>
    <rPh sb="8" eb="10">
      <t>ヤシオ</t>
    </rPh>
    <phoneticPr fontId="2"/>
  </si>
  <si>
    <t>中央2-6-15</t>
    <rPh sb="0" eb="2">
      <t>チュウオウ</t>
    </rPh>
    <phoneticPr fontId="2"/>
  </si>
  <si>
    <t>八潮駅から徒歩23分</t>
    <rPh sb="0" eb="2">
      <t>ヤシオ</t>
    </rPh>
    <rPh sb="2" eb="3">
      <t>エキ</t>
    </rPh>
    <rPh sb="5" eb="7">
      <t>トホ</t>
    </rPh>
    <rPh sb="9" eb="10">
      <t>フン</t>
    </rPh>
    <phoneticPr fontId="2"/>
  </si>
  <si>
    <t>（特非）フラミンゴ</t>
    <rPh sb="1" eb="2">
      <t>トク</t>
    </rPh>
    <rPh sb="2" eb="3">
      <t>ヒ</t>
    </rPh>
    <phoneticPr fontId="2"/>
  </si>
  <si>
    <t>フラミンゴカンパニー</t>
    <phoneticPr fontId="2"/>
  </si>
  <si>
    <t>的場2843-61</t>
    <rPh sb="0" eb="2">
      <t>マトバ</t>
    </rPh>
    <phoneticPr fontId="2"/>
  </si>
  <si>
    <t>350-1101</t>
    <phoneticPr fontId="2"/>
  </si>
  <si>
    <t>049-231-6748</t>
    <phoneticPr fontId="2"/>
  </si>
  <si>
    <t>霞ケ関駅から徒歩７分</t>
    <rPh sb="0" eb="3">
      <t>カスミガセキ</t>
    </rPh>
    <rPh sb="3" eb="4">
      <t>エキ</t>
    </rPh>
    <rPh sb="6" eb="8">
      <t>トホ</t>
    </rPh>
    <rPh sb="9" eb="10">
      <t>フン</t>
    </rPh>
    <phoneticPr fontId="2"/>
  </si>
  <si>
    <t>リズム木曽呂</t>
    <rPh sb="3" eb="6">
      <t>きぞろ</t>
    </rPh>
    <phoneticPr fontId="2" type="Hiragana"/>
  </si>
  <si>
    <t>048-242-3268</t>
    <phoneticPr fontId="2" type="Hiragana"/>
  </si>
  <si>
    <t>048-242-3541</t>
    <phoneticPr fontId="2" type="Hiragana"/>
  </si>
  <si>
    <t>（バス）東浦和駅から新井宿駅行き「木曽呂」下車、徒歩３分</t>
    <phoneticPr fontId="2" type="Hiragana"/>
  </si>
  <si>
    <t>333-0822</t>
    <phoneticPr fontId="2" type="Hiragana"/>
  </si>
  <si>
    <t>あみくる</t>
  </si>
  <si>
    <t>332-0012</t>
  </si>
  <si>
    <t>048-446-7650</t>
  </si>
  <si>
    <t>048-446-7651</t>
  </si>
  <si>
    <t>JR川口駅東口から徒歩５分</t>
    <rPh sb="2" eb="4">
      <t>かわぐち</t>
    </rPh>
    <rPh sb="4" eb="5">
      <t>えき</t>
    </rPh>
    <rPh sb="5" eb="7">
      <t>ひがしぐち</t>
    </rPh>
    <rPh sb="9" eb="11">
      <t>とほ</t>
    </rPh>
    <rPh sb="12" eb="13">
      <t>ふん</t>
    </rPh>
    <phoneticPr fontId="16" type="Hiragana"/>
  </si>
  <si>
    <t>あみくるおべんと屋さん</t>
    <rPh sb="8" eb="9">
      <t>や</t>
    </rPh>
    <phoneticPr fontId="16" type="Hiragana"/>
  </si>
  <si>
    <t>332-0014</t>
  </si>
  <si>
    <t>JR川口駅東口から徒歩５分</t>
    <phoneticPr fontId="16" type="Hiragana"/>
  </si>
  <si>
    <t>ウェルビー（株）</t>
    <phoneticPr fontId="2" type="Hiragana"/>
  </si>
  <si>
    <t>（福）あみくるＤａｙｓ</t>
    <rPh sb="1" eb="2">
      <t>ふく</t>
    </rPh>
    <phoneticPr fontId="16" type="Hiragana"/>
  </si>
  <si>
    <t>就労継続支援Ｂ型事業所　ひかりの森</t>
    <rPh sb="0" eb="2">
      <t>シュウロウ</t>
    </rPh>
    <rPh sb="2" eb="4">
      <t>ケイゾク</t>
    </rPh>
    <rPh sb="4" eb="6">
      <t>シエン</t>
    </rPh>
    <rPh sb="7" eb="8">
      <t>ガタ</t>
    </rPh>
    <rPh sb="8" eb="11">
      <t>ジギョウショ</t>
    </rPh>
    <rPh sb="16" eb="17">
      <t>モリ</t>
    </rPh>
    <phoneticPr fontId="2"/>
  </si>
  <si>
    <t>赤山本町12-4</t>
    <rPh sb="0" eb="4">
      <t>アカヤマホンチョウ</t>
    </rPh>
    <phoneticPr fontId="2"/>
  </si>
  <si>
    <t>048-940-0114</t>
    <phoneticPr fontId="2"/>
  </si>
  <si>
    <t>東武スカイツリーライン越谷駅西口徒歩7分</t>
    <rPh sb="14" eb="16">
      <t>ニシグチ</t>
    </rPh>
    <phoneticPr fontId="2"/>
  </si>
  <si>
    <t>（特非）視覚障がい者支援協会・ひかりの森</t>
    <rPh sb="1" eb="2">
      <t>トク</t>
    </rPh>
    <rPh sb="2" eb="3">
      <t>ヒ</t>
    </rPh>
    <rPh sb="4" eb="6">
      <t>シカク</t>
    </rPh>
    <rPh sb="6" eb="7">
      <t>ショウ</t>
    </rPh>
    <rPh sb="9" eb="12">
      <t>シャシエン</t>
    </rPh>
    <rPh sb="12" eb="14">
      <t>キョウカイ</t>
    </rPh>
    <rPh sb="19" eb="20">
      <t>モリ</t>
    </rPh>
    <phoneticPr fontId="2"/>
  </si>
  <si>
    <t>就労継続支援Ｂ型事業所　クローバー東越谷</t>
    <rPh sb="0" eb="2">
      <t>シュウロウ</t>
    </rPh>
    <rPh sb="2" eb="4">
      <t>ケイゾク</t>
    </rPh>
    <rPh sb="4" eb="6">
      <t>シエン</t>
    </rPh>
    <rPh sb="7" eb="8">
      <t>ガタ</t>
    </rPh>
    <rPh sb="8" eb="11">
      <t>ジギョウショ</t>
    </rPh>
    <rPh sb="17" eb="20">
      <t>ヒガシコシガヤ</t>
    </rPh>
    <phoneticPr fontId="2"/>
  </si>
  <si>
    <t>東越谷1-21-12</t>
    <rPh sb="0" eb="3">
      <t>ヒガシコシガヤ</t>
    </rPh>
    <phoneticPr fontId="2"/>
  </si>
  <si>
    <t>343-0023</t>
  </si>
  <si>
    <t>048-971-9201</t>
  </si>
  <si>
    <t>048-971-9205</t>
  </si>
  <si>
    <t>東武スカイツリーライン越谷駅東口徒歩17分</t>
    <rPh sb="0" eb="2">
      <t>トウブ</t>
    </rPh>
    <rPh sb="11" eb="13">
      <t>コシガヤ</t>
    </rPh>
    <rPh sb="13" eb="14">
      <t>エキ</t>
    </rPh>
    <rPh sb="14" eb="16">
      <t>ヒガシグチ</t>
    </rPh>
    <rPh sb="16" eb="18">
      <t>トホ</t>
    </rPh>
    <rPh sb="20" eb="21">
      <t>フン</t>
    </rPh>
    <phoneticPr fontId="2"/>
  </si>
  <si>
    <t>あいおい保険ワールド（株）</t>
    <rPh sb="4" eb="6">
      <t>ホケン</t>
    </rPh>
    <phoneticPr fontId="2"/>
  </si>
  <si>
    <t>ＣｏｃｏｒｐｏｒｔＣｏｌｌｅｇｅ大宮東口キャンパス</t>
    <rPh sb="16" eb="18">
      <t>オオミヤ</t>
    </rPh>
    <rPh sb="18" eb="20">
      <t>ヒガシグチ</t>
    </rPh>
    <phoneticPr fontId="5"/>
  </si>
  <si>
    <t>大宮区宮町３－１３－２　大宮宮町センタービル３階</t>
    <rPh sb="0" eb="2">
      <t>オオミヤ</t>
    </rPh>
    <rPh sb="2" eb="3">
      <t>ク</t>
    </rPh>
    <rPh sb="3" eb="4">
      <t>ミヤ</t>
    </rPh>
    <rPh sb="4" eb="5">
      <t>マチ</t>
    </rPh>
    <rPh sb="12" eb="14">
      <t>オオミヤ</t>
    </rPh>
    <rPh sb="14" eb="16">
      <t>ミヤマチ</t>
    </rPh>
    <rPh sb="23" eb="24">
      <t>カイ</t>
    </rPh>
    <phoneticPr fontId="3"/>
  </si>
  <si>
    <t>048-729-5345</t>
  </si>
  <si>
    <t>048-729-5348</t>
  </si>
  <si>
    <t>JR大宮駅から徒歩9分</t>
    <rPh sb="2" eb="5">
      <t>オオミヤエキ</t>
    </rPh>
    <rPh sb="7" eb="9">
      <t>トホ</t>
    </rPh>
    <rPh sb="10" eb="11">
      <t>フン</t>
    </rPh>
    <phoneticPr fontId="2"/>
  </si>
  <si>
    <t>336-0926</t>
  </si>
  <si>
    <t>JR大宮駅から徒歩8分</t>
    <rPh sb="2" eb="5">
      <t>オオミヤエキ</t>
    </rPh>
    <rPh sb="7" eb="9">
      <t>トホ</t>
    </rPh>
    <rPh sb="10" eb="11">
      <t>フン</t>
    </rPh>
    <phoneticPr fontId="2"/>
  </si>
  <si>
    <t>大宮区吉敷町１－６２　マレーS・Tビル３０３</t>
    <rPh sb="0" eb="3">
      <t>オオミヤク</t>
    </rPh>
    <rPh sb="3" eb="6">
      <t>ヨシキチョウ</t>
    </rPh>
    <phoneticPr fontId="5"/>
  </si>
  <si>
    <t>JR大宮駅から徒歩10分</t>
    <rPh sb="2" eb="5">
      <t>オオミヤエキ</t>
    </rPh>
    <rPh sb="7" eb="9">
      <t>トホ</t>
    </rPh>
    <rPh sb="11" eb="12">
      <t>フン</t>
    </rPh>
    <phoneticPr fontId="2"/>
  </si>
  <si>
    <t>PiiS　Plaza　さいたま</t>
  </si>
  <si>
    <t>北区土呂町１－２５－６</t>
    <rPh sb="0" eb="2">
      <t>キタク</t>
    </rPh>
    <rPh sb="2" eb="5">
      <t>トロチョウ</t>
    </rPh>
    <phoneticPr fontId="5"/>
  </si>
  <si>
    <t>048-782-9878</t>
  </si>
  <si>
    <t>JR土呂駅から徒歩6分</t>
    <rPh sb="2" eb="5">
      <t>トロエキ</t>
    </rPh>
    <rPh sb="7" eb="9">
      <t>トホ</t>
    </rPh>
    <rPh sb="10" eb="11">
      <t>フン</t>
    </rPh>
    <phoneticPr fontId="2"/>
  </si>
  <si>
    <t>しびらきハウスしき彩の杜Ⅰ</t>
    <rPh sb="9" eb="10">
      <t>サイ</t>
    </rPh>
    <rPh sb="11" eb="12">
      <t>モリ</t>
    </rPh>
    <phoneticPr fontId="5"/>
  </si>
  <si>
    <t>しびらきハウスしき彩の杜Ⅱ</t>
    <rPh sb="9" eb="10">
      <t>サイ</t>
    </rPh>
    <rPh sb="11" eb="12">
      <t>モリ</t>
    </rPh>
    <phoneticPr fontId="5"/>
  </si>
  <si>
    <t>○(生活介護)</t>
    <rPh sb="2" eb="4">
      <t>セイカツ</t>
    </rPh>
    <rPh sb="4" eb="6">
      <t>カイゴ</t>
    </rPh>
    <phoneticPr fontId="2"/>
  </si>
  <si>
    <t>048-793-4976</t>
    <phoneticPr fontId="2"/>
  </si>
  <si>
    <t>生活介護　たいが</t>
  </si>
  <si>
    <t>大字平方字立野1927番地1</t>
  </si>
  <si>
    <t>343-0002</t>
  </si>
  <si>
    <t>048-984-7435</t>
  </si>
  <si>
    <t>048-984-7436</t>
  </si>
  <si>
    <t>東武スカイツリーライン武里駅東口徒歩27分</t>
    <rPh sb="11" eb="13">
      <t>タケサト</t>
    </rPh>
    <rPh sb="14" eb="16">
      <t>ヒガシグチ</t>
    </rPh>
    <rPh sb="16" eb="18">
      <t>トホ</t>
    </rPh>
    <phoneticPr fontId="2"/>
  </si>
  <si>
    <t>Ｌｉｆｅ　　Ｉｎｎｏｖａｔｉｏｎ</t>
  </si>
  <si>
    <t>東大沢四丁目32番地8</t>
  </si>
  <si>
    <t>343-0022</t>
  </si>
  <si>
    <t>048-984-7240</t>
  </si>
  <si>
    <t>048-984-7245</t>
  </si>
  <si>
    <t>東武スカイツリーライン北越谷駅東口徒歩17分</t>
    <rPh sb="0" eb="2">
      <t>トウブ</t>
    </rPh>
    <rPh sb="11" eb="12">
      <t>キタ</t>
    </rPh>
    <rPh sb="12" eb="14">
      <t>コシガヤ</t>
    </rPh>
    <rPh sb="14" eb="15">
      <t>エキ</t>
    </rPh>
    <rPh sb="15" eb="17">
      <t>ヒガシグチ</t>
    </rPh>
    <rPh sb="17" eb="19">
      <t>トホ</t>
    </rPh>
    <rPh sb="21" eb="22">
      <t>フン</t>
    </rPh>
    <phoneticPr fontId="2"/>
  </si>
  <si>
    <t>カルディアせんげん台</t>
  </si>
  <si>
    <t>千間台東一丁目5番地14</t>
  </si>
  <si>
    <t>343-0042</t>
  </si>
  <si>
    <t>048-967-5905</t>
  </si>
  <si>
    <t>048-967-5906</t>
  </si>
  <si>
    <t>東武スカイツリーラインせんげん台駅東口徒歩3分</t>
    <rPh sb="0" eb="2">
      <t>トウブ</t>
    </rPh>
    <rPh sb="15" eb="16">
      <t>ダイ</t>
    </rPh>
    <rPh sb="16" eb="17">
      <t>エキ</t>
    </rPh>
    <rPh sb="17" eb="19">
      <t>ヒガシグチ</t>
    </rPh>
    <rPh sb="19" eb="21">
      <t>トホ</t>
    </rPh>
    <rPh sb="22" eb="23">
      <t>フン</t>
    </rPh>
    <phoneticPr fontId="2"/>
  </si>
  <si>
    <t>（有）大和</t>
    <phoneticPr fontId="2" type="Hiragana"/>
  </si>
  <si>
    <t>（株）ＲｅｂｅＬ</t>
    <phoneticPr fontId="2" type="Hiragana"/>
  </si>
  <si>
    <t>（株）カルディアコーポレーション</t>
    <phoneticPr fontId="2" type="Hiragana"/>
  </si>
  <si>
    <t>千間台東二丁目5番地1</t>
    <rPh sb="4" eb="5">
      <t>ニ</t>
    </rPh>
    <phoneticPr fontId="2"/>
  </si>
  <si>
    <t>東武スカイツリーラインせんげん台駅東口徒歩7分</t>
    <rPh sb="0" eb="2">
      <t>トウブ</t>
    </rPh>
    <rPh sb="15" eb="16">
      <t>ダイ</t>
    </rPh>
    <rPh sb="16" eb="17">
      <t>エキ</t>
    </rPh>
    <rPh sb="17" eb="19">
      <t>ヒガシグチ</t>
    </rPh>
    <rPh sb="19" eb="21">
      <t>トホ</t>
    </rPh>
    <rPh sb="22" eb="23">
      <t>フン</t>
    </rPh>
    <phoneticPr fontId="2"/>
  </si>
  <si>
    <t>さいたま市</t>
    <rPh sb="4" eb="5">
      <t>シ</t>
    </rPh>
    <phoneticPr fontId="5"/>
  </si>
  <si>
    <t>大宮区仲町２－２５　松亀プレジデントビル４階</t>
    <rPh sb="0" eb="2">
      <t>オオミヤ</t>
    </rPh>
    <rPh sb="2" eb="3">
      <t>ク</t>
    </rPh>
    <rPh sb="3" eb="5">
      <t>ナカチョウ</t>
    </rPh>
    <rPh sb="10" eb="11">
      <t>マツ</t>
    </rPh>
    <rPh sb="11" eb="12">
      <t>カメ</t>
    </rPh>
    <rPh sb="21" eb="22">
      <t>カイ</t>
    </rPh>
    <phoneticPr fontId="5"/>
  </si>
  <si>
    <t>JR大宮駅から徒歩4分</t>
    <rPh sb="2" eb="5">
      <t>オオミヤエキ</t>
    </rPh>
    <rPh sb="7" eb="9">
      <t>トホ</t>
    </rPh>
    <rPh sb="10" eb="11">
      <t>フン</t>
    </rPh>
    <phoneticPr fontId="2"/>
  </si>
  <si>
    <t>ヘーゼル大宮</t>
    <rPh sb="4" eb="6">
      <t>オオミヤ</t>
    </rPh>
    <phoneticPr fontId="2"/>
  </si>
  <si>
    <t>048-729-7909</t>
  </si>
  <si>
    <t>048-729-7933</t>
  </si>
  <si>
    <t>JR大宮駅西口から西武バス乗車　住宅前バス停下車徒歩3分</t>
    <rPh sb="2" eb="5">
      <t>オオミヤエキ</t>
    </rPh>
    <rPh sb="5" eb="7">
      <t>ニシグチ</t>
    </rPh>
    <rPh sb="9" eb="11">
      <t>セイブ</t>
    </rPh>
    <rPh sb="13" eb="15">
      <t>ジョウシャ</t>
    </rPh>
    <rPh sb="16" eb="18">
      <t>ジュウタク</t>
    </rPh>
    <rPh sb="18" eb="19">
      <t>マエ</t>
    </rPh>
    <rPh sb="21" eb="22">
      <t>テイ</t>
    </rPh>
    <rPh sb="22" eb="24">
      <t>ゲシャ</t>
    </rPh>
    <rPh sb="24" eb="26">
      <t>トホ</t>
    </rPh>
    <rPh sb="27" eb="28">
      <t>フン</t>
    </rPh>
    <phoneticPr fontId="2"/>
  </si>
  <si>
    <t>（株）ライフサービス</t>
    <phoneticPr fontId="5"/>
  </si>
  <si>
    <t>クオリティー（株）</t>
    <phoneticPr fontId="5"/>
  </si>
  <si>
    <t>（株）ココルポート</t>
    <phoneticPr fontId="5"/>
  </si>
  <si>
    <t>（株）Kaien</t>
    <phoneticPr fontId="5"/>
  </si>
  <si>
    <t>インクルード（株）</t>
    <phoneticPr fontId="5"/>
  </si>
  <si>
    <t>（株）PiiS　Road</t>
    <phoneticPr fontId="5"/>
  </si>
  <si>
    <t>（株）ゼネラルパートナーズ</t>
    <phoneticPr fontId="5"/>
  </si>
  <si>
    <t>ニューロリワーク　大宮センター</t>
    <rPh sb="9" eb="11">
      <t>オオミヤ</t>
    </rPh>
    <phoneticPr fontId="5"/>
  </si>
  <si>
    <t>ニューロリワーク　大宮センター</t>
    <rPh sb="9" eb="11">
      <t>オオミヤ</t>
    </rPh>
    <phoneticPr fontId="5"/>
  </si>
  <si>
    <t>333-0853</t>
  </si>
  <si>
    <t>蕨駅より徒歩10分</t>
    <rPh sb="0" eb="2">
      <t>わらびえき</t>
    </rPh>
    <rPh sb="4" eb="6">
      <t>とほ</t>
    </rPh>
    <rPh sb="8" eb="9">
      <t>ふん</t>
    </rPh>
    <phoneticPr fontId="16" type="Hiragana"/>
  </si>
  <si>
    <t>エバプラ越谷</t>
    <rPh sb="4" eb="6">
      <t>コシガヤ</t>
    </rPh>
    <phoneticPr fontId="2"/>
  </si>
  <si>
    <t>就労定着支援事業所　ウェルビー草加駅東口センター</t>
    <rPh sb="0" eb="9">
      <t>シュウロウテイチャクシエンジギョウショ</t>
    </rPh>
    <rPh sb="15" eb="20">
      <t>ソウカエキヒガシグチ</t>
    </rPh>
    <phoneticPr fontId="2"/>
  </si>
  <si>
    <t>340-0015</t>
  </si>
  <si>
    <t>048-954-7803</t>
  </si>
  <si>
    <t>048-954-7804</t>
  </si>
  <si>
    <t>（株）ホウユウ</t>
    <rPh sb="0" eb="3">
      <t>カブ</t>
    </rPh>
    <phoneticPr fontId="2"/>
  </si>
  <si>
    <t>Torepania トレパニア</t>
    <phoneticPr fontId="2"/>
  </si>
  <si>
    <t>中曽根2-6-11</t>
    <rPh sb="0" eb="3">
      <t>ナカソネ</t>
    </rPh>
    <phoneticPr fontId="2"/>
  </si>
  <si>
    <t>342-0033</t>
    <phoneticPr fontId="2"/>
  </si>
  <si>
    <t>048-984-7338</t>
    <phoneticPr fontId="2"/>
  </si>
  <si>
    <t>（有）フクシ</t>
    <rPh sb="1" eb="2">
      <t>ユウ</t>
    </rPh>
    <phoneticPr fontId="2"/>
  </si>
  <si>
    <t>藤の里北川辺作業所</t>
    <rPh sb="0" eb="1">
      <t>フジ</t>
    </rPh>
    <rPh sb="2" eb="3">
      <t>サト</t>
    </rPh>
    <rPh sb="3" eb="9">
      <t>キタカワベサギョウジョ</t>
    </rPh>
    <phoneticPr fontId="2"/>
  </si>
  <si>
    <t>柳生50-1</t>
    <rPh sb="0" eb="2">
      <t>ヤギュウ</t>
    </rPh>
    <phoneticPr fontId="2"/>
  </si>
  <si>
    <t>349-1201</t>
    <phoneticPr fontId="2"/>
  </si>
  <si>
    <t>0280-33-6115</t>
    <phoneticPr fontId="2"/>
  </si>
  <si>
    <t>0280-33-6117</t>
    <phoneticPr fontId="2"/>
  </si>
  <si>
    <t>東武日光線新古河駅より徒歩25分</t>
    <rPh sb="0" eb="2">
      <t>トウブ</t>
    </rPh>
    <rPh sb="2" eb="5">
      <t>ニッコウセン</t>
    </rPh>
    <rPh sb="5" eb="9">
      <t>シンコガエキ</t>
    </rPh>
    <rPh sb="11" eb="13">
      <t>トホ</t>
    </rPh>
    <rPh sb="15" eb="16">
      <t>フン</t>
    </rPh>
    <phoneticPr fontId="2"/>
  </si>
  <si>
    <t xml:space="preserve">外記新田字横川112-1 </t>
    <rPh sb="0" eb="1">
      <t>ソト</t>
    </rPh>
    <rPh sb="1" eb="2">
      <t>キ</t>
    </rPh>
    <rPh sb="2" eb="4">
      <t>シンデン</t>
    </rPh>
    <rPh sb="4" eb="5">
      <t>アザ</t>
    </rPh>
    <rPh sb="5" eb="7">
      <t>ヨコカワ</t>
    </rPh>
    <phoneticPr fontId="2"/>
  </si>
  <si>
    <t>（株）Days</t>
    <rPh sb="0" eb="3">
      <t>カブ</t>
    </rPh>
    <phoneticPr fontId="2"/>
  </si>
  <si>
    <t>中曽根2-13-9</t>
    <rPh sb="0" eb="3">
      <t>ナカソネ</t>
    </rPh>
    <phoneticPr fontId="2"/>
  </si>
  <si>
    <t>048-984-7115</t>
  </si>
  <si>
    <t>JR武蔵野線吉川駅南口から徒歩20分</t>
    <rPh sb="2" eb="5">
      <t>ムサシノ</t>
    </rPh>
    <rPh sb="5" eb="6">
      <t>セン</t>
    </rPh>
    <rPh sb="6" eb="8">
      <t>ヨシカワ</t>
    </rPh>
    <rPh sb="8" eb="9">
      <t>エキ</t>
    </rPh>
    <rPh sb="9" eb="11">
      <t>ミナミグチ</t>
    </rPh>
    <rPh sb="13" eb="15">
      <t>トホ</t>
    </rPh>
    <rPh sb="17" eb="18">
      <t>フン</t>
    </rPh>
    <phoneticPr fontId="2"/>
  </si>
  <si>
    <t>（福）じりつ</t>
    <rPh sb="1" eb="2">
      <t>フク</t>
    </rPh>
    <phoneticPr fontId="5"/>
  </si>
  <si>
    <t>セウイ</t>
    <phoneticPr fontId="5"/>
  </si>
  <si>
    <t>北葛飾郡杉戸町</t>
    <rPh sb="0" eb="7">
      <t>キタカツシカグンスギトマチ</t>
    </rPh>
    <phoneticPr fontId="2"/>
  </si>
  <si>
    <t>木野川134－42</t>
    <rPh sb="0" eb="3">
      <t>キノカワ</t>
    </rPh>
    <phoneticPr fontId="1"/>
  </si>
  <si>
    <t>345-0003</t>
    <phoneticPr fontId="2"/>
  </si>
  <si>
    <t>0480-38-1701</t>
    <phoneticPr fontId="2"/>
  </si>
  <si>
    <t>0480-38-3232</t>
    <phoneticPr fontId="2"/>
  </si>
  <si>
    <t>（福）銀杏会</t>
    <rPh sb="1" eb="2">
      <t>フク</t>
    </rPh>
    <rPh sb="3" eb="5">
      <t>ギンナン</t>
    </rPh>
    <rPh sb="5" eb="6">
      <t>カイ</t>
    </rPh>
    <phoneticPr fontId="2"/>
  </si>
  <si>
    <t>(株)ラシエル</t>
    <rPh sb="0" eb="3">
      <t>カブ</t>
    </rPh>
    <phoneticPr fontId="5"/>
  </si>
  <si>
    <t>グループホームＲＡＳＩＥＬ春日部</t>
    <rPh sb="13" eb="16">
      <t>カスカベ</t>
    </rPh>
    <phoneticPr fontId="5"/>
  </si>
  <si>
    <t>春日部市</t>
    <rPh sb="0" eb="3">
      <t>カスカベ</t>
    </rPh>
    <rPh sb="3" eb="4">
      <t>シ</t>
    </rPh>
    <phoneticPr fontId="2"/>
  </si>
  <si>
    <t>大沼5-101-1</t>
    <rPh sb="0" eb="2">
      <t>オオヌマ</t>
    </rPh>
    <phoneticPr fontId="1"/>
  </si>
  <si>
    <t>048-795-4122</t>
    <phoneticPr fontId="2"/>
  </si>
  <si>
    <t>048-795-4123</t>
  </si>
  <si>
    <t>春日部駅西口から朝日バス「大沼五丁目西」下車徒歩5分
※共同生活援助との併設</t>
    <rPh sb="0" eb="3">
      <t>カスカベ</t>
    </rPh>
    <rPh sb="3" eb="4">
      <t>エキ</t>
    </rPh>
    <rPh sb="4" eb="6">
      <t>ニシグチ</t>
    </rPh>
    <rPh sb="8" eb="10">
      <t>アサヒ</t>
    </rPh>
    <rPh sb="13" eb="15">
      <t>オオヌマ</t>
    </rPh>
    <rPh sb="15" eb="18">
      <t>ゴチョウメ</t>
    </rPh>
    <rPh sb="18" eb="19">
      <t>ニシ</t>
    </rPh>
    <rPh sb="20" eb="22">
      <t>ゲシャ</t>
    </rPh>
    <rPh sb="22" eb="24">
      <t>トホ</t>
    </rPh>
    <rPh sb="25" eb="26">
      <t>フン</t>
    </rPh>
    <rPh sb="28" eb="34">
      <t>キョウドウセイカツエンジョ</t>
    </rPh>
    <rPh sb="36" eb="38">
      <t>ヘイセツ</t>
    </rPh>
    <phoneticPr fontId="2"/>
  </si>
  <si>
    <t>340-0815</t>
    <phoneticPr fontId="2"/>
  </si>
  <si>
    <t>児玉郡上里町大字神保原町８５８番地４</t>
    <phoneticPr fontId="2"/>
  </si>
  <si>
    <t>0495-71-4372</t>
  </si>
  <si>
    <t>0495-71-4373</t>
  </si>
  <si>
    <t>JR高崎線神保原駅から徒歩１１分</t>
    <rPh sb="2" eb="5">
      <t>タカサキセン</t>
    </rPh>
    <rPh sb="5" eb="7">
      <t>ジンボウ</t>
    </rPh>
    <rPh sb="7" eb="8">
      <t>ハラ</t>
    </rPh>
    <rPh sb="8" eb="9">
      <t>エキ</t>
    </rPh>
    <rPh sb="11" eb="13">
      <t>トホ</t>
    </rPh>
    <rPh sb="15" eb="16">
      <t>フン</t>
    </rPh>
    <phoneticPr fontId="2"/>
  </si>
  <si>
    <t>上里町</t>
    <rPh sb="0" eb="2">
      <t>カミサト</t>
    </rPh>
    <rPh sb="2" eb="3">
      <t>マチ</t>
    </rPh>
    <phoneticPr fontId="2"/>
  </si>
  <si>
    <t>児玉郡上里町大字神保原町８５８番地４</t>
    <rPh sb="0" eb="3">
      <t>コダマグン</t>
    </rPh>
    <rPh sb="3" eb="6">
      <t>カミサトマチ</t>
    </rPh>
    <rPh sb="6" eb="8">
      <t>オオアザジ</t>
    </rPh>
    <rPh sb="8" eb="17">
      <t>ンボウハラマチ８５８バンチ</t>
    </rPh>
    <phoneticPr fontId="2"/>
  </si>
  <si>
    <t>0495-23-9120</t>
    <phoneticPr fontId="2"/>
  </si>
  <si>
    <t>0495-23-9121</t>
    <phoneticPr fontId="2"/>
  </si>
  <si>
    <t>JR高崎線神保原駅から徒歩１１分
※共同生活援助との併設</t>
    <rPh sb="2" eb="5">
      <t>タカサキセン</t>
    </rPh>
    <rPh sb="5" eb="7">
      <t>ジンボウ</t>
    </rPh>
    <rPh sb="7" eb="8">
      <t>ハラ</t>
    </rPh>
    <rPh sb="8" eb="9">
      <t>エキ</t>
    </rPh>
    <rPh sb="11" eb="13">
      <t>トホ</t>
    </rPh>
    <rPh sb="15" eb="16">
      <t>フン</t>
    </rPh>
    <phoneticPr fontId="2"/>
  </si>
  <si>
    <t>(株)エバプラ</t>
    <rPh sb="0" eb="3">
      <t>カブ</t>
    </rPh>
    <phoneticPr fontId="2"/>
  </si>
  <si>
    <t>エバプラ熊谷</t>
    <rPh sb="4" eb="6">
      <t>クマガヤ</t>
    </rPh>
    <phoneticPr fontId="2"/>
  </si>
  <si>
    <t xml:space="preserve">0495-71-8382  </t>
    <phoneticPr fontId="2"/>
  </si>
  <si>
    <t>(株)がくどう舎</t>
    <rPh sb="0" eb="3">
      <t>カブシキガイシャ</t>
    </rPh>
    <rPh sb="7" eb="8">
      <t>シャ</t>
    </rPh>
    <phoneticPr fontId="2"/>
  </si>
  <si>
    <t>木子里LYKKE</t>
    <rPh sb="0" eb="1">
      <t>キ</t>
    </rPh>
    <rPh sb="1" eb="2">
      <t>コ</t>
    </rPh>
    <rPh sb="2" eb="3">
      <t>リ</t>
    </rPh>
    <phoneticPr fontId="2"/>
  </si>
  <si>
    <t>山口673-3岡部ビルⅢ101、203</t>
    <rPh sb="0" eb="2">
      <t>ヤマグチ</t>
    </rPh>
    <rPh sb="7" eb="9">
      <t>オカベ</t>
    </rPh>
    <phoneticPr fontId="2"/>
  </si>
  <si>
    <t>西武池袋線西所沢駅から徒歩１５分</t>
    <rPh sb="0" eb="5">
      <t>セイブイケブクロセン</t>
    </rPh>
    <rPh sb="5" eb="6">
      <t>ニシ</t>
    </rPh>
    <rPh sb="6" eb="8">
      <t>トコロザワ</t>
    </rPh>
    <rPh sb="8" eb="9">
      <t>エキ</t>
    </rPh>
    <rPh sb="11" eb="13">
      <t>トホ</t>
    </rPh>
    <rPh sb="15" eb="16">
      <t>フン</t>
    </rPh>
    <phoneticPr fontId="2"/>
  </si>
  <si>
    <t>048-548-1270</t>
    <phoneticPr fontId="2"/>
  </si>
  <si>
    <t>048-598-6608</t>
    <phoneticPr fontId="2"/>
  </si>
  <si>
    <t>（一社）ノーマライズうらわ</t>
    <rPh sb="1" eb="3">
      <t>イッシャ</t>
    </rPh>
    <phoneticPr fontId="2"/>
  </si>
  <si>
    <t>ラド</t>
  </si>
  <si>
    <t>333-0865</t>
  </si>
  <si>
    <t>048-260-6592</t>
  </si>
  <si>
    <t>（バス）東浦和駅から蕨駅東口行「伊刈消防署」から徒歩２分</t>
    <rPh sb="4" eb="8">
      <t>ひがしうらわえき</t>
    </rPh>
    <rPh sb="10" eb="12">
      <t>わらびえき</t>
    </rPh>
    <rPh sb="12" eb="14">
      <t>ひがしぐち</t>
    </rPh>
    <rPh sb="14" eb="15">
      <t>いき</t>
    </rPh>
    <rPh sb="16" eb="18">
      <t>いかり</t>
    </rPh>
    <rPh sb="18" eb="21">
      <t>しょうぼうしょ</t>
    </rPh>
    <rPh sb="24" eb="26">
      <t>とほ</t>
    </rPh>
    <rPh sb="27" eb="28">
      <t>ふん</t>
    </rPh>
    <phoneticPr fontId="16" type="Hiragana"/>
  </si>
  <si>
    <t>花ててたりと</t>
    <rPh sb="0" eb="1">
      <t>はな</t>
    </rPh>
    <phoneticPr fontId="16" type="Hiragana"/>
  </si>
  <si>
    <t>332-0005</t>
  </si>
  <si>
    <t>048-423-3878</t>
  </si>
  <si>
    <t>048-423-4859</t>
  </si>
  <si>
    <t>（バス）十二月田中学より徒歩１２分</t>
    <rPh sb="4" eb="6">
      <t>じゅうに</t>
    </rPh>
    <rPh sb="6" eb="7">
      <t>つき</t>
    </rPh>
    <rPh sb="7" eb="8">
      <t>た</t>
    </rPh>
    <rPh sb="8" eb="10">
      <t>ちゅうがく</t>
    </rPh>
    <rPh sb="12" eb="14">
      <t>とほ</t>
    </rPh>
    <rPh sb="16" eb="17">
      <t>ふん</t>
    </rPh>
    <phoneticPr fontId="16" type="Hiragana"/>
  </si>
  <si>
    <t>（一社）ラド</t>
    <rPh sb="1" eb="3">
      <t>いっしゃ</t>
    </rPh>
    <phoneticPr fontId="16" type="Hiragana"/>
  </si>
  <si>
    <t>ＴＥＴＥＴＡＲＩＴＯ（株）</t>
    <phoneticPr fontId="16" type="Hiragana"/>
  </si>
  <si>
    <t>ほまれの家川口</t>
    <rPh sb="4" eb="5">
      <t>いえ</t>
    </rPh>
    <rPh sb="5" eb="7">
      <t>かわぐち</t>
    </rPh>
    <phoneticPr fontId="16" type="Hiragana"/>
  </si>
  <si>
    <t>048-291-9562</t>
  </si>
  <si>
    <t>048-291-9563</t>
  </si>
  <si>
    <t>西川口駅より徒歩３分</t>
    <rPh sb="0" eb="3">
      <t>にしかわぐち</t>
    </rPh>
    <rPh sb="3" eb="4">
      <t>えき</t>
    </rPh>
    <rPh sb="6" eb="8">
      <t>とほ</t>
    </rPh>
    <rPh sb="9" eb="10">
      <t>ふん</t>
    </rPh>
    <phoneticPr fontId="16" type="Hiragana"/>
  </si>
  <si>
    <t>就労継続支援B型事業所　Cuddle</t>
  </si>
  <si>
    <t>大沢3-10-48</t>
  </si>
  <si>
    <t>048-925-4377</t>
  </si>
  <si>
    <t>東武スカイツリーライン北越谷駅東口徒歩5分</t>
    <rPh sb="0" eb="2">
      <t>トウブ</t>
    </rPh>
    <rPh sb="11" eb="14">
      <t>キタコシガヤ</t>
    </rPh>
    <rPh sb="14" eb="15">
      <t>エキ</t>
    </rPh>
    <rPh sb="15" eb="17">
      <t>ヒガシグチ</t>
    </rPh>
    <rPh sb="17" eb="19">
      <t>トホ</t>
    </rPh>
    <rPh sb="20" eb="21">
      <t>フン</t>
    </rPh>
    <phoneticPr fontId="2"/>
  </si>
  <si>
    <t>（株）Cuddle</t>
    <phoneticPr fontId="2"/>
  </si>
  <si>
    <t>就労継続支援A型事業所　HAPPY</t>
  </si>
  <si>
    <t>南荻島1417</t>
  </si>
  <si>
    <t>3430804</t>
  </si>
  <si>
    <t>048-940-0100</t>
  </si>
  <si>
    <t>048-940-1580</t>
  </si>
  <si>
    <t>荻島小学校バス停下車徒歩5分</t>
    <rPh sb="0" eb="5">
      <t>オギシマショウガッコウ</t>
    </rPh>
    <rPh sb="7" eb="8">
      <t>テイ</t>
    </rPh>
    <rPh sb="8" eb="10">
      <t>ゲシャ</t>
    </rPh>
    <rPh sb="10" eb="12">
      <t>トホ</t>
    </rPh>
    <rPh sb="13" eb="14">
      <t>フン</t>
    </rPh>
    <phoneticPr fontId="2"/>
  </si>
  <si>
    <t>コーセー（株）</t>
    <phoneticPr fontId="2"/>
  </si>
  <si>
    <t>しんわ東川口ショートステイ２</t>
    <rPh sb="2" eb="5">
      <t>ヒガシカワグチ</t>
    </rPh>
    <phoneticPr fontId="5"/>
  </si>
  <si>
    <t>緑区大門５９８－２</t>
    <rPh sb="0" eb="1">
      <t>ミドリ</t>
    </rPh>
    <rPh sb="1" eb="3">
      <t>ダイモン</t>
    </rPh>
    <phoneticPr fontId="5"/>
  </si>
  <si>
    <t>ＪＲ東川口駅から徒歩8分</t>
    <rPh sb="2" eb="5">
      <t>ヒガシカワグチ</t>
    </rPh>
    <rPh sb="5" eb="6">
      <t>エキ</t>
    </rPh>
    <rPh sb="8" eb="10">
      <t>トホ</t>
    </rPh>
    <rPh sb="11" eb="12">
      <t>フン</t>
    </rPh>
    <phoneticPr fontId="2"/>
  </si>
  <si>
    <t>（株）アモナプランニング</t>
  </si>
  <si>
    <t>杉の子マート与野本町駅前店</t>
    <rPh sb="0" eb="1">
      <t>スギノ</t>
    </rPh>
    <rPh sb="2" eb="3">
      <t>ホン</t>
    </rPh>
    <rPh sb="4" eb="10">
      <t>チ</t>
    </rPh>
    <rPh sb="10" eb="12">
      <t>エキマエ</t>
    </rPh>
    <rPh sb="12" eb="13">
      <t>テン</t>
    </rPh>
    <phoneticPr fontId="5"/>
  </si>
  <si>
    <t>中央区本町東２－１７－３</t>
    <rPh sb="0" eb="3">
      <t>チュウオウク</t>
    </rPh>
    <rPh sb="3" eb="5">
      <t>ホンマチ</t>
    </rPh>
    <rPh sb="5" eb="6">
      <t>ヒガシ</t>
    </rPh>
    <phoneticPr fontId="5"/>
  </si>
  <si>
    <t>JR「与野本町」駅から徒歩２分</t>
    <rPh sb="3" eb="7">
      <t>ヨノホンマチ</t>
    </rPh>
    <rPh sb="8" eb="9">
      <t>エキ</t>
    </rPh>
    <rPh sb="11" eb="13">
      <t>トホ</t>
    </rPh>
    <rPh sb="14" eb="15">
      <t>フン</t>
    </rPh>
    <phoneticPr fontId="2"/>
  </si>
  <si>
    <t>（福）埼玉福祉事業協会</t>
    <rPh sb="1" eb="2">
      <t>フク</t>
    </rPh>
    <rPh sb="3" eb="9">
      <t>サイタマフクシジギョウ</t>
    </rPh>
    <rPh sb="9" eb="11">
      <t>キョウカイ</t>
    </rPh>
    <phoneticPr fontId="5"/>
  </si>
  <si>
    <t>aloha南大塚</t>
    <rPh sb="5" eb="8">
      <t>ミナミオオツカ</t>
    </rPh>
    <phoneticPr fontId="27"/>
  </si>
  <si>
    <t>南台二丁目4番地6サンパレスマンション101号室</t>
    <rPh sb="0" eb="2">
      <t>ミナミダイ</t>
    </rPh>
    <rPh sb="2" eb="5">
      <t>ニチョウメ</t>
    </rPh>
    <rPh sb="6" eb="8">
      <t>バンチ</t>
    </rPh>
    <rPh sb="22" eb="24">
      <t>ゴウシツ</t>
    </rPh>
    <phoneticPr fontId="27"/>
  </si>
  <si>
    <t>350-1165</t>
  </si>
  <si>
    <t>049-293-8934</t>
  </si>
  <si>
    <t>049-293-8944</t>
  </si>
  <si>
    <t>西武新宿線南大塚駅から徒歩2分</t>
    <rPh sb="0" eb="2">
      <t>セイブ</t>
    </rPh>
    <rPh sb="2" eb="4">
      <t>シンジュク</t>
    </rPh>
    <rPh sb="4" eb="5">
      <t>セン</t>
    </rPh>
    <rPh sb="5" eb="8">
      <t>ミナミオオツカ</t>
    </rPh>
    <rPh sb="8" eb="9">
      <t>エキ</t>
    </rPh>
    <rPh sb="11" eb="13">
      <t>トホ</t>
    </rPh>
    <rPh sb="14" eb="15">
      <t>フン</t>
    </rPh>
    <phoneticPr fontId="27"/>
  </si>
  <si>
    <t>デコボコベース(株)</t>
    <rPh sb="7" eb="10">
      <t>カブ</t>
    </rPh>
    <phoneticPr fontId="5"/>
  </si>
  <si>
    <t>（一社）ア・ドマーニ</t>
    <rPh sb="1" eb="3">
      <t>イッシャ</t>
    </rPh>
    <phoneticPr fontId="2"/>
  </si>
  <si>
    <t>ア・ドマーニ久喜</t>
    <rPh sb="6" eb="8">
      <t>クキ</t>
    </rPh>
    <phoneticPr fontId="2"/>
  </si>
  <si>
    <t>久喜中央1-1-7</t>
    <rPh sb="0" eb="2">
      <t>クキ</t>
    </rPh>
    <rPh sb="2" eb="4">
      <t>チュウオウ</t>
    </rPh>
    <phoneticPr fontId="2"/>
  </si>
  <si>
    <t>346-0003</t>
  </si>
  <si>
    <t>048-053-3892</t>
  </si>
  <si>
    <t>048-053-3893</t>
  </si>
  <si>
    <t>久喜駅西口から徒歩1分</t>
    <rPh sb="0" eb="2">
      <t>クキ</t>
    </rPh>
    <rPh sb="2" eb="3">
      <t>エキ</t>
    </rPh>
    <rPh sb="3" eb="5">
      <t>ニシグチ</t>
    </rPh>
    <rPh sb="7" eb="9">
      <t>トホ</t>
    </rPh>
    <rPh sb="10" eb="11">
      <t>ブン</t>
    </rPh>
    <phoneticPr fontId="2"/>
  </si>
  <si>
    <t>（株）ＡＭＡＴＵＨＩ</t>
    <rPh sb="1" eb="2">
      <t>カブ</t>
    </rPh>
    <phoneticPr fontId="5"/>
  </si>
  <si>
    <t>ＡＭＡＮＥＫＵ加須　短期入所</t>
    <rPh sb="7" eb="9">
      <t>カゾ</t>
    </rPh>
    <rPh sb="10" eb="12">
      <t>タンキ</t>
    </rPh>
    <rPh sb="12" eb="14">
      <t>ニュウショ</t>
    </rPh>
    <phoneticPr fontId="5"/>
  </si>
  <si>
    <t>騎西１１３０－６</t>
    <rPh sb="0" eb="2">
      <t>キサイ</t>
    </rPh>
    <phoneticPr fontId="1"/>
  </si>
  <si>
    <t>347-0105</t>
  </si>
  <si>
    <t>070-1444-7751</t>
  </si>
  <si>
    <t>050-3385-5021</t>
  </si>
  <si>
    <t>加須駅南口から朝日バス「騎西二丁目」下車徒歩2分
※共同生活援助との併設</t>
    <rPh sb="0" eb="2">
      <t>カゾ</t>
    </rPh>
    <rPh sb="2" eb="3">
      <t>エキ</t>
    </rPh>
    <rPh sb="3" eb="5">
      <t>ミナミグチ</t>
    </rPh>
    <rPh sb="7" eb="9">
      <t>アサヒ</t>
    </rPh>
    <rPh sb="12" eb="14">
      <t>キサイ</t>
    </rPh>
    <rPh sb="14" eb="17">
      <t>ニチョウメ</t>
    </rPh>
    <rPh sb="18" eb="20">
      <t>ゲシャ</t>
    </rPh>
    <rPh sb="20" eb="22">
      <t>トホ</t>
    </rPh>
    <rPh sb="23" eb="24">
      <t>フン</t>
    </rPh>
    <rPh sb="26" eb="28">
      <t>キョウドウ</t>
    </rPh>
    <rPh sb="28" eb="30">
      <t>セイカツ</t>
    </rPh>
    <rPh sb="30" eb="32">
      <t>エンジョ</t>
    </rPh>
    <rPh sb="34" eb="36">
      <t>ヘイセツ</t>
    </rPh>
    <phoneticPr fontId="2"/>
  </si>
  <si>
    <t>(福)いこいの里</t>
  </si>
  <si>
    <t>しくね育成園</t>
  </si>
  <si>
    <t>宿根1297</t>
  </si>
  <si>
    <t>048-572-8830</t>
  </si>
  <si>
    <t>048-572-8829</t>
  </si>
  <si>
    <t>（福）いこいの里</t>
    <rPh sb="1" eb="2">
      <t>フク</t>
    </rPh>
    <rPh sb="7" eb="8">
      <t>サト</t>
    </rPh>
    <phoneticPr fontId="2"/>
  </si>
  <si>
    <t>鶴亀工房</t>
    <rPh sb="0" eb="4">
      <t>ツルカメコウボウ</t>
    </rPh>
    <phoneticPr fontId="2"/>
  </si>
  <si>
    <t>宿根１３０４番１</t>
    <rPh sb="0" eb="2">
      <t>シュクネ</t>
    </rPh>
    <rPh sb="6" eb="7">
      <t>バン</t>
    </rPh>
    <phoneticPr fontId="2"/>
  </si>
  <si>
    <t>366-0810</t>
  </si>
  <si>
    <t>048-575-5750</t>
  </si>
  <si>
    <t>048-575-5751</t>
  </si>
  <si>
    <t>深谷駅下車徒歩30分</t>
  </si>
  <si>
    <t>(特非)ゆりかご</t>
  </si>
  <si>
    <t>ゆりかご</t>
  </si>
  <si>
    <t>048-525-9290</t>
  </si>
  <si>
    <t>080-4477－8771</t>
    <phoneticPr fontId="2"/>
  </si>
  <si>
    <t>（福）めぐみ会</t>
    <rPh sb="1" eb="2">
      <t>フク</t>
    </rPh>
    <rPh sb="6" eb="7">
      <t>カイ</t>
    </rPh>
    <phoneticPr fontId="2"/>
  </si>
  <si>
    <t>すてっぷ</t>
  </si>
  <si>
    <t>北永井３７５－５</t>
    <rPh sb="0" eb="1">
      <t>キタ</t>
    </rPh>
    <rPh sb="1" eb="3">
      <t>ナガイ</t>
    </rPh>
    <phoneticPr fontId="2"/>
  </si>
  <si>
    <t>345-0044</t>
  </si>
  <si>
    <t>049-292-0055</t>
  </si>
  <si>
    <t>東武東上線　鶴瀬駅西口バス停『三芳小学校』下車 徒歩5分</t>
    <rPh sb="0" eb="5">
      <t>トウブトウジョウセン</t>
    </rPh>
    <rPh sb="6" eb="9">
      <t>ツルセエキ</t>
    </rPh>
    <rPh sb="9" eb="11">
      <t>ニシグチ</t>
    </rPh>
    <rPh sb="13" eb="14">
      <t>テイ</t>
    </rPh>
    <rPh sb="15" eb="17">
      <t>ミヨシ</t>
    </rPh>
    <rPh sb="17" eb="20">
      <t>ショウガッコウ</t>
    </rPh>
    <rPh sb="21" eb="23">
      <t>ゲシャ</t>
    </rPh>
    <rPh sb="24" eb="26">
      <t>トホ</t>
    </rPh>
    <rPh sb="27" eb="28">
      <t>フン</t>
    </rPh>
    <phoneticPr fontId="2"/>
  </si>
  <si>
    <t>（福）あかぼり福祉会</t>
    <rPh sb="1" eb="2">
      <t>ふく</t>
    </rPh>
    <rPh sb="7" eb="10">
      <t>ふくしかい</t>
    </rPh>
    <phoneticPr fontId="2" type="Hiragana"/>
  </si>
  <si>
    <t>（株）WIｓｈCare</t>
    <phoneticPr fontId="16" type="Hiragana"/>
  </si>
  <si>
    <t>（株）エバプラ</t>
    <phoneticPr fontId="5"/>
  </si>
  <si>
    <t>エバプラ所沢</t>
    <rPh sb="4" eb="6">
      <t>トコロザワ</t>
    </rPh>
    <phoneticPr fontId="5"/>
  </si>
  <si>
    <t>エバプラ浦和北</t>
    <rPh sb="4" eb="6">
      <t>ウラワ</t>
    </rPh>
    <rPh sb="6" eb="7">
      <t>キタ</t>
    </rPh>
    <phoneticPr fontId="5"/>
  </si>
  <si>
    <t>エバプラ大宮</t>
    <rPh sb="4" eb="6">
      <t>オオミヤ</t>
    </rPh>
    <phoneticPr fontId="5"/>
  </si>
  <si>
    <t>エバプライースト</t>
  </si>
  <si>
    <t>エバプラ大宮北</t>
    <rPh sb="4" eb="6">
      <t>オオミヤ</t>
    </rPh>
    <rPh sb="6" eb="7">
      <t>キタ</t>
    </rPh>
    <phoneticPr fontId="5"/>
  </si>
  <si>
    <t>エバプラ浦和</t>
    <rPh sb="4" eb="6">
      <t>ウラワ</t>
    </rPh>
    <phoneticPr fontId="5"/>
  </si>
  <si>
    <t>354-0025</t>
    <phoneticPr fontId="2"/>
  </si>
  <si>
    <t>ウーリー浦和</t>
  </si>
  <si>
    <t>WOOOLY（株）</t>
    <rPh sb="6" eb="9">
      <t>カブ</t>
    </rPh>
    <phoneticPr fontId="2"/>
  </si>
  <si>
    <t>浦和区仲町３－２－１　浦和仲町スカイマンション１０４</t>
    <rPh sb="0" eb="2">
      <t>ウラワ</t>
    </rPh>
    <rPh sb="2" eb="3">
      <t>ク</t>
    </rPh>
    <rPh sb="3" eb="5">
      <t>ナカチョウ</t>
    </rPh>
    <rPh sb="11" eb="13">
      <t>ウラワ</t>
    </rPh>
    <rPh sb="13" eb="15">
      <t>ナカチョウ</t>
    </rPh>
    <phoneticPr fontId="5"/>
  </si>
  <si>
    <t>048-679-2481</t>
  </si>
  <si>
    <t>JR浦和駅から徒歩10分</t>
    <rPh sb="2" eb="5">
      <t>ウラワエキ</t>
    </rPh>
    <rPh sb="7" eb="9">
      <t>トホ</t>
    </rPh>
    <rPh sb="11" eb="12">
      <t>フン</t>
    </rPh>
    <phoneticPr fontId="2"/>
  </si>
  <si>
    <t>ランデフワークス</t>
  </si>
  <si>
    <t>（株）Rendeaf</t>
    <phoneticPr fontId="2"/>
  </si>
  <si>
    <t>大宮区上小町４６８　エルドヴェールⅠ２０６</t>
    <rPh sb="0" eb="3">
      <t>オオミヤク</t>
    </rPh>
    <rPh sb="3" eb="6">
      <t>カミコチョウ</t>
    </rPh>
    <phoneticPr fontId="5"/>
  </si>
  <si>
    <t>070-8533-8161</t>
  </si>
  <si>
    <t>050-3737-8084</t>
  </si>
  <si>
    <t>JR大宮駅から徒歩15分</t>
    <rPh sb="2" eb="5">
      <t>オオミヤエキ</t>
    </rPh>
    <rPh sb="7" eb="9">
      <t>トホ</t>
    </rPh>
    <rPh sb="11" eb="12">
      <t>フン</t>
    </rPh>
    <phoneticPr fontId="2"/>
  </si>
  <si>
    <t>さんご指扇</t>
  </si>
  <si>
    <t>多機能型事業所　ビジネスアカデミー</t>
    <rPh sb="0" eb="7">
      <t>タキノウガタジギョウショ</t>
    </rPh>
    <phoneticPr fontId="5"/>
  </si>
  <si>
    <t>（福）ともに生きる会</t>
    <phoneticPr fontId="2"/>
  </si>
  <si>
    <t>（株）コーチング・スタッフ</t>
    <phoneticPr fontId="5"/>
  </si>
  <si>
    <t>西区大字西遊馬１５９９－１</t>
    <rPh sb="0" eb="2">
      <t>ニシク</t>
    </rPh>
    <rPh sb="2" eb="4">
      <t>オオアザ</t>
    </rPh>
    <rPh sb="4" eb="7">
      <t>ニシアスマ</t>
    </rPh>
    <phoneticPr fontId="5"/>
  </si>
  <si>
    <t>048-729-7110</t>
  </si>
  <si>
    <t>048-729-7168</t>
  </si>
  <si>
    <t>JR大宮駅から西武バス乗車
土屋バス停下車徒歩10分</t>
    <rPh sb="2" eb="5">
      <t>オオミヤエキ</t>
    </rPh>
    <rPh sb="7" eb="9">
      <t>セイブ</t>
    </rPh>
    <rPh sb="11" eb="13">
      <t>ジョウシャ</t>
    </rPh>
    <rPh sb="14" eb="16">
      <t>ツチヤ</t>
    </rPh>
    <rPh sb="18" eb="19">
      <t>テイ</t>
    </rPh>
    <rPh sb="19" eb="21">
      <t>ゲシャ</t>
    </rPh>
    <rPh sb="21" eb="23">
      <t>トホ</t>
    </rPh>
    <rPh sb="25" eb="26">
      <t>フン</t>
    </rPh>
    <phoneticPr fontId="2"/>
  </si>
  <si>
    <t>浦和区前地３－１１－１４　LH浦和ビル１F</t>
    <rPh sb="0" eb="2">
      <t>ウラワ</t>
    </rPh>
    <rPh sb="2" eb="3">
      <t>ク</t>
    </rPh>
    <rPh sb="3" eb="4">
      <t>マエ</t>
    </rPh>
    <rPh sb="4" eb="5">
      <t>チ</t>
    </rPh>
    <rPh sb="15" eb="17">
      <t>ウラワ</t>
    </rPh>
    <phoneticPr fontId="2"/>
  </si>
  <si>
    <t>330-0053</t>
  </si>
  <si>
    <t>048-789-7355</t>
  </si>
  <si>
    <t>JR浦和駅から徒歩10分</t>
    <rPh sb="2" eb="4">
      <t>ウラワ</t>
    </rPh>
    <rPh sb="4" eb="5">
      <t>エキ</t>
    </rPh>
    <rPh sb="7" eb="9">
      <t>トホ</t>
    </rPh>
    <rPh sb="11" eb="12">
      <t>フン</t>
    </rPh>
    <phoneticPr fontId="2"/>
  </si>
  <si>
    <t>LITALICOワークス川越</t>
    <rPh sb="12" eb="14">
      <t>カワゴエ</t>
    </rPh>
    <phoneticPr fontId="27"/>
  </si>
  <si>
    <t>049-220-3205</t>
  </si>
  <si>
    <t>JR川越線「川越駅」西口から徒歩約3分、西武新宿線「本川越駅」から徒歩約10分</t>
    <rPh sb="2" eb="4">
      <t>カワゴエ</t>
    </rPh>
    <rPh sb="4" eb="5">
      <t>セン</t>
    </rPh>
    <rPh sb="6" eb="8">
      <t>カワゴエ</t>
    </rPh>
    <rPh sb="8" eb="9">
      <t>エキ</t>
    </rPh>
    <rPh sb="10" eb="12">
      <t>ニシグチ</t>
    </rPh>
    <rPh sb="14" eb="16">
      <t>トホ</t>
    </rPh>
    <rPh sb="16" eb="17">
      <t>ヤク</t>
    </rPh>
    <rPh sb="18" eb="19">
      <t>フン</t>
    </rPh>
    <rPh sb="20" eb="22">
      <t>セイブ</t>
    </rPh>
    <rPh sb="22" eb="24">
      <t>シンジュク</t>
    </rPh>
    <rPh sb="24" eb="25">
      <t>セン</t>
    </rPh>
    <rPh sb="26" eb="29">
      <t>ホンカワゴエ</t>
    </rPh>
    <rPh sb="29" eb="30">
      <t>エキ</t>
    </rPh>
    <rPh sb="33" eb="35">
      <t>トホ</t>
    </rPh>
    <rPh sb="35" eb="36">
      <t>ヤク</t>
    </rPh>
    <rPh sb="38" eb="39">
      <t>フン</t>
    </rPh>
    <phoneticPr fontId="27"/>
  </si>
  <si>
    <t>（株）LITALICOパートナーズ</t>
    <phoneticPr fontId="27"/>
  </si>
  <si>
    <t>脇田本町１４－３８　ＹＫＢ川越　４Ｆ</t>
    <phoneticPr fontId="2"/>
  </si>
  <si>
    <t>短期入所　八潮浮塚</t>
    <rPh sb="5" eb="9">
      <t>ヤシオウキヅカ</t>
    </rPh>
    <phoneticPr fontId="5"/>
  </si>
  <si>
    <t>大字浮塚1035-8</t>
    <rPh sb="0" eb="2">
      <t>オオアザ</t>
    </rPh>
    <rPh sb="2" eb="4">
      <t>ウキヅカ</t>
    </rPh>
    <phoneticPr fontId="1"/>
  </si>
  <si>
    <t>340-0835</t>
    <phoneticPr fontId="2"/>
  </si>
  <si>
    <t>048-999-5954</t>
    <phoneticPr fontId="2"/>
  </si>
  <si>
    <t>048-999-5964</t>
    <phoneticPr fontId="2"/>
  </si>
  <si>
    <t>八潮駅から八潮市コミュニティバス（ハッピーこまちゃん号）「大曾根保育所前」下車徒歩３分　　※共同生活援助との併設</t>
    <rPh sb="0" eb="2">
      <t>ヤシオ</t>
    </rPh>
    <rPh sb="2" eb="3">
      <t>エキ</t>
    </rPh>
    <rPh sb="5" eb="8">
      <t>ヤシオシ</t>
    </rPh>
    <rPh sb="26" eb="27">
      <t>ゴウ</t>
    </rPh>
    <rPh sb="29" eb="32">
      <t>オオソネ</t>
    </rPh>
    <rPh sb="32" eb="34">
      <t>ホイク</t>
    </rPh>
    <rPh sb="34" eb="35">
      <t>ショ</t>
    </rPh>
    <rPh sb="35" eb="36">
      <t>マエ</t>
    </rPh>
    <rPh sb="37" eb="39">
      <t>ゲシャ</t>
    </rPh>
    <rPh sb="39" eb="41">
      <t>トホ</t>
    </rPh>
    <rPh sb="42" eb="43">
      <t>フン</t>
    </rPh>
    <phoneticPr fontId="2"/>
  </si>
  <si>
    <t>短期入所　春日部内牧</t>
    <rPh sb="5" eb="8">
      <t>カスカベ</t>
    </rPh>
    <rPh sb="8" eb="9">
      <t>ウチ</t>
    </rPh>
    <rPh sb="9" eb="10">
      <t>マキ</t>
    </rPh>
    <phoneticPr fontId="5"/>
  </si>
  <si>
    <t>内牧2278-2</t>
    <rPh sb="0" eb="1">
      <t>ウチ</t>
    </rPh>
    <rPh sb="1" eb="2">
      <t>マキ</t>
    </rPh>
    <phoneticPr fontId="1"/>
  </si>
  <si>
    <t>344-0051</t>
    <phoneticPr fontId="2"/>
  </si>
  <si>
    <t>048-884-9861</t>
    <phoneticPr fontId="2"/>
  </si>
  <si>
    <t>048-884-9862</t>
    <phoneticPr fontId="2"/>
  </si>
  <si>
    <t>東武スカイツリーライン北春日部駅から徒歩17分
※共同生活援助との併設</t>
    <rPh sb="0" eb="2">
      <t>トウブ</t>
    </rPh>
    <rPh sb="11" eb="15">
      <t>キタカスカベ</t>
    </rPh>
    <rPh sb="15" eb="16">
      <t>エキ</t>
    </rPh>
    <rPh sb="18" eb="20">
      <t>トホ</t>
    </rPh>
    <rPh sb="22" eb="23">
      <t>ブン</t>
    </rPh>
    <phoneticPr fontId="2"/>
  </si>
  <si>
    <t>北葛飾郡松伏町</t>
    <rPh sb="0" eb="7">
      <t>キタカツシカグンマツブシマチ</t>
    </rPh>
    <phoneticPr fontId="2"/>
  </si>
  <si>
    <t>大字上赤岩799-1</t>
    <rPh sb="0" eb="2">
      <t>オオアザ</t>
    </rPh>
    <rPh sb="2" eb="3">
      <t>ウエ</t>
    </rPh>
    <rPh sb="3" eb="5">
      <t>アカイワ</t>
    </rPh>
    <phoneticPr fontId="2"/>
  </si>
  <si>
    <t>343-0115</t>
    <phoneticPr fontId="2"/>
  </si>
  <si>
    <t>048-971-6829</t>
    <phoneticPr fontId="2"/>
  </si>
  <si>
    <t>048-971-6829</t>
  </si>
  <si>
    <t>南越谷駅からタローズバス「松伏第二中学校前」徒歩6分
※児童発達支援・放課後等デイサービスとの多機能</t>
    <rPh sb="0" eb="3">
      <t>ミナミコシガヤ</t>
    </rPh>
    <rPh sb="3" eb="4">
      <t>エキ</t>
    </rPh>
    <rPh sb="13" eb="15">
      <t>マツブシ</t>
    </rPh>
    <rPh sb="15" eb="17">
      <t>ダイニ</t>
    </rPh>
    <rPh sb="17" eb="20">
      <t>チュウガッコウ</t>
    </rPh>
    <rPh sb="20" eb="21">
      <t>マエ</t>
    </rPh>
    <rPh sb="22" eb="24">
      <t>トホ</t>
    </rPh>
    <rPh sb="25" eb="26">
      <t>フン</t>
    </rPh>
    <rPh sb="28" eb="30">
      <t>ジドウ</t>
    </rPh>
    <rPh sb="30" eb="32">
      <t>ハッタツ</t>
    </rPh>
    <rPh sb="32" eb="34">
      <t>シエン</t>
    </rPh>
    <rPh sb="35" eb="38">
      <t>ホウカゴ</t>
    </rPh>
    <rPh sb="38" eb="39">
      <t>トウ</t>
    </rPh>
    <rPh sb="47" eb="50">
      <t>タキノウ</t>
    </rPh>
    <phoneticPr fontId="2"/>
  </si>
  <si>
    <t>（有）エイミ</t>
    <rPh sb="1" eb="2">
      <t>ユウ</t>
    </rPh>
    <phoneticPr fontId="2"/>
  </si>
  <si>
    <t>ライフバランス　ＢＡＭＢＯＯＨＡＴ</t>
    <phoneticPr fontId="2"/>
  </si>
  <si>
    <t>折之口２３４－２</t>
    <rPh sb="0" eb="3">
      <t>オリノクチ</t>
    </rPh>
    <phoneticPr fontId="2"/>
  </si>
  <si>
    <t>JR高崎線深谷駅から車で１０分</t>
    <rPh sb="2" eb="5">
      <t>タカサキセン</t>
    </rPh>
    <rPh sb="5" eb="7">
      <t>フカヤ</t>
    </rPh>
    <rPh sb="7" eb="8">
      <t>エキ</t>
    </rPh>
    <rPh sb="10" eb="11">
      <t>クルマ</t>
    </rPh>
    <rPh sb="14" eb="15">
      <t>フン</t>
    </rPh>
    <phoneticPr fontId="2"/>
  </si>
  <si>
    <t>（有）在宅福祉支援推進センター</t>
    <rPh sb="1" eb="2">
      <t>ユウ</t>
    </rPh>
    <rPh sb="3" eb="11">
      <t>ザイタクフクシシエンスイシン</t>
    </rPh>
    <phoneticPr fontId="2"/>
  </si>
  <si>
    <t>エンジョイ　アシスト</t>
  </si>
  <si>
    <t>武蔵野１８０１番地</t>
  </si>
  <si>
    <t>048-584-8880</t>
    <phoneticPr fontId="2"/>
  </si>
  <si>
    <t>048-584-8881</t>
    <phoneticPr fontId="2"/>
  </si>
  <si>
    <t>深谷市コミュニティーくるりんバス「花園西循環」むさしの下宿バス停 下車3分</t>
    <rPh sb="0" eb="3">
      <t>フカヤシ</t>
    </rPh>
    <rPh sb="17" eb="19">
      <t>ハナゾノ</t>
    </rPh>
    <rPh sb="19" eb="20">
      <t>ニシ</t>
    </rPh>
    <rPh sb="20" eb="22">
      <t>ジュンカン</t>
    </rPh>
    <rPh sb="27" eb="29">
      <t>ゲシュク</t>
    </rPh>
    <rPh sb="31" eb="32">
      <t>テイ</t>
    </rPh>
    <rPh sb="33" eb="35">
      <t>ゲシャ</t>
    </rPh>
    <rPh sb="36" eb="37">
      <t>フン</t>
    </rPh>
    <phoneticPr fontId="2"/>
  </si>
  <si>
    <t>上三俣2306-3</t>
    <rPh sb="0" eb="1">
      <t>カミ</t>
    </rPh>
    <rPh sb="1" eb="3">
      <t>ミツマタ</t>
    </rPh>
    <phoneticPr fontId="2"/>
  </si>
  <si>
    <t>347-0006</t>
    <phoneticPr fontId="2"/>
  </si>
  <si>
    <t>0480-37-7097</t>
    <phoneticPr fontId="2"/>
  </si>
  <si>
    <t>0480-37-7098</t>
  </si>
  <si>
    <t>東武伊勢崎線加須駅から徒歩２４分
※共同生活援助との併設</t>
    <rPh sb="0" eb="6">
      <t>トウブイセザキセン</t>
    </rPh>
    <rPh sb="6" eb="8">
      <t>カゾ</t>
    </rPh>
    <rPh sb="8" eb="9">
      <t>エキ</t>
    </rPh>
    <rPh sb="11" eb="13">
      <t>トホ</t>
    </rPh>
    <rPh sb="15" eb="16">
      <t>フン</t>
    </rPh>
    <phoneticPr fontId="2"/>
  </si>
  <si>
    <t>（株）りぼーん</t>
    <rPh sb="0" eb="3">
      <t>カブ</t>
    </rPh>
    <phoneticPr fontId="2"/>
  </si>
  <si>
    <t>シュクル</t>
    <phoneticPr fontId="2"/>
  </si>
  <si>
    <t>増富672－41</t>
    <rPh sb="0" eb="2">
      <t>マストミ</t>
    </rPh>
    <phoneticPr fontId="2"/>
  </si>
  <si>
    <t>048-795-4434</t>
    <phoneticPr fontId="2"/>
  </si>
  <si>
    <t>048-795-4453</t>
    <phoneticPr fontId="2"/>
  </si>
  <si>
    <t>東武アーバンパークライン豊春駅より徒歩13分</t>
    <rPh sb="0" eb="2">
      <t>トウブ</t>
    </rPh>
    <rPh sb="12" eb="15">
      <t>トヨハルエキ</t>
    </rPh>
    <rPh sb="17" eb="19">
      <t>トホ</t>
    </rPh>
    <rPh sb="21" eb="22">
      <t>フン</t>
    </rPh>
    <phoneticPr fontId="2"/>
  </si>
  <si>
    <t>（株）みやび</t>
    <rPh sb="0" eb="3">
      <t>カブ</t>
    </rPh>
    <phoneticPr fontId="2"/>
  </si>
  <si>
    <t>大場928-6
リエールヤマモト2Ｆ</t>
    <rPh sb="0" eb="2">
      <t>オオバ</t>
    </rPh>
    <phoneticPr fontId="2"/>
  </si>
  <si>
    <t>344-0021</t>
    <phoneticPr fontId="2"/>
  </si>
  <si>
    <t>048-795-4991</t>
    <phoneticPr fontId="2"/>
  </si>
  <si>
    <t>048-795-4992</t>
  </si>
  <si>
    <t>東武伊勢崎線武里駅から徒歩8分</t>
    <rPh sb="0" eb="2">
      <t>トウブ</t>
    </rPh>
    <rPh sb="2" eb="5">
      <t>イセサキ</t>
    </rPh>
    <rPh sb="5" eb="6">
      <t>セン</t>
    </rPh>
    <rPh sb="6" eb="8">
      <t>タケサト</t>
    </rPh>
    <rPh sb="8" eb="9">
      <t>エキ</t>
    </rPh>
    <rPh sb="11" eb="13">
      <t>トホ</t>
    </rPh>
    <rPh sb="14" eb="15">
      <t>フン</t>
    </rPh>
    <phoneticPr fontId="2"/>
  </si>
  <si>
    <t>（株）わくわく</t>
    <rPh sb="0" eb="3">
      <t>カブ</t>
    </rPh>
    <phoneticPr fontId="2"/>
  </si>
  <si>
    <t>リズム弁天</t>
    <rPh sb="3" eb="5">
      <t>ベンテン</t>
    </rPh>
    <phoneticPr fontId="2"/>
  </si>
  <si>
    <t>弁天2-941-3</t>
    <rPh sb="0" eb="2">
      <t>ベンテン</t>
    </rPh>
    <phoneticPr fontId="2"/>
  </si>
  <si>
    <t>340-0004</t>
    <phoneticPr fontId="2"/>
  </si>
  <si>
    <t>獨協大学前駅東口から東武バス「職業安定所入口」下車徒歩10分</t>
    <rPh sb="0" eb="2">
      <t>ドッキョウ</t>
    </rPh>
    <rPh sb="2" eb="4">
      <t>ダイガク</t>
    </rPh>
    <rPh sb="4" eb="5">
      <t>マエ</t>
    </rPh>
    <rPh sb="5" eb="6">
      <t>エキ</t>
    </rPh>
    <rPh sb="6" eb="8">
      <t>ヒガシグチ</t>
    </rPh>
    <rPh sb="10" eb="12">
      <t>トウブ</t>
    </rPh>
    <rPh sb="15" eb="17">
      <t>ショクギョウ</t>
    </rPh>
    <rPh sb="17" eb="19">
      <t>アンテイ</t>
    </rPh>
    <rPh sb="19" eb="20">
      <t>ジョ</t>
    </rPh>
    <rPh sb="20" eb="22">
      <t>イリグチ</t>
    </rPh>
    <rPh sb="23" eb="25">
      <t>ゲシャ</t>
    </rPh>
    <rPh sb="25" eb="27">
      <t>トホ</t>
    </rPh>
    <rPh sb="29" eb="30">
      <t>フン</t>
    </rPh>
    <phoneticPr fontId="2"/>
  </si>
  <si>
    <t>いろどりの森短期入所事業所</t>
    <rPh sb="4" eb="5">
      <t>モリ</t>
    </rPh>
    <rPh sb="5" eb="7">
      <t>タンキ</t>
    </rPh>
    <rPh sb="7" eb="9">
      <t>ニュウショ</t>
    </rPh>
    <rPh sb="9" eb="12">
      <t>ジギョウショ</t>
    </rPh>
    <phoneticPr fontId="5"/>
  </si>
  <si>
    <t>見沼区大和田町２－１４７８－１　コミュニティー大和田</t>
    <rPh sb="0" eb="2">
      <t>ミヌマ</t>
    </rPh>
    <rPh sb="2" eb="6">
      <t>オオワダチョウ</t>
    </rPh>
    <rPh sb="22" eb="25">
      <t>オオワダ</t>
    </rPh>
    <phoneticPr fontId="5"/>
  </si>
  <si>
    <t>048-872-7317</t>
  </si>
  <si>
    <t>東武野田線大和田駅から徒歩10分</t>
    <rPh sb="0" eb="5">
      <t>トウブノダセン</t>
    </rPh>
    <rPh sb="5" eb="8">
      <t>オオワダ</t>
    </rPh>
    <rPh sb="8" eb="9">
      <t>エキ</t>
    </rPh>
    <rPh sb="11" eb="13">
      <t>トホ</t>
    </rPh>
    <rPh sb="15" eb="16">
      <t>フン</t>
    </rPh>
    <phoneticPr fontId="2"/>
  </si>
  <si>
    <t>（同）いろどりの森</t>
    <rPh sb="1" eb="2">
      <t>ドウ</t>
    </rPh>
    <rPh sb="8" eb="9">
      <t>モリ</t>
    </rPh>
    <phoneticPr fontId="2"/>
  </si>
  <si>
    <t>プティ’ｓカラー　東大宮</t>
    <rPh sb="9" eb="12">
      <t>ヒガシオオミヤ</t>
    </rPh>
    <phoneticPr fontId="5"/>
  </si>
  <si>
    <t>見沼区丸ケ崎町７－１　細井第２ビル１０１</t>
    <rPh sb="0" eb="2">
      <t>ミヌマ</t>
    </rPh>
    <rPh sb="2" eb="3">
      <t>ク</t>
    </rPh>
    <rPh sb="3" eb="7">
      <t>マルガサキチョウ</t>
    </rPh>
    <rPh sb="11" eb="13">
      <t>ホソイ</t>
    </rPh>
    <rPh sb="13" eb="14">
      <t>ダイ</t>
    </rPh>
    <phoneticPr fontId="5"/>
  </si>
  <si>
    <t>337-0007</t>
  </si>
  <si>
    <t>048-686-0051</t>
  </si>
  <si>
    <t>048-611-9360</t>
  </si>
  <si>
    <t>JR東大宮駅から国際興業バス「プロムナード中央」行乗車3分、「丸ケ崎」停留所から徒歩2分</t>
    <rPh sb="2" eb="5">
      <t>ヒガシオオミヤ</t>
    </rPh>
    <rPh sb="5" eb="6">
      <t>エキ</t>
    </rPh>
    <rPh sb="8" eb="10">
      <t>コクサイ</t>
    </rPh>
    <rPh sb="10" eb="12">
      <t>コウギョウ</t>
    </rPh>
    <rPh sb="21" eb="23">
      <t>チュウオウ</t>
    </rPh>
    <rPh sb="24" eb="25">
      <t>ユ</t>
    </rPh>
    <rPh sb="25" eb="27">
      <t>ジョウシャ</t>
    </rPh>
    <rPh sb="28" eb="29">
      <t>プン</t>
    </rPh>
    <rPh sb="31" eb="34">
      <t>マルガサキ</t>
    </rPh>
    <rPh sb="35" eb="38">
      <t>テイリュウジョ</t>
    </rPh>
    <rPh sb="40" eb="42">
      <t>トホ</t>
    </rPh>
    <rPh sb="43" eb="44">
      <t>フン</t>
    </rPh>
    <phoneticPr fontId="2"/>
  </si>
  <si>
    <t>（株）シムレス</t>
    <phoneticPr fontId="5"/>
  </si>
  <si>
    <t>ジョブポイントらいく・ゆー　北浦和</t>
    <rPh sb="14" eb="15">
      <t>キタ</t>
    </rPh>
    <rPh sb="15" eb="17">
      <t>ウラワ</t>
    </rPh>
    <phoneticPr fontId="5"/>
  </si>
  <si>
    <t>048-711-7783</t>
  </si>
  <si>
    <t>048-711-8026</t>
  </si>
  <si>
    <t>JR北浦和駅から徒歩５分</t>
    <rPh sb="2" eb="5">
      <t>キタウラワ</t>
    </rPh>
    <rPh sb="5" eb="6">
      <t>エキ</t>
    </rPh>
    <rPh sb="8" eb="10">
      <t>トホ</t>
    </rPh>
    <rPh sb="11" eb="12">
      <t>フン</t>
    </rPh>
    <phoneticPr fontId="2"/>
  </si>
  <si>
    <t>（福）ねがいの杜</t>
    <rPh sb="1" eb="2">
      <t>フク</t>
    </rPh>
    <rPh sb="7" eb="8">
      <t>モリ</t>
    </rPh>
    <phoneticPr fontId="5"/>
  </si>
  <si>
    <t>ライフベースみその</t>
  </si>
  <si>
    <t>緑区美園６－８－１８</t>
  </si>
  <si>
    <t>336-0967</t>
  </si>
  <si>
    <t>048-711-5636</t>
  </si>
  <si>
    <t>048-711-5600</t>
  </si>
  <si>
    <t>埼玉高速鉄道浦和美園駅から徒歩20分
※単独型事業所の短期入所</t>
    <rPh sb="0" eb="2">
      <t>サイタマ</t>
    </rPh>
    <rPh sb="2" eb="4">
      <t>コウソク</t>
    </rPh>
    <rPh sb="4" eb="6">
      <t>テツドウ</t>
    </rPh>
    <rPh sb="6" eb="8">
      <t>ウラワ</t>
    </rPh>
    <rPh sb="8" eb="10">
      <t>ミソノ</t>
    </rPh>
    <rPh sb="10" eb="11">
      <t>エキ</t>
    </rPh>
    <rPh sb="13" eb="15">
      <t>トホ</t>
    </rPh>
    <rPh sb="17" eb="18">
      <t>フン</t>
    </rPh>
    <phoneticPr fontId="2"/>
  </si>
  <si>
    <t>千佳（株）</t>
    <rPh sb="0" eb="1">
      <t>セン</t>
    </rPh>
    <rPh sb="1" eb="2">
      <t>カ</t>
    </rPh>
    <rPh sb="2" eb="5">
      <t>カブ</t>
    </rPh>
    <phoneticPr fontId="5"/>
  </si>
  <si>
    <t>ゆめの園アクト鶴ヶ島多機能型事業所</t>
    <rPh sb="3" eb="4">
      <t>ソノ</t>
    </rPh>
    <rPh sb="7" eb="10">
      <t>ツルガシマ</t>
    </rPh>
    <rPh sb="10" eb="14">
      <t>タキノウガタ</t>
    </rPh>
    <rPh sb="14" eb="17">
      <t>ジギョウショ</t>
    </rPh>
    <phoneticPr fontId="2"/>
  </si>
  <si>
    <t>福祉サービスときがわ</t>
    <rPh sb="0" eb="2">
      <t>フクシ</t>
    </rPh>
    <phoneticPr fontId="2"/>
  </si>
  <si>
    <t>玉川2816-1</t>
    <rPh sb="0" eb="2">
      <t>タマガワ</t>
    </rPh>
    <phoneticPr fontId="2"/>
  </si>
  <si>
    <t>355-0342</t>
  </si>
  <si>
    <t>0493-65-2132</t>
  </si>
  <si>
    <t>0493-65-4091</t>
  </si>
  <si>
    <t>JR八高線明覚駅から車で５分</t>
    <rPh sb="2" eb="3">
      <t>ハチ</t>
    </rPh>
    <rPh sb="3" eb="4">
      <t>タカ</t>
    </rPh>
    <rPh sb="4" eb="5">
      <t>セン</t>
    </rPh>
    <rPh sb="5" eb="7">
      <t>ミョウカク</t>
    </rPh>
    <rPh sb="7" eb="8">
      <t>エキ</t>
    </rPh>
    <rPh sb="10" eb="11">
      <t>クルマ</t>
    </rPh>
    <rPh sb="13" eb="14">
      <t>フン</t>
    </rPh>
    <phoneticPr fontId="2"/>
  </si>
  <si>
    <t>グループホームビートルケア関沢</t>
    <rPh sb="13" eb="15">
      <t>セキザワ</t>
    </rPh>
    <phoneticPr fontId="2"/>
  </si>
  <si>
    <t>関沢１－２－１２</t>
    <rPh sb="0" eb="2">
      <t>セキザワ</t>
    </rPh>
    <phoneticPr fontId="2"/>
  </si>
  <si>
    <t>354-0025</t>
  </si>
  <si>
    <t>049-293-9111</t>
  </si>
  <si>
    <t>049-293-9112</t>
  </si>
  <si>
    <t>東武東上線鶴瀬駅から車で４分</t>
    <rPh sb="0" eb="5">
      <t>トウブトウジョウセン</t>
    </rPh>
    <rPh sb="5" eb="7">
      <t>ツルセ</t>
    </rPh>
    <rPh sb="7" eb="8">
      <t>エキ</t>
    </rPh>
    <rPh sb="10" eb="11">
      <t>クルマ</t>
    </rPh>
    <rPh sb="13" eb="14">
      <t>フン</t>
    </rPh>
    <phoneticPr fontId="2"/>
  </si>
  <si>
    <t>短期入所　熊谷石原</t>
    <rPh sb="0" eb="4">
      <t>タンキニュウショ</t>
    </rPh>
    <rPh sb="5" eb="7">
      <t>クマガヤ</t>
    </rPh>
    <rPh sb="7" eb="9">
      <t>イシハラ</t>
    </rPh>
    <phoneticPr fontId="2"/>
  </si>
  <si>
    <t>石原861‐1</t>
    <rPh sb="0" eb="2">
      <t>イシハラ</t>
    </rPh>
    <phoneticPr fontId="2"/>
  </si>
  <si>
    <t>360-0816</t>
    <phoneticPr fontId="2"/>
  </si>
  <si>
    <t>048-598-5780</t>
    <phoneticPr fontId="2"/>
  </si>
  <si>
    <t>048-598-5787</t>
    <phoneticPr fontId="2"/>
  </si>
  <si>
    <t>秩父鉄道石原駅から徒歩８分</t>
    <rPh sb="0" eb="4">
      <t>チチブテツドウ</t>
    </rPh>
    <rPh sb="4" eb="6">
      <t>イシハラ</t>
    </rPh>
    <rPh sb="6" eb="7">
      <t>エキ</t>
    </rPh>
    <rPh sb="9" eb="11">
      <t>トホ</t>
    </rPh>
    <rPh sb="12" eb="13">
      <t>フン</t>
    </rPh>
    <phoneticPr fontId="2"/>
  </si>
  <si>
    <t>（同）ゆう</t>
    <rPh sb="1" eb="2">
      <t>オナ</t>
    </rPh>
    <phoneticPr fontId="2"/>
  </si>
  <si>
    <t>（同）Fun Challenge</t>
    <rPh sb="1" eb="2">
      <t>オナ</t>
    </rPh>
    <phoneticPr fontId="2"/>
  </si>
  <si>
    <t>オフィスＴＯＢＩＲＡ</t>
  </si>
  <si>
    <t>333-0811</t>
  </si>
  <si>
    <t>048-291-7578</t>
  </si>
  <si>
    <t>048-291-7579</t>
  </si>
  <si>
    <t>東川口駅より徒歩６分</t>
    <rPh sb="0" eb="3">
      <t>ひがしかわぐち</t>
    </rPh>
    <rPh sb="3" eb="4">
      <t>えき</t>
    </rPh>
    <rPh sb="6" eb="8">
      <t>とほ</t>
    </rPh>
    <rPh sb="9" eb="10">
      <t>ふん</t>
    </rPh>
    <phoneticPr fontId="16" type="Hiragana"/>
  </si>
  <si>
    <t>本町４丁目１４番９号</t>
    <rPh sb="0" eb="2">
      <t>ほんちょう</t>
    </rPh>
    <rPh sb="3" eb="5">
      <t>ちょうめ</t>
    </rPh>
    <rPh sb="7" eb="8">
      <t>ばん</t>
    </rPh>
    <rPh sb="9" eb="10">
      <t>ごう</t>
    </rPh>
    <phoneticPr fontId="16" type="Hiragana"/>
  </si>
  <si>
    <t>金山町３番１８号</t>
    <rPh sb="0" eb="3">
      <t>かなやまちょう</t>
    </rPh>
    <rPh sb="4" eb="5">
      <t>ばん</t>
    </rPh>
    <rPh sb="7" eb="8">
      <t>ごう</t>
    </rPh>
    <phoneticPr fontId="16" type="Hiragana"/>
  </si>
  <si>
    <t>新井町１３－２興邦ビル２</t>
    <rPh sb="0" eb="3">
      <t>あらいちょう</t>
    </rPh>
    <rPh sb="7" eb="8">
      <t>こう</t>
    </rPh>
    <rPh sb="8" eb="9">
      <t>くに</t>
    </rPh>
    <phoneticPr fontId="16" type="Hiragana"/>
  </si>
  <si>
    <t>伊刈７８</t>
    <rPh sb="0" eb="2">
      <t>いかり</t>
    </rPh>
    <phoneticPr fontId="16" type="Hiragana"/>
  </si>
  <si>
    <t>西川口３－２９－１８ヒロイトビル２F</t>
    <rPh sb="0" eb="3">
      <t>にしかわぐち</t>
    </rPh>
    <phoneticPr fontId="16" type="Hiragana"/>
  </si>
  <si>
    <t>戸塚１－９－１５チャールズⅡ２階</t>
    <rPh sb="0" eb="2">
      <t>とつか</t>
    </rPh>
    <rPh sb="15" eb="16">
      <t>かい</t>
    </rPh>
    <phoneticPr fontId="16" type="Hiragana"/>
  </si>
  <si>
    <t>(同)ＴＯＢＩＲＡ</t>
    <rPh sb="1" eb="2">
      <t>どう</t>
    </rPh>
    <phoneticPr fontId="16" type="Hiragana"/>
  </si>
  <si>
    <t>048-260-6593</t>
  </si>
  <si>
    <t>ＯＮＥＧＡＭＥさいたま</t>
  </si>
  <si>
    <t>大宮区北袋町２－１８６－４－２０２号</t>
    <rPh sb="0" eb="3">
      <t>オオミヤク</t>
    </rPh>
    <rPh sb="3" eb="5">
      <t>キタブクロ</t>
    </rPh>
    <rPh sb="5" eb="6">
      <t>マチ</t>
    </rPh>
    <rPh sb="17" eb="18">
      <t>ゴウ</t>
    </rPh>
    <phoneticPr fontId="5"/>
  </si>
  <si>
    <t>330-0835</t>
  </si>
  <si>
    <t>080-7266-5560</t>
  </si>
  <si>
    <t>03-6709-8496</t>
  </si>
  <si>
    <t>JRさいたま新都心駅から徒歩15分</t>
    <rPh sb="6" eb="9">
      <t>シントシン</t>
    </rPh>
    <rPh sb="9" eb="10">
      <t>エキ</t>
    </rPh>
    <rPh sb="12" eb="14">
      <t>トホ</t>
    </rPh>
    <rPh sb="16" eb="17">
      <t>フン</t>
    </rPh>
    <phoneticPr fontId="2"/>
  </si>
  <si>
    <t>048-658-3456</t>
  </si>
  <si>
    <t>048-658-3455</t>
  </si>
  <si>
    <t>サニースポット大宮</t>
    <rPh sb="6" eb="8">
      <t>オオミヤ</t>
    </rPh>
    <phoneticPr fontId="5"/>
  </si>
  <si>
    <t>大宮区東町１－２２５</t>
  </si>
  <si>
    <t>330-0841</t>
  </si>
  <si>
    <t>048-662-9509</t>
  </si>
  <si>
    <t>048-662-9510</t>
  </si>
  <si>
    <t>339-0004</t>
  </si>
  <si>
    <t>（株）チャレンジプラットフォーム</t>
    <rPh sb="0" eb="3">
      <t>カブ</t>
    </rPh>
    <phoneticPr fontId="5"/>
  </si>
  <si>
    <t>JRさいたま大宮駅から徒歩15分
※共同生活援助との併設</t>
    <rPh sb="6" eb="8">
      <t>オオミヤ</t>
    </rPh>
    <rPh sb="8" eb="9">
      <t>エキ</t>
    </rPh>
    <rPh sb="11" eb="13">
      <t>トホ</t>
    </rPh>
    <rPh sb="15" eb="16">
      <t>フン</t>
    </rPh>
    <rPh sb="18" eb="24">
      <t>キョウドウセイカツエンジョ</t>
    </rPh>
    <rPh sb="26" eb="28">
      <t>ヘイセツ</t>
    </rPh>
    <phoneticPr fontId="2"/>
  </si>
  <si>
    <t>050-6860-5953</t>
  </si>
  <si>
    <t>048-951-3576</t>
  </si>
  <si>
    <t>新三郷駅西口から吉川駅南口行バス「吉川警察署入口」下車徒歩10分
※共同生活援助との併設</t>
    <rPh sb="0" eb="1">
      <t>シン</t>
    </rPh>
    <rPh sb="1" eb="3">
      <t>ミサト</t>
    </rPh>
    <rPh sb="3" eb="4">
      <t>エキ</t>
    </rPh>
    <rPh sb="4" eb="6">
      <t>ニシグチ</t>
    </rPh>
    <rPh sb="8" eb="10">
      <t>ヨシカワ</t>
    </rPh>
    <rPh sb="10" eb="11">
      <t>エキ</t>
    </rPh>
    <rPh sb="11" eb="13">
      <t>ミナミグチ</t>
    </rPh>
    <rPh sb="13" eb="14">
      <t>イキ</t>
    </rPh>
    <rPh sb="17" eb="19">
      <t>ヨシカワ</t>
    </rPh>
    <rPh sb="19" eb="22">
      <t>ケイサツショ</t>
    </rPh>
    <rPh sb="22" eb="24">
      <t>イリグチ</t>
    </rPh>
    <rPh sb="25" eb="27">
      <t>ゲシャ</t>
    </rPh>
    <rPh sb="27" eb="29">
      <t>トホ</t>
    </rPh>
    <rPh sb="31" eb="32">
      <t>フン</t>
    </rPh>
    <rPh sb="34" eb="40">
      <t>キョウドウセイカツエンジョ</t>
    </rPh>
    <rPh sb="42" eb="44">
      <t>ヘイセツ</t>
    </rPh>
    <phoneticPr fontId="2"/>
  </si>
  <si>
    <t>（株）neoplanet</t>
    <rPh sb="0" eb="3">
      <t>カブ</t>
    </rPh>
    <rPh sb="1" eb="2">
      <t>カブ</t>
    </rPh>
    <phoneticPr fontId="2"/>
  </si>
  <si>
    <t>就労継続支援Ｂ型事業所
jupiter</t>
    <rPh sb="0" eb="6">
      <t>シュウロウケイゾクシエン</t>
    </rPh>
    <rPh sb="7" eb="11">
      <t>ガタジギョウショ</t>
    </rPh>
    <phoneticPr fontId="2"/>
  </si>
  <si>
    <t>中1-2-5-3F</t>
    <rPh sb="0" eb="1">
      <t>ナカ</t>
    </rPh>
    <phoneticPr fontId="2"/>
  </si>
  <si>
    <t>340-0115</t>
  </si>
  <si>
    <t>0480-37-7848</t>
  </si>
  <si>
    <t>0480-37-7849</t>
  </si>
  <si>
    <t>東武日光線幸手駅東口から徒歩1分</t>
    <rPh sb="0" eb="2">
      <t>トウブ</t>
    </rPh>
    <rPh sb="2" eb="5">
      <t>ニッコウセン</t>
    </rPh>
    <rPh sb="5" eb="7">
      <t>サッテ</t>
    </rPh>
    <rPh sb="7" eb="8">
      <t>エキ</t>
    </rPh>
    <rPh sb="8" eb="9">
      <t>ヒガシ</t>
    </rPh>
    <rPh sb="9" eb="10">
      <t>グチ</t>
    </rPh>
    <rPh sb="12" eb="14">
      <t>トホ</t>
    </rPh>
    <rPh sb="15" eb="16">
      <t>フン</t>
    </rPh>
    <phoneticPr fontId="2"/>
  </si>
  <si>
    <t>(株）チャレンジプラットフォーム</t>
    <rPh sb="1" eb="2">
      <t>カブ</t>
    </rPh>
    <phoneticPr fontId="5"/>
  </si>
  <si>
    <t>サニースポット草加新田</t>
    <rPh sb="7" eb="11">
      <t>ソウカシンデン</t>
    </rPh>
    <phoneticPr fontId="5"/>
  </si>
  <si>
    <t>清門1-276-3</t>
    <rPh sb="0" eb="2">
      <t>セイモン</t>
    </rPh>
    <phoneticPr fontId="1"/>
  </si>
  <si>
    <t>340-0055</t>
  </si>
  <si>
    <t>048-954-8946</t>
  </si>
  <si>
    <t>048-954-8947</t>
  </si>
  <si>
    <t>東武鉄道伊勢崎線新田駅徒歩15分
※共同生活援助との併設</t>
    <rPh sb="0" eb="2">
      <t>トウブ</t>
    </rPh>
    <rPh sb="2" eb="4">
      <t>テツドウ</t>
    </rPh>
    <rPh sb="4" eb="7">
      <t>イセサキ</t>
    </rPh>
    <rPh sb="7" eb="8">
      <t>セン</t>
    </rPh>
    <rPh sb="8" eb="10">
      <t>ニッタ</t>
    </rPh>
    <rPh sb="10" eb="11">
      <t>エキ</t>
    </rPh>
    <rPh sb="11" eb="13">
      <t>トホ</t>
    </rPh>
    <rPh sb="15" eb="16">
      <t>フン</t>
    </rPh>
    <rPh sb="18" eb="24">
      <t>キョウドウセイカツエンジョ</t>
    </rPh>
    <rPh sb="26" eb="28">
      <t>ヘイセツ</t>
    </rPh>
    <phoneticPr fontId="2"/>
  </si>
  <si>
    <t>リハスワークさかど</t>
  </si>
  <si>
    <t>南町2-3開運ビル3階</t>
    <rPh sb="0" eb="2">
      <t>ミナミマチ</t>
    </rPh>
    <rPh sb="5" eb="7">
      <t>カイウン</t>
    </rPh>
    <rPh sb="10" eb="11">
      <t>カイ</t>
    </rPh>
    <phoneticPr fontId="2"/>
  </si>
  <si>
    <t>350-0233</t>
  </si>
  <si>
    <t>049-298-3898</t>
  </si>
  <si>
    <t>049-298-3899</t>
  </si>
  <si>
    <t>東武東上線坂戸駅から徒歩1分</t>
    <rPh sb="0" eb="5">
      <t>トウブトウジョウセン</t>
    </rPh>
    <rPh sb="5" eb="7">
      <t>サカド</t>
    </rPh>
    <rPh sb="7" eb="8">
      <t>エキ</t>
    </rPh>
    <rPh sb="10" eb="12">
      <t>トホ</t>
    </rPh>
    <rPh sb="13" eb="14">
      <t>フン</t>
    </rPh>
    <phoneticPr fontId="2"/>
  </si>
  <si>
    <t>aloha所沢</t>
    <rPh sb="5" eb="7">
      <t>トコロザワ</t>
    </rPh>
    <phoneticPr fontId="2"/>
  </si>
  <si>
    <t>星の宮2-3-35マキノビル3階</t>
    <rPh sb="0" eb="1">
      <t>ホシ</t>
    </rPh>
    <rPh sb="2" eb="3">
      <t>ミヤ</t>
    </rPh>
    <rPh sb="15" eb="16">
      <t>カイ</t>
    </rPh>
    <phoneticPr fontId="2"/>
  </si>
  <si>
    <t>359-1127</t>
  </si>
  <si>
    <t>04-2935-4863</t>
  </si>
  <si>
    <t>04-2935-4893</t>
  </si>
  <si>
    <t>西武池袋線西所沢駅から徒歩10分</t>
    <rPh sb="0" eb="5">
      <t>セイブイケブクロセン</t>
    </rPh>
    <rPh sb="5" eb="6">
      <t>ニシ</t>
    </rPh>
    <rPh sb="6" eb="8">
      <t>トコロザワ</t>
    </rPh>
    <rPh sb="8" eb="9">
      <t>エキ</t>
    </rPh>
    <rPh sb="11" eb="13">
      <t>トホ</t>
    </rPh>
    <rPh sb="15" eb="16">
      <t>フン</t>
    </rPh>
    <phoneticPr fontId="2"/>
  </si>
  <si>
    <t>にじいろサポートメント所沢</t>
    <rPh sb="11" eb="13">
      <t>トコロザワ</t>
    </rPh>
    <phoneticPr fontId="2"/>
  </si>
  <si>
    <t>所沢市</t>
    <rPh sb="0" eb="2">
      <t>トコロザワ</t>
    </rPh>
    <rPh sb="2" eb="3">
      <t>シ</t>
    </rPh>
    <phoneticPr fontId="2"/>
  </si>
  <si>
    <t>くすのき台3-18-10新明ビル南館</t>
    <rPh sb="4" eb="5">
      <t>ダイ</t>
    </rPh>
    <rPh sb="12" eb="14">
      <t>シンメイ</t>
    </rPh>
    <rPh sb="16" eb="17">
      <t>ミナミ</t>
    </rPh>
    <rPh sb="17" eb="18">
      <t>カン</t>
    </rPh>
    <phoneticPr fontId="2"/>
  </si>
  <si>
    <t>04-2946-8578</t>
  </si>
  <si>
    <t>04-2946-8589</t>
  </si>
  <si>
    <t>西武池袋線所沢駅よ東口り徒歩4分</t>
  </si>
  <si>
    <t>多機能型事業所ラボリ</t>
    <rPh sb="0" eb="7">
      <t>タキノウガタジギョウショ</t>
    </rPh>
    <phoneticPr fontId="2"/>
  </si>
  <si>
    <t>薬師町27-9Laショパーズ・シティ202</t>
    <rPh sb="0" eb="3">
      <t>ヤクシマチ</t>
    </rPh>
    <phoneticPr fontId="2"/>
  </si>
  <si>
    <t>350-0229</t>
  </si>
  <si>
    <t>049-227-3115</t>
  </si>
  <si>
    <t>049-227-3114</t>
  </si>
  <si>
    <t>東武東上線北坂戸駅から徒歩8分</t>
  </si>
  <si>
    <t>（一社）みつるくん</t>
    <rPh sb="1" eb="3">
      <t>１シャ</t>
    </rPh>
    <phoneticPr fontId="2"/>
  </si>
  <si>
    <t>グループホームえがお</t>
  </si>
  <si>
    <t>美杉台2-19-3</t>
    <rPh sb="0" eb="2">
      <t>ミスギ</t>
    </rPh>
    <rPh sb="2" eb="3">
      <t>ダイ</t>
    </rPh>
    <phoneticPr fontId="2"/>
  </si>
  <si>
    <t>357-0041</t>
  </si>
  <si>
    <t>042-978-5000</t>
  </si>
  <si>
    <t>042-978-5805</t>
  </si>
  <si>
    <t>西部秩父線東飯能駅から車で12分</t>
    <rPh sb="0" eb="2">
      <t>セイブ</t>
    </rPh>
    <rPh sb="2" eb="4">
      <t>チチブ</t>
    </rPh>
    <rPh sb="4" eb="5">
      <t>セン</t>
    </rPh>
    <rPh sb="5" eb="9">
      <t>ヒガシハンノウエキ</t>
    </rPh>
    <rPh sb="11" eb="12">
      <t>クルマ</t>
    </rPh>
    <rPh sb="15" eb="16">
      <t>フン</t>
    </rPh>
    <phoneticPr fontId="2"/>
  </si>
  <si>
    <t>（合）シェルパ</t>
    <rPh sb="1" eb="2">
      <t>ゴウ</t>
    </rPh>
    <phoneticPr fontId="2"/>
  </si>
  <si>
    <t>シェルパ</t>
  </si>
  <si>
    <t>下安松845-20</t>
    <rPh sb="0" eb="3">
      <t>シタヤスマツ</t>
    </rPh>
    <phoneticPr fontId="2"/>
  </si>
  <si>
    <t>359-0024</t>
  </si>
  <si>
    <t>042-968-4918</t>
  </si>
  <si>
    <t>ＪＲ武蔵野線東所沢駅から車で10分</t>
    <rPh sb="2" eb="6">
      <t>ムサシノセン</t>
    </rPh>
    <rPh sb="6" eb="9">
      <t>ヒガシトコロザワ</t>
    </rPh>
    <rPh sb="9" eb="10">
      <t>エキ</t>
    </rPh>
    <rPh sb="12" eb="13">
      <t>クルマ</t>
    </rPh>
    <rPh sb="16" eb="17">
      <t>フン</t>
    </rPh>
    <phoneticPr fontId="2"/>
  </si>
  <si>
    <t>359-1145</t>
  </si>
  <si>
    <t>04-2935-7040</t>
  </si>
  <si>
    <t>04-2935-7044</t>
  </si>
  <si>
    <t>グループホーム　みらい　ショートステイ</t>
  </si>
  <si>
    <t>箱田七丁目３番１１号</t>
  </si>
  <si>
    <t>3600014</t>
  </si>
  <si>
    <t>048-501-1180</t>
  </si>
  <si>
    <t>048-501-1181</t>
  </si>
  <si>
    <t>ウーリー桶川</t>
  </si>
  <si>
    <t>桶川市</t>
    <phoneticPr fontId="2"/>
  </si>
  <si>
    <t>東1-3-24コジマビル3階</t>
  </si>
  <si>
    <t>3630013</t>
  </si>
  <si>
    <t>048-627-9588</t>
  </si>
  <si>
    <t>○事業所・施設　一覧</t>
    <phoneticPr fontId="2"/>
  </si>
  <si>
    <t>048－954-4714</t>
    <phoneticPr fontId="2"/>
  </si>
  <si>
    <t>048-464-7811</t>
    <phoneticPr fontId="2"/>
  </si>
  <si>
    <t>短期入所　幸手北</t>
    <rPh sb="5" eb="7">
      <t>サッテ</t>
    </rPh>
    <rPh sb="7" eb="8">
      <t>キタ</t>
    </rPh>
    <phoneticPr fontId="5"/>
  </si>
  <si>
    <t>北2-19-28</t>
    <rPh sb="0" eb="1">
      <t>キタ</t>
    </rPh>
    <phoneticPr fontId="1"/>
  </si>
  <si>
    <t>340-0111</t>
    <phoneticPr fontId="2"/>
  </si>
  <si>
    <t>0480-48-6361</t>
    <phoneticPr fontId="2"/>
  </si>
  <si>
    <t>0480-48-6365</t>
    <phoneticPr fontId="2"/>
  </si>
  <si>
    <t>幸手駅から徒歩20分
※共同生活援助との併設</t>
    <rPh sb="0" eb="2">
      <t>サッテ</t>
    </rPh>
    <rPh sb="2" eb="3">
      <t>エキ</t>
    </rPh>
    <rPh sb="5" eb="7">
      <t>トホ</t>
    </rPh>
    <rPh sb="9" eb="10">
      <t>フン</t>
    </rPh>
    <phoneticPr fontId="2"/>
  </si>
  <si>
    <t>本田町1-47</t>
    <rPh sb="0" eb="2">
      <t>ホンデン</t>
    </rPh>
    <rPh sb="2" eb="3">
      <t>チョウ</t>
    </rPh>
    <phoneticPr fontId="2"/>
  </si>
  <si>
    <t>048-795-4431</t>
    <phoneticPr fontId="2"/>
  </si>
  <si>
    <t>048-795-4432</t>
    <phoneticPr fontId="2"/>
  </si>
  <si>
    <t>東武スカイツリー線一ノ割駅から朝日バス「文化住宅入口」下車徒歩3分
※共同生活援助との併設</t>
    <rPh sb="0" eb="2">
      <t>トウブ</t>
    </rPh>
    <rPh sb="8" eb="9">
      <t>セン</t>
    </rPh>
    <rPh sb="9" eb="10">
      <t>イチ</t>
    </rPh>
    <rPh sb="11" eb="12">
      <t>ワリ</t>
    </rPh>
    <rPh sb="12" eb="13">
      <t>エキ</t>
    </rPh>
    <rPh sb="15" eb="17">
      <t>アサヒ</t>
    </rPh>
    <rPh sb="20" eb="22">
      <t>ブンカ</t>
    </rPh>
    <rPh sb="22" eb="24">
      <t>ジュウタク</t>
    </rPh>
    <rPh sb="24" eb="26">
      <t>イリグチ</t>
    </rPh>
    <rPh sb="27" eb="29">
      <t>ゲシャ</t>
    </rPh>
    <rPh sb="29" eb="31">
      <t>トホ</t>
    </rPh>
    <rPh sb="32" eb="33">
      <t>フン</t>
    </rPh>
    <phoneticPr fontId="2"/>
  </si>
  <si>
    <t>(福)橙</t>
    <rPh sb="1" eb="2">
      <t>フク</t>
    </rPh>
    <rPh sb="3" eb="4">
      <t>ダイダイ</t>
    </rPh>
    <phoneticPr fontId="2"/>
  </si>
  <si>
    <t>らーれ</t>
  </si>
  <si>
    <t>361-0004</t>
  </si>
  <si>
    <t>048-501-6704</t>
  </si>
  <si>
    <t>048-501-6705</t>
  </si>
  <si>
    <t>生活介護事業所　あある</t>
    <rPh sb="0" eb="2">
      <t>セイカツ</t>
    </rPh>
    <rPh sb="2" eb="4">
      <t>カイゴ</t>
    </rPh>
    <rPh sb="4" eb="7">
      <t>ジギョウショ</t>
    </rPh>
    <phoneticPr fontId="2"/>
  </si>
  <si>
    <t>瀬崎4-1-53</t>
    <rPh sb="0" eb="1">
      <t>セ</t>
    </rPh>
    <rPh sb="1" eb="2">
      <t>サキ</t>
    </rPh>
    <phoneticPr fontId="2"/>
  </si>
  <si>
    <t>048-954-4714</t>
    <phoneticPr fontId="2"/>
  </si>
  <si>
    <t>048-954-4540</t>
    <phoneticPr fontId="2"/>
  </si>
  <si>
    <t>東武スカイツリー線谷塚駅から東武バス花畑桑袋団地行「谷塚斎場」下車徒歩3分</t>
    <rPh sb="0" eb="2">
      <t>トウブ</t>
    </rPh>
    <rPh sb="8" eb="9">
      <t>セン</t>
    </rPh>
    <rPh sb="9" eb="12">
      <t>ヤツカエキ</t>
    </rPh>
    <rPh sb="14" eb="16">
      <t>トウブ</t>
    </rPh>
    <rPh sb="18" eb="20">
      <t>ハナバタケ</t>
    </rPh>
    <rPh sb="20" eb="21">
      <t>クワ</t>
    </rPh>
    <rPh sb="21" eb="22">
      <t>ブクロ</t>
    </rPh>
    <rPh sb="22" eb="24">
      <t>ダンチ</t>
    </rPh>
    <rPh sb="24" eb="25">
      <t>ユ</t>
    </rPh>
    <rPh sb="26" eb="28">
      <t>ヤヅカ</t>
    </rPh>
    <rPh sb="28" eb="30">
      <t>サイジョウ</t>
    </rPh>
    <rPh sb="31" eb="33">
      <t>ゲシャ</t>
    </rPh>
    <rPh sb="33" eb="35">
      <t>トホ</t>
    </rPh>
    <rPh sb="36" eb="37">
      <t>プン</t>
    </rPh>
    <phoneticPr fontId="2"/>
  </si>
  <si>
    <t>中央6-8-18
大栄ビル1F</t>
    <rPh sb="0" eb="2">
      <t>チュウオウ</t>
    </rPh>
    <rPh sb="9" eb="11">
      <t>ダイエイ</t>
    </rPh>
    <phoneticPr fontId="2"/>
  </si>
  <si>
    <t>東武鉄道春日部駅西口より徒歩10分</t>
    <rPh sb="0" eb="2">
      <t>トウブ</t>
    </rPh>
    <rPh sb="2" eb="4">
      <t>テツドウ</t>
    </rPh>
    <rPh sb="4" eb="8">
      <t>カスカベエキ</t>
    </rPh>
    <rPh sb="8" eb="10">
      <t>ニシグチ</t>
    </rPh>
    <rPh sb="12" eb="14">
      <t>トホ</t>
    </rPh>
    <rPh sb="16" eb="17">
      <t>フン</t>
    </rPh>
    <phoneticPr fontId="2"/>
  </si>
  <si>
    <t>荒幡327-1</t>
    <rPh sb="0" eb="2">
      <t>アラハタ</t>
    </rPh>
    <phoneticPr fontId="2"/>
  </si>
  <si>
    <t>359-1133</t>
    <phoneticPr fontId="2"/>
  </si>
  <si>
    <t>04-2937-3427</t>
    <phoneticPr fontId="2"/>
  </si>
  <si>
    <t>04-2937-3428</t>
    <phoneticPr fontId="2"/>
  </si>
  <si>
    <t>旭ヶ丘211番地1</t>
    <rPh sb="0" eb="3">
      <t>アサヒガオカ</t>
    </rPh>
    <rPh sb="6" eb="8">
      <t>バンチ</t>
    </rPh>
    <phoneticPr fontId="2"/>
  </si>
  <si>
    <t>（福）日和田会</t>
    <rPh sb="1" eb="2">
      <t>フク</t>
    </rPh>
    <rPh sb="3" eb="4">
      <t>ヒ</t>
    </rPh>
    <rPh sb="4" eb="5">
      <t>ワ</t>
    </rPh>
    <rPh sb="5" eb="6">
      <t>タ</t>
    </rPh>
    <rPh sb="6" eb="7">
      <t>カイ</t>
    </rPh>
    <phoneticPr fontId="2"/>
  </si>
  <si>
    <t>第６かわせみ・なごみ</t>
    <rPh sb="0" eb="1">
      <t>ダイ</t>
    </rPh>
    <phoneticPr fontId="2"/>
  </si>
  <si>
    <t>新堀新井931-1、931-3</t>
    <rPh sb="0" eb="2">
      <t>ニイボリ</t>
    </rPh>
    <rPh sb="2" eb="4">
      <t>アライ</t>
    </rPh>
    <phoneticPr fontId="2"/>
  </si>
  <si>
    <t>350-1243</t>
    <phoneticPr fontId="2"/>
  </si>
  <si>
    <t>042-978-5730</t>
    <phoneticPr fontId="2"/>
  </si>
  <si>
    <t>042-978-5957</t>
    <phoneticPr fontId="2"/>
  </si>
  <si>
    <t>JR川越線高麗川駅から国際興行バス飯能駅行き「栗坪」下車徒歩１０分</t>
    <rPh sb="2" eb="5">
      <t>カワゴエセン</t>
    </rPh>
    <rPh sb="5" eb="7">
      <t>コウライ</t>
    </rPh>
    <rPh sb="7" eb="8">
      <t>カワ</t>
    </rPh>
    <rPh sb="8" eb="9">
      <t>エキ</t>
    </rPh>
    <rPh sb="11" eb="13">
      <t>コクサイ</t>
    </rPh>
    <rPh sb="13" eb="15">
      <t>コウギョウ</t>
    </rPh>
    <rPh sb="17" eb="19">
      <t>ハンノウ</t>
    </rPh>
    <rPh sb="19" eb="20">
      <t>エキ</t>
    </rPh>
    <rPh sb="20" eb="21">
      <t>ユ</t>
    </rPh>
    <rPh sb="23" eb="24">
      <t>クリ</t>
    </rPh>
    <rPh sb="24" eb="25">
      <t>ツボ</t>
    </rPh>
    <rPh sb="26" eb="28">
      <t>ゲシャ</t>
    </rPh>
    <rPh sb="28" eb="30">
      <t>トホ</t>
    </rPh>
    <rPh sb="32" eb="33">
      <t>フン</t>
    </rPh>
    <phoneticPr fontId="2"/>
  </si>
  <si>
    <t>しろつめ</t>
    <phoneticPr fontId="2"/>
  </si>
  <si>
    <t>350-1335</t>
    <phoneticPr fontId="2"/>
  </si>
  <si>
    <t>04-2968-8655</t>
    <phoneticPr fontId="2"/>
  </si>
  <si>
    <t>新宿線狭山駅から西武バス西部柏原ニュータウン行き「柏原南」下車徒歩６分</t>
    <rPh sb="0" eb="3">
      <t>シンジュクセン</t>
    </rPh>
    <rPh sb="3" eb="5">
      <t>サヤマ</t>
    </rPh>
    <rPh sb="5" eb="6">
      <t>エキ</t>
    </rPh>
    <rPh sb="8" eb="10">
      <t>セイブ</t>
    </rPh>
    <rPh sb="12" eb="14">
      <t>セイブ</t>
    </rPh>
    <rPh sb="14" eb="16">
      <t>カシワハラ</t>
    </rPh>
    <rPh sb="22" eb="23">
      <t>イキ</t>
    </rPh>
    <rPh sb="25" eb="26">
      <t>カシワ</t>
    </rPh>
    <rPh sb="26" eb="27">
      <t>ハラ</t>
    </rPh>
    <rPh sb="27" eb="28">
      <t>ミナミ</t>
    </rPh>
    <rPh sb="29" eb="31">
      <t>ゲシャ</t>
    </rPh>
    <rPh sb="31" eb="33">
      <t>トホ</t>
    </rPh>
    <rPh sb="34" eb="35">
      <t>フン</t>
    </rPh>
    <phoneticPr fontId="2"/>
  </si>
  <si>
    <t>富士見みらい図</t>
    <rPh sb="0" eb="3">
      <t>フジミ</t>
    </rPh>
    <rPh sb="6" eb="7">
      <t>ズ</t>
    </rPh>
    <phoneticPr fontId="2"/>
  </si>
  <si>
    <t>針ヶ谷2-19-10-AB</t>
    <rPh sb="0" eb="3">
      <t>ハリガヤ</t>
    </rPh>
    <phoneticPr fontId="2"/>
  </si>
  <si>
    <t>049-265-6828</t>
    <phoneticPr fontId="2"/>
  </si>
  <si>
    <t>049-265-6839</t>
    <phoneticPr fontId="2"/>
  </si>
  <si>
    <t>東武東上線柳瀬川駅から徒歩16分</t>
    <rPh sb="0" eb="5">
      <t>トウブトウジョウセン</t>
    </rPh>
    <rPh sb="5" eb="7">
      <t>ヤナセ</t>
    </rPh>
    <rPh sb="7" eb="8">
      <t>カワ</t>
    </rPh>
    <rPh sb="8" eb="9">
      <t>エキ</t>
    </rPh>
    <rPh sb="11" eb="13">
      <t>トホ</t>
    </rPh>
    <rPh sb="15" eb="16">
      <t>フン</t>
    </rPh>
    <phoneticPr fontId="2"/>
  </si>
  <si>
    <t>（特非）ひだまり</t>
    <rPh sb="1" eb="2">
      <t>トク</t>
    </rPh>
    <rPh sb="2" eb="3">
      <t>ヒ</t>
    </rPh>
    <phoneticPr fontId="2"/>
  </si>
  <si>
    <t>ひだまりホーム</t>
    <phoneticPr fontId="2"/>
  </si>
  <si>
    <t>小島六丁目６番４号</t>
    <rPh sb="0" eb="2">
      <t>コジマ</t>
    </rPh>
    <rPh sb="2" eb="5">
      <t>ロクチョウメ</t>
    </rPh>
    <rPh sb="6" eb="7">
      <t>バン</t>
    </rPh>
    <rPh sb="8" eb="9">
      <t>ゴウ</t>
    </rPh>
    <phoneticPr fontId="2"/>
  </si>
  <si>
    <t>367-0061</t>
    <phoneticPr fontId="2"/>
  </si>
  <si>
    <t>0495-24-1370</t>
    <phoneticPr fontId="2"/>
  </si>
  <si>
    <t>JR高崎線本庄駅から徒歩２４分
最寄りのバス停　宮本町車庫</t>
    <rPh sb="2" eb="5">
      <t>タカサキセン</t>
    </rPh>
    <rPh sb="5" eb="7">
      <t>ホンジョウ</t>
    </rPh>
    <rPh sb="7" eb="8">
      <t>エキ</t>
    </rPh>
    <rPh sb="10" eb="12">
      <t>トホ</t>
    </rPh>
    <rPh sb="14" eb="15">
      <t>フン</t>
    </rPh>
    <rPh sb="16" eb="18">
      <t>モヨ</t>
    </rPh>
    <rPh sb="22" eb="23">
      <t>テイ</t>
    </rPh>
    <rPh sb="24" eb="26">
      <t>ミヤモト</t>
    </rPh>
    <rPh sb="26" eb="27">
      <t>マチ</t>
    </rPh>
    <rPh sb="27" eb="29">
      <t>シャコ</t>
    </rPh>
    <phoneticPr fontId="2"/>
  </si>
  <si>
    <t>JR武蔵野線新座駅南口より西武バス「中郷」下車徒歩3分
※共同生活援助との併設（R4.10.1）</t>
    <rPh sb="2" eb="6">
      <t>ムサシノセン</t>
    </rPh>
    <rPh sb="6" eb="8">
      <t>ニイザ</t>
    </rPh>
    <rPh sb="8" eb="9">
      <t>エキ</t>
    </rPh>
    <rPh sb="9" eb="11">
      <t>ミナミグチ</t>
    </rPh>
    <rPh sb="13" eb="15">
      <t>セイブ</t>
    </rPh>
    <rPh sb="18" eb="20">
      <t>ナカゴウ</t>
    </rPh>
    <rPh sb="21" eb="23">
      <t>ゲシャ</t>
    </rPh>
    <rPh sb="23" eb="25">
      <t>トホ</t>
    </rPh>
    <rPh sb="26" eb="27">
      <t>フン</t>
    </rPh>
    <rPh sb="29" eb="35">
      <t>キョウドウセイカツエンジョ</t>
    </rPh>
    <rPh sb="37" eb="39">
      <t>ヘイセツ</t>
    </rPh>
    <phoneticPr fontId="2"/>
  </si>
  <si>
    <t>048-793-4975</t>
    <phoneticPr fontId="2"/>
  </si>
  <si>
    <t>クラリス</t>
  </si>
  <si>
    <t>339-0073</t>
  </si>
  <si>
    <t>090-2730-9639</t>
  </si>
  <si>
    <t>JR東岩槻駅から徒歩29分</t>
    <rPh sb="2" eb="3">
      <t>ヒガシ</t>
    </rPh>
    <rPh sb="3" eb="5">
      <t>イワツキ</t>
    </rPh>
    <rPh sb="5" eb="6">
      <t>エキ</t>
    </rPh>
    <rPh sb="8" eb="10">
      <t>トホ</t>
    </rPh>
    <rPh sb="12" eb="13">
      <t>フン</t>
    </rPh>
    <phoneticPr fontId="2"/>
  </si>
  <si>
    <t>（福）ねがいの杜</t>
    <rPh sb="1" eb="2">
      <t>フク</t>
    </rPh>
    <rPh sb="7" eb="8">
      <t>モリ</t>
    </rPh>
    <phoneticPr fontId="2"/>
  </si>
  <si>
    <t>（株）東都広告</t>
    <rPh sb="0" eb="3">
      <t>カブ</t>
    </rPh>
    <rPh sb="3" eb="5">
      <t>トウト</t>
    </rPh>
    <rPh sb="5" eb="7">
      <t>コウコク</t>
    </rPh>
    <phoneticPr fontId="2"/>
  </si>
  <si>
    <t>浦和区常盤９－６－９　美徳ビル２階</t>
    <phoneticPr fontId="5"/>
  </si>
  <si>
    <t>（株）カルディア</t>
    <rPh sb="0" eb="3">
      <t>カブ</t>
    </rPh>
    <phoneticPr fontId="2"/>
  </si>
  <si>
    <t>（一社）ウィズホープ</t>
    <rPh sb="1" eb="3">
      <t>イッシャ</t>
    </rPh>
    <phoneticPr fontId="2"/>
  </si>
  <si>
    <t>岩槻区上野９５２－３</t>
    <phoneticPr fontId="5"/>
  </si>
  <si>
    <t>大宮区吉敷町４－１３－２　Jプロ大宮ビル４階</t>
    <rPh sb="0" eb="3">
      <t>オオミヤク</t>
    </rPh>
    <rPh sb="3" eb="6">
      <t>キシキチョウ</t>
    </rPh>
    <rPh sb="16" eb="18">
      <t>オオミヤ</t>
    </rPh>
    <rPh sb="21" eb="22">
      <t>カイ</t>
    </rPh>
    <phoneticPr fontId="36"/>
  </si>
  <si>
    <t>クオリティー（株）</t>
    <rPh sb="6" eb="9">
      <t>カブ</t>
    </rPh>
    <rPh sb="7" eb="8">
      <t>カブ</t>
    </rPh>
    <phoneticPr fontId="2"/>
  </si>
  <si>
    <t>アトリエ・アンノウンⅢ　草加</t>
    <rPh sb="12" eb="14">
      <t>ソウカ</t>
    </rPh>
    <phoneticPr fontId="2"/>
  </si>
  <si>
    <t>八幡町1283-4</t>
    <rPh sb="0" eb="3">
      <t>ヤハタチョウ</t>
    </rPh>
    <phoneticPr fontId="2"/>
  </si>
  <si>
    <t>340-0006</t>
    <phoneticPr fontId="2"/>
  </si>
  <si>
    <t>048-954-4661</t>
    <phoneticPr fontId="2"/>
  </si>
  <si>
    <t>048-954-4662</t>
  </si>
  <si>
    <t>東武スカイツリーライン新田駅より徒歩20分</t>
    <rPh sb="0" eb="2">
      <t>トウブ</t>
    </rPh>
    <rPh sb="11" eb="14">
      <t>ニッタエキ</t>
    </rPh>
    <rPh sb="16" eb="18">
      <t>トホ</t>
    </rPh>
    <rPh sb="20" eb="21">
      <t>フン</t>
    </rPh>
    <phoneticPr fontId="2"/>
  </si>
  <si>
    <t>（株）クリスタルサービス</t>
    <rPh sb="0" eb="3">
      <t>カブ</t>
    </rPh>
    <phoneticPr fontId="2"/>
  </si>
  <si>
    <t>クリスタルサービス草加</t>
    <rPh sb="9" eb="11">
      <t>ソウカ</t>
    </rPh>
    <phoneticPr fontId="2"/>
  </si>
  <si>
    <t>谷塚1-2-25
西川ビル１階</t>
    <rPh sb="0" eb="2">
      <t>ヤヅカ</t>
    </rPh>
    <rPh sb="9" eb="11">
      <t>ニシカワ</t>
    </rPh>
    <rPh sb="14" eb="15">
      <t>カイ</t>
    </rPh>
    <phoneticPr fontId="2"/>
  </si>
  <si>
    <t>340-0028</t>
    <phoneticPr fontId="2"/>
  </si>
  <si>
    <t>048-934-9063</t>
    <phoneticPr fontId="2"/>
  </si>
  <si>
    <t>048-934-9073</t>
    <phoneticPr fontId="2"/>
  </si>
  <si>
    <t>東武伊勢崎線谷塚駅東口より徒歩１分</t>
    <rPh sb="0" eb="2">
      <t>トウブ</t>
    </rPh>
    <rPh sb="2" eb="6">
      <t>イセサキセン</t>
    </rPh>
    <rPh sb="6" eb="9">
      <t>ヤツカエキ</t>
    </rPh>
    <rPh sb="9" eb="11">
      <t>ヒガシグチ</t>
    </rPh>
    <rPh sb="13" eb="15">
      <t>トホ</t>
    </rPh>
    <rPh sb="16" eb="17">
      <t>フン</t>
    </rPh>
    <phoneticPr fontId="2"/>
  </si>
  <si>
    <t>（同）Grandeur Rainbow</t>
    <rPh sb="1" eb="2">
      <t>オナ</t>
    </rPh>
    <phoneticPr fontId="2"/>
  </si>
  <si>
    <t>◯カフェ</t>
    <phoneticPr fontId="2"/>
  </si>
  <si>
    <t>高野台南1-1-6</t>
    <rPh sb="0" eb="3">
      <t>タカノダイ</t>
    </rPh>
    <rPh sb="3" eb="4">
      <t>ミナミ</t>
    </rPh>
    <phoneticPr fontId="2"/>
  </si>
  <si>
    <t>345-0046</t>
    <phoneticPr fontId="2"/>
  </si>
  <si>
    <t>090-8875-8815</t>
    <phoneticPr fontId="2"/>
  </si>
  <si>
    <t>東武スカイツリーライン杉戸高野台駅より徒歩2分</t>
    <rPh sb="0" eb="2">
      <t>トウブ</t>
    </rPh>
    <rPh sb="11" eb="16">
      <t>スギトタカノダイ</t>
    </rPh>
    <rPh sb="16" eb="17">
      <t>エキ</t>
    </rPh>
    <rPh sb="19" eb="21">
      <t>トホ</t>
    </rPh>
    <rPh sb="22" eb="23">
      <t>フン</t>
    </rPh>
    <phoneticPr fontId="2"/>
  </si>
  <si>
    <t>※
○</t>
    <phoneticPr fontId="2"/>
  </si>
  <si>
    <t>高崎線行田駅下車徒歩15分
※主たる対象者：※は就労Ａのみ</t>
    <rPh sb="0" eb="3">
      <t>タカサキセン</t>
    </rPh>
    <rPh sb="3" eb="5">
      <t>ギョウダ</t>
    </rPh>
    <rPh sb="5" eb="6">
      <t>エキ</t>
    </rPh>
    <rPh sb="6" eb="8">
      <t>ゲシャ</t>
    </rPh>
    <rPh sb="8" eb="10">
      <t>トホ</t>
    </rPh>
    <rPh sb="12" eb="13">
      <t>フン</t>
    </rPh>
    <rPh sb="24" eb="26">
      <t>シュウロウ</t>
    </rPh>
    <phoneticPr fontId="2"/>
  </si>
  <si>
    <t>大字砂山字下宿22</t>
    <rPh sb="0" eb="2">
      <t>オオアザ</t>
    </rPh>
    <rPh sb="2" eb="4">
      <t>スナヤマ</t>
    </rPh>
    <rPh sb="4" eb="5">
      <t>アザ</t>
    </rPh>
    <rPh sb="5" eb="6">
      <t>シモ</t>
    </rPh>
    <rPh sb="6" eb="7">
      <t>ヤド</t>
    </rPh>
    <phoneticPr fontId="2"/>
  </si>
  <si>
    <t>くるみ(株)</t>
    <rPh sb="3" eb="6">
      <t>カブ</t>
    </rPh>
    <phoneticPr fontId="2"/>
  </si>
  <si>
    <t>ブロッサムワークスわらび</t>
    <phoneticPr fontId="2"/>
  </si>
  <si>
    <t>南町3丁目5-2　ハイツ島田1階</t>
    <rPh sb="0" eb="2">
      <t>ミナミマチ</t>
    </rPh>
    <rPh sb="3" eb="5">
      <t>チョウメ</t>
    </rPh>
    <rPh sb="12" eb="14">
      <t>シマダ</t>
    </rPh>
    <rPh sb="15" eb="16">
      <t>カイ</t>
    </rPh>
    <phoneticPr fontId="2"/>
  </si>
  <si>
    <t>048-430-7150</t>
    <phoneticPr fontId="2"/>
  </si>
  <si>
    <t>048-430-7157</t>
    <phoneticPr fontId="2"/>
  </si>
  <si>
    <t>JR京浜東北線西川口駅から徒歩７分</t>
    <rPh sb="2" eb="7">
      <t>ケイヒントウホクセン</t>
    </rPh>
    <rPh sb="7" eb="11">
      <t>ニシカワグチエキ</t>
    </rPh>
    <rPh sb="13" eb="15">
      <t>トホ</t>
    </rPh>
    <rPh sb="16" eb="17">
      <t>フン</t>
    </rPh>
    <phoneticPr fontId="2"/>
  </si>
  <si>
    <t>（一社）フリースタイルスポーツ</t>
    <rPh sb="1" eb="2">
      <t>イチ</t>
    </rPh>
    <rPh sb="2" eb="3">
      <t>シャ</t>
    </rPh>
    <phoneticPr fontId="2"/>
  </si>
  <si>
    <t>虹色</t>
    <rPh sb="0" eb="2">
      <t>ニジイロ</t>
    </rPh>
    <phoneticPr fontId="2"/>
  </si>
  <si>
    <t>上野台３２３－２</t>
    <rPh sb="0" eb="3">
      <t>ウエノダイ</t>
    </rPh>
    <phoneticPr fontId="2"/>
  </si>
  <si>
    <t>366-0801</t>
    <phoneticPr fontId="2"/>
  </si>
  <si>
    <t>048-598-4030</t>
    <phoneticPr fontId="2"/>
  </si>
  <si>
    <t>048-598-4035</t>
    <phoneticPr fontId="2"/>
  </si>
  <si>
    <t>JR高崎線深谷駅から徒歩２０分</t>
    <rPh sb="2" eb="5">
      <t>タカサキセン</t>
    </rPh>
    <rPh sb="5" eb="7">
      <t>フカヤ</t>
    </rPh>
    <rPh sb="7" eb="8">
      <t>エキ</t>
    </rPh>
    <rPh sb="10" eb="12">
      <t>トホ</t>
    </rPh>
    <rPh sb="14" eb="15">
      <t>フン</t>
    </rPh>
    <phoneticPr fontId="2"/>
  </si>
  <si>
    <t>048-577-6793</t>
    <phoneticPr fontId="2"/>
  </si>
  <si>
    <t>048-577-6794</t>
    <phoneticPr fontId="2"/>
  </si>
  <si>
    <t>就労継続支援Ｂ型事業所　ＴＲＥＥ　三芳町店</t>
    <rPh sb="0" eb="6">
      <t>シュウロウケイゾクシエン</t>
    </rPh>
    <rPh sb="7" eb="11">
      <t>ガタジギョウショ</t>
    </rPh>
    <rPh sb="17" eb="21">
      <t>ミヨシマチテン</t>
    </rPh>
    <phoneticPr fontId="2"/>
  </si>
  <si>
    <t>北永井８９１　２号室</t>
    <rPh sb="0" eb="1">
      <t>キタ</t>
    </rPh>
    <rPh sb="1" eb="3">
      <t>ナガイ</t>
    </rPh>
    <rPh sb="8" eb="10">
      <t>ゴウシツ</t>
    </rPh>
    <phoneticPr fontId="2"/>
  </si>
  <si>
    <t>049-256-9261</t>
    <phoneticPr fontId="2"/>
  </si>
  <si>
    <t>東武東上線ふじみ野駅から車で８分</t>
    <rPh sb="0" eb="5">
      <t>トウブトウジョウセン</t>
    </rPh>
    <rPh sb="8" eb="9">
      <t>ノ</t>
    </rPh>
    <rPh sb="9" eb="10">
      <t>エキ</t>
    </rPh>
    <rPh sb="12" eb="13">
      <t>クルマ</t>
    </rPh>
    <rPh sb="15" eb="16">
      <t>フン</t>
    </rPh>
    <phoneticPr fontId="2"/>
  </si>
  <si>
    <t>（同）ルークス</t>
    <rPh sb="1" eb="2">
      <t>オナ</t>
    </rPh>
    <phoneticPr fontId="2"/>
  </si>
  <si>
    <t>ルークス</t>
    <phoneticPr fontId="2"/>
  </si>
  <si>
    <t>大塚244-1スカイヒルズ小川事務所2階　３号室</t>
    <rPh sb="0" eb="2">
      <t>オオツカ</t>
    </rPh>
    <rPh sb="13" eb="15">
      <t>オガワ</t>
    </rPh>
    <rPh sb="15" eb="17">
      <t>ジム</t>
    </rPh>
    <rPh sb="17" eb="18">
      <t>ショ</t>
    </rPh>
    <rPh sb="19" eb="20">
      <t>カイ</t>
    </rPh>
    <rPh sb="22" eb="24">
      <t>ゴウシツ</t>
    </rPh>
    <phoneticPr fontId="2"/>
  </si>
  <si>
    <t>355-0328</t>
    <phoneticPr fontId="2"/>
  </si>
  <si>
    <t>0493-71-5007</t>
    <phoneticPr fontId="2"/>
  </si>
  <si>
    <t>0493-71-5008</t>
    <phoneticPr fontId="2"/>
  </si>
  <si>
    <t>東武東上線小川町駅から徒歩４分</t>
    <rPh sb="0" eb="5">
      <t>トウブトウジョウセン</t>
    </rPh>
    <rPh sb="5" eb="9">
      <t>オガワマチエキ</t>
    </rPh>
    <rPh sb="11" eb="13">
      <t>トホ</t>
    </rPh>
    <rPh sb="14" eb="15">
      <t>フン</t>
    </rPh>
    <phoneticPr fontId="2"/>
  </si>
  <si>
    <t>(株)pofm</t>
    <rPh sb="0" eb="3">
      <t>カブ</t>
    </rPh>
    <phoneticPr fontId="2"/>
  </si>
  <si>
    <t>リズムハウス三室Ⅰ</t>
    <rPh sb="5" eb="7">
      <t>ミムロ</t>
    </rPh>
    <phoneticPr fontId="5"/>
  </si>
  <si>
    <t>緑区三室７１８１</t>
    <rPh sb="0" eb="1">
      <t>ミドリ</t>
    </rPh>
    <rPh sb="1" eb="3">
      <t>ミムロ</t>
    </rPh>
    <phoneticPr fontId="5"/>
  </si>
  <si>
    <t>048-714-0365</t>
  </si>
  <si>
    <t>048-714-0366</t>
  </si>
  <si>
    <t>JR東浦和駅から国際興業バス番場折返場行き7分松ノ木東公園下車徒歩10分</t>
  </si>
  <si>
    <t>クックキング</t>
  </si>
  <si>
    <t>北区宮原町１－５３０－１</t>
    <rPh sb="0" eb="2">
      <t>キタク</t>
    </rPh>
    <rPh sb="2" eb="5">
      <t>ミヤハラチョウ</t>
    </rPh>
    <phoneticPr fontId="5"/>
  </si>
  <si>
    <t>048-780-2312</t>
  </si>
  <si>
    <t>048-780-2342</t>
  </si>
  <si>
    <t>（福）独歩</t>
    <rPh sb="1" eb="2">
      <t>フク</t>
    </rPh>
    <rPh sb="3" eb="5">
      <t>ドッポ</t>
    </rPh>
    <phoneticPr fontId="5"/>
  </si>
  <si>
    <t>ニューシャトル加茂宮駅から徒歩3分</t>
    <rPh sb="7" eb="10">
      <t>カモノミヤ</t>
    </rPh>
    <rPh sb="10" eb="11">
      <t>エキ</t>
    </rPh>
    <rPh sb="13" eb="15">
      <t>トホ</t>
    </rPh>
    <rPh sb="16" eb="17">
      <t>フン</t>
    </rPh>
    <phoneticPr fontId="2"/>
  </si>
  <si>
    <t>大宮区桜木町４－２６１　オフィス２１ビル４階</t>
    <rPh sb="0" eb="3">
      <t>オオミヤク</t>
    </rPh>
    <rPh sb="3" eb="6">
      <t>サクラギチョウ</t>
    </rPh>
    <rPh sb="21" eb="22">
      <t>カイ</t>
    </rPh>
    <phoneticPr fontId="5"/>
  </si>
  <si>
    <t>大宮区桜木町４－２６１　オフィス２１ビル４階</t>
    <rPh sb="0" eb="3">
      <t>オオミヤク</t>
    </rPh>
    <rPh sb="3" eb="6">
      <t>サクラギチョウ</t>
    </rPh>
    <rPh sb="21" eb="22">
      <t>カイ</t>
    </rPh>
    <phoneticPr fontId="36"/>
  </si>
  <si>
    <t>(株)モードファイブ</t>
    <rPh sb="0" eb="3">
      <t>カブ</t>
    </rPh>
    <phoneticPr fontId="2"/>
  </si>
  <si>
    <t>aloha飯能</t>
    <rPh sb="5" eb="7">
      <t>ハンノウ</t>
    </rPh>
    <phoneticPr fontId="2"/>
  </si>
  <si>
    <t>仲町１２－１０
飯能サンプラザ４階</t>
    <rPh sb="0" eb="2">
      <t>ナカマチ</t>
    </rPh>
    <rPh sb="8" eb="10">
      <t>ハンノウ</t>
    </rPh>
    <rPh sb="16" eb="17">
      <t>カイ</t>
    </rPh>
    <phoneticPr fontId="2"/>
  </si>
  <si>
    <t>357-0038</t>
    <phoneticPr fontId="2"/>
  </si>
  <si>
    <t>042-978-5801</t>
    <phoneticPr fontId="2"/>
  </si>
  <si>
    <t>042-978-5802</t>
    <phoneticPr fontId="2"/>
  </si>
  <si>
    <t>西武鉄道池袋線飯能駅から徒歩２分</t>
    <rPh sb="0" eb="2">
      <t>セイブ</t>
    </rPh>
    <rPh sb="2" eb="4">
      <t>テツドウ</t>
    </rPh>
    <rPh sb="4" eb="6">
      <t>イケブクロ</t>
    </rPh>
    <rPh sb="6" eb="7">
      <t>セン</t>
    </rPh>
    <rPh sb="7" eb="9">
      <t>ハンノウ</t>
    </rPh>
    <rPh sb="9" eb="10">
      <t>エキ</t>
    </rPh>
    <rPh sb="12" eb="14">
      <t>トホ</t>
    </rPh>
    <rPh sb="15" eb="16">
      <t>フン</t>
    </rPh>
    <phoneticPr fontId="2"/>
  </si>
  <si>
    <t>あやの郷</t>
    <rPh sb="3" eb="4">
      <t>サト</t>
    </rPh>
    <phoneticPr fontId="2"/>
  </si>
  <si>
    <t>（同）Tomoni　Walk</t>
    <rPh sb="1" eb="2">
      <t>オナ</t>
    </rPh>
    <phoneticPr fontId="2"/>
  </si>
  <si>
    <t>ビーワークトモニ北坂戸</t>
    <rPh sb="8" eb="11">
      <t>キタサカド</t>
    </rPh>
    <phoneticPr fontId="2"/>
  </si>
  <si>
    <t>芦山町４－５セントラルマンション山崎１０３</t>
    <rPh sb="0" eb="2">
      <t>アシヤマ</t>
    </rPh>
    <rPh sb="2" eb="3">
      <t>マチ</t>
    </rPh>
    <rPh sb="16" eb="18">
      <t>ヤマザキ</t>
    </rPh>
    <phoneticPr fontId="2"/>
  </si>
  <si>
    <t>350-0273</t>
    <phoneticPr fontId="2"/>
  </si>
  <si>
    <t>049-298-4389</t>
    <phoneticPr fontId="2"/>
  </si>
  <si>
    <t>東武東上線北坂戸駅から徒歩２分</t>
    <rPh sb="0" eb="5">
      <t>トウブトウジョウセン</t>
    </rPh>
    <rPh sb="5" eb="8">
      <t>キタサカド</t>
    </rPh>
    <rPh sb="8" eb="9">
      <t>エキ</t>
    </rPh>
    <rPh sb="11" eb="13">
      <t>トホ</t>
    </rPh>
    <rPh sb="14" eb="15">
      <t>フン</t>
    </rPh>
    <phoneticPr fontId="2"/>
  </si>
  <si>
    <t>Agria</t>
    <phoneticPr fontId="2"/>
  </si>
  <si>
    <t>ハナミズキ</t>
    <phoneticPr fontId="2"/>
  </si>
  <si>
    <t>大谷本郷２３２－２</t>
    <rPh sb="0" eb="2">
      <t>オオタニ</t>
    </rPh>
    <rPh sb="2" eb="4">
      <t>ホンゴウ</t>
    </rPh>
    <phoneticPr fontId="2"/>
  </si>
  <si>
    <t>048-782-9413</t>
    <phoneticPr fontId="2"/>
  </si>
  <si>
    <t>048-782-9414</t>
    <phoneticPr fontId="2"/>
  </si>
  <si>
    <t>JR高崎線上尾駅西口から上尾市内循環バス「ぐるっとくん」大谷循環
「大谷本郷」下車、徒歩５分</t>
    <rPh sb="2" eb="5">
      <t>タカサキセン</t>
    </rPh>
    <rPh sb="5" eb="8">
      <t>アゲオエキ</t>
    </rPh>
    <rPh sb="8" eb="10">
      <t>ニシグチ</t>
    </rPh>
    <rPh sb="12" eb="15">
      <t>アゲオシ</t>
    </rPh>
    <rPh sb="15" eb="16">
      <t>ナイ</t>
    </rPh>
    <rPh sb="16" eb="18">
      <t>ジュンカン</t>
    </rPh>
    <rPh sb="28" eb="30">
      <t>オオタニ</t>
    </rPh>
    <rPh sb="30" eb="32">
      <t>ジュンカン</t>
    </rPh>
    <rPh sb="34" eb="36">
      <t>オオタニ</t>
    </rPh>
    <rPh sb="36" eb="38">
      <t>ホンゴウ</t>
    </rPh>
    <rPh sb="39" eb="41">
      <t>ゲシャ</t>
    </rPh>
    <rPh sb="42" eb="44">
      <t>トホ</t>
    </rPh>
    <rPh sb="45" eb="46">
      <t>フン</t>
    </rPh>
    <phoneticPr fontId="2"/>
  </si>
  <si>
    <t>（特非）十人十色</t>
    <rPh sb="1" eb="2">
      <t>トク</t>
    </rPh>
    <rPh sb="2" eb="3">
      <t>ヒ</t>
    </rPh>
    <rPh sb="4" eb="8">
      <t>ジュウニントイロ</t>
    </rPh>
    <phoneticPr fontId="2"/>
  </si>
  <si>
    <t>就労継続支援B型　十人十色</t>
    <rPh sb="0" eb="6">
      <t>シュウロウケイゾクシエン</t>
    </rPh>
    <rPh sb="7" eb="8">
      <t>ガタ</t>
    </rPh>
    <rPh sb="9" eb="13">
      <t>ジュウニントイロ</t>
    </rPh>
    <phoneticPr fontId="2"/>
  </si>
  <si>
    <t>見福５丁目１０－１０</t>
    <rPh sb="0" eb="1">
      <t>ミ</t>
    </rPh>
    <rPh sb="1" eb="2">
      <t>フク</t>
    </rPh>
    <rPh sb="3" eb="5">
      <t>チョウメ</t>
    </rPh>
    <phoneticPr fontId="2"/>
  </si>
  <si>
    <t>367-0044</t>
    <phoneticPr fontId="2"/>
  </si>
  <si>
    <t>090-5436-1588</t>
    <phoneticPr fontId="2"/>
  </si>
  <si>
    <t>鴻巣駅から徒歩24分</t>
    <rPh sb="0" eb="2">
      <t>コウノス</t>
    </rPh>
    <rPh sb="2" eb="3">
      <t>エキ</t>
    </rPh>
    <rPh sb="5" eb="7">
      <t>トホ</t>
    </rPh>
    <rPh sb="9" eb="10">
      <t>ブン</t>
    </rPh>
    <phoneticPr fontId="2"/>
  </si>
  <si>
    <t>柏原1158-1　
リバティースクウェア102</t>
    <rPh sb="0" eb="2">
      <t>カシワハラ</t>
    </rPh>
    <phoneticPr fontId="2"/>
  </si>
  <si>
    <t>ことぶきハウス　浦和</t>
    <rPh sb="8" eb="10">
      <t>ウラワ</t>
    </rPh>
    <phoneticPr fontId="3"/>
  </si>
  <si>
    <t>浦和区東岸町３－１１</t>
    <rPh sb="0" eb="2">
      <t>ウラワ</t>
    </rPh>
    <rPh sb="2" eb="3">
      <t>ク</t>
    </rPh>
    <rPh sb="3" eb="4">
      <t>ヒガシ</t>
    </rPh>
    <rPh sb="4" eb="6">
      <t>キシマチ</t>
    </rPh>
    <phoneticPr fontId="5"/>
  </si>
  <si>
    <t>330-0054</t>
  </si>
  <si>
    <t>048-826-5898</t>
  </si>
  <si>
    <t>048-826-5897</t>
  </si>
  <si>
    <t>ＪＲ浦和駅から徒歩8分
※共生型</t>
    <rPh sb="2" eb="5">
      <t>ウラワエキ</t>
    </rPh>
    <rPh sb="7" eb="9">
      <t>トホ</t>
    </rPh>
    <rPh sb="10" eb="11">
      <t>フン</t>
    </rPh>
    <rPh sb="13" eb="16">
      <t>キョウセイガタ</t>
    </rPh>
    <phoneticPr fontId="2"/>
  </si>
  <si>
    <t>花キラリ</t>
    <rPh sb="0" eb="1">
      <t>ハナ</t>
    </rPh>
    <phoneticPr fontId="2"/>
  </si>
  <si>
    <t>大沢4丁目17-28　2F</t>
    <rPh sb="0" eb="2">
      <t>オオサワ</t>
    </rPh>
    <rPh sb="3" eb="5">
      <t>チョウメ</t>
    </rPh>
    <phoneticPr fontId="2"/>
  </si>
  <si>
    <t>343-0025</t>
  </si>
  <si>
    <t>048-930-7195</t>
  </si>
  <si>
    <t>048-930-7196</t>
  </si>
  <si>
    <t>東武スカイツリーライン 北越谷　徒歩15分</t>
    <rPh sb="0" eb="2">
      <t>トウブ</t>
    </rPh>
    <rPh sb="12" eb="15">
      <t>キタコシガヤ</t>
    </rPh>
    <rPh sb="16" eb="18">
      <t>トホ</t>
    </rPh>
    <rPh sb="20" eb="21">
      <t>フン</t>
    </rPh>
    <phoneticPr fontId="2"/>
  </si>
  <si>
    <t>あしたのタネ川越六軒町</t>
    <rPh sb="6" eb="8">
      <t>カワゴエ</t>
    </rPh>
    <rPh sb="8" eb="11">
      <t>ロッケンマチ</t>
    </rPh>
    <phoneticPr fontId="27"/>
  </si>
  <si>
    <t>六軒町2-16-5　インパクト川越5階</t>
    <rPh sb="0" eb="3">
      <t>ロッケンマチ</t>
    </rPh>
    <rPh sb="15" eb="17">
      <t>カワゴエ</t>
    </rPh>
    <rPh sb="18" eb="19">
      <t>カイ</t>
    </rPh>
    <phoneticPr fontId="27"/>
  </si>
  <si>
    <t>049-272-7617</t>
  </si>
  <si>
    <t>049-272-7618</t>
  </si>
  <si>
    <t>西武新宿線「本川越」駅西口から徒歩5分</t>
    <rPh sb="0" eb="5">
      <t>セイブシンジュクセン</t>
    </rPh>
    <rPh sb="6" eb="9">
      <t>ホンカワゴエ</t>
    </rPh>
    <rPh sb="10" eb="11">
      <t>エキ</t>
    </rPh>
    <rPh sb="11" eb="13">
      <t>ニシグチ</t>
    </rPh>
    <rPh sb="15" eb="17">
      <t>トホ</t>
    </rPh>
    <rPh sb="18" eb="19">
      <t>フン</t>
    </rPh>
    <phoneticPr fontId="27"/>
  </si>
  <si>
    <t>（株）あしたの花</t>
    <rPh sb="0" eb="3">
      <t>カブ</t>
    </rPh>
    <rPh sb="7" eb="8">
      <t>ハナ</t>
    </rPh>
    <phoneticPr fontId="27"/>
  </si>
  <si>
    <t>(株)Melth</t>
    <rPh sb="0" eb="3">
      <t>カブ</t>
    </rPh>
    <phoneticPr fontId="2"/>
  </si>
  <si>
    <t>Ｍｅｌｔｈ春日部</t>
    <rPh sb="5" eb="8">
      <t>カスカベ</t>
    </rPh>
    <phoneticPr fontId="2"/>
  </si>
  <si>
    <t>大畑304－2
武里文化会館ビル4階</t>
    <rPh sb="0" eb="2">
      <t>オオハタ</t>
    </rPh>
    <rPh sb="8" eb="14">
      <t>タケサトブンカカイカン</t>
    </rPh>
    <rPh sb="17" eb="18">
      <t>カイ</t>
    </rPh>
    <phoneticPr fontId="2"/>
  </si>
  <si>
    <t>344-0022</t>
  </si>
  <si>
    <t>048-795-6441</t>
  </si>
  <si>
    <t>048-795-6442</t>
  </si>
  <si>
    <t>東武スカイツリーライン武里駅から徒歩２分</t>
    <rPh sb="0" eb="2">
      <t>トウブ</t>
    </rPh>
    <rPh sb="11" eb="13">
      <t>タケサト</t>
    </rPh>
    <rPh sb="13" eb="14">
      <t>エキ</t>
    </rPh>
    <rPh sb="16" eb="18">
      <t>トホ</t>
    </rPh>
    <rPh sb="19" eb="20">
      <t>フン</t>
    </rPh>
    <phoneticPr fontId="2"/>
  </si>
  <si>
    <t>グループホーム陽～haru～</t>
    <rPh sb="7" eb="8">
      <t>ヒ</t>
    </rPh>
    <phoneticPr fontId="2"/>
  </si>
  <si>
    <t>美南5-7-10</t>
    <rPh sb="0" eb="2">
      <t>ミナミ</t>
    </rPh>
    <phoneticPr fontId="2"/>
  </si>
  <si>
    <t>342-0038</t>
    <phoneticPr fontId="2"/>
  </si>
  <si>
    <t>048-972-6540</t>
    <phoneticPr fontId="2"/>
  </si>
  <si>
    <t>048-972-6542</t>
    <phoneticPr fontId="2"/>
  </si>
  <si>
    <t>吉川美南駅から車で5分
※共同生活援助との併設</t>
    <rPh sb="0" eb="2">
      <t>ヨシカワ</t>
    </rPh>
    <rPh sb="2" eb="4">
      <t>ミナミ</t>
    </rPh>
    <rPh sb="4" eb="5">
      <t>エキ</t>
    </rPh>
    <rPh sb="7" eb="8">
      <t>クルマ</t>
    </rPh>
    <rPh sb="10" eb="11">
      <t>フン</t>
    </rPh>
    <phoneticPr fontId="2"/>
  </si>
  <si>
    <t>（株）ビジュアルビジョン</t>
    <rPh sb="0" eb="3">
      <t>カブ</t>
    </rPh>
    <phoneticPr fontId="2"/>
  </si>
  <si>
    <t>デイサービス　山ぼうし</t>
    <rPh sb="7" eb="8">
      <t>ヤマ</t>
    </rPh>
    <phoneticPr fontId="2"/>
  </si>
  <si>
    <t>寿２－１６－１９</t>
    <rPh sb="0" eb="1">
      <t>コトブキ</t>
    </rPh>
    <phoneticPr fontId="2"/>
  </si>
  <si>
    <t>363-0016</t>
    <phoneticPr fontId="2"/>
  </si>
  <si>
    <t>048-778-0013</t>
    <phoneticPr fontId="2"/>
  </si>
  <si>
    <t>048-771-1288</t>
    <phoneticPr fontId="2"/>
  </si>
  <si>
    <t>JR高崎線桶川駅から徒歩９分
※共生型</t>
    <rPh sb="2" eb="5">
      <t>タカサキセン</t>
    </rPh>
    <rPh sb="5" eb="8">
      <t>オケガワエキ</t>
    </rPh>
    <rPh sb="10" eb="12">
      <t>トホ</t>
    </rPh>
    <rPh sb="13" eb="14">
      <t>フン</t>
    </rPh>
    <rPh sb="16" eb="19">
      <t>キョウセイガタ</t>
    </rPh>
    <phoneticPr fontId="2"/>
  </si>
  <si>
    <t>049-256-9267</t>
    <phoneticPr fontId="2"/>
  </si>
  <si>
    <t>WOOOLY（株）</t>
    <phoneticPr fontId="2"/>
  </si>
  <si>
    <t>ウーリー新所沢</t>
    <rPh sb="4" eb="7">
      <t>シントコロザワ</t>
    </rPh>
    <phoneticPr fontId="2"/>
  </si>
  <si>
    <t>北所沢町2264-5
メイトビル４０１号室</t>
    <rPh sb="0" eb="4">
      <t>キタトコロザワチョウ</t>
    </rPh>
    <rPh sb="19" eb="21">
      <t>ゴウシツ</t>
    </rPh>
    <phoneticPr fontId="2"/>
  </si>
  <si>
    <t>359-0046</t>
    <phoneticPr fontId="2"/>
  </si>
  <si>
    <t>04-2907-4511</t>
    <phoneticPr fontId="2"/>
  </si>
  <si>
    <t>西武新宿線新所沢駅徒歩５分</t>
    <rPh sb="0" eb="5">
      <t>セイブシンジュクセン</t>
    </rPh>
    <rPh sb="5" eb="8">
      <t>シントコロザワ</t>
    </rPh>
    <rPh sb="8" eb="9">
      <t>エキ</t>
    </rPh>
    <rPh sb="9" eb="11">
      <t>トホ</t>
    </rPh>
    <rPh sb="12" eb="13">
      <t>フン</t>
    </rPh>
    <phoneticPr fontId="2"/>
  </si>
  <si>
    <t>藤金４１２－１</t>
    <rPh sb="0" eb="1">
      <t>フジ</t>
    </rPh>
    <rPh sb="1" eb="2">
      <t>カネ</t>
    </rPh>
    <phoneticPr fontId="2"/>
  </si>
  <si>
    <t>049-292-9333</t>
    <phoneticPr fontId="2"/>
  </si>
  <si>
    <t>049-292-9334</t>
    <phoneticPr fontId="2"/>
  </si>
  <si>
    <t>東武東上本線鶴ヶ島駅から車で７分</t>
    <rPh sb="0" eb="2">
      <t>トウブ</t>
    </rPh>
    <rPh sb="2" eb="4">
      <t>トウジョウ</t>
    </rPh>
    <rPh sb="4" eb="6">
      <t>ホンセン</t>
    </rPh>
    <rPh sb="6" eb="9">
      <t>ツルガシマ</t>
    </rPh>
    <rPh sb="9" eb="10">
      <t>エキ</t>
    </rPh>
    <rPh sb="12" eb="13">
      <t>クルマ</t>
    </rPh>
    <rPh sb="15" eb="16">
      <t>フン</t>
    </rPh>
    <phoneticPr fontId="2"/>
  </si>
  <si>
    <t>狭山線から車で３分
※共同生活援助との併設</t>
    <rPh sb="0" eb="2">
      <t>サヤマ</t>
    </rPh>
    <rPh sb="2" eb="3">
      <t>セン</t>
    </rPh>
    <rPh sb="5" eb="6">
      <t>クルマ</t>
    </rPh>
    <rPh sb="8" eb="9">
      <t>フン</t>
    </rPh>
    <rPh sb="11" eb="17">
      <t>キョウドウセイカツエンジョ</t>
    </rPh>
    <rPh sb="19" eb="21">
      <t>ヘイセツ</t>
    </rPh>
    <phoneticPr fontId="2"/>
  </si>
  <si>
    <t>東行田駅から徒歩10分
※共同生活援助との併設</t>
    <rPh sb="0" eb="1">
      <t>ヒガシ</t>
    </rPh>
    <rPh sb="1" eb="3">
      <t>ギョウダ</t>
    </rPh>
    <rPh sb="3" eb="4">
      <t>エキ</t>
    </rPh>
    <rPh sb="6" eb="8">
      <t>トホ</t>
    </rPh>
    <rPh sb="10" eb="11">
      <t>フン</t>
    </rPh>
    <phoneticPr fontId="2"/>
  </si>
  <si>
    <t>Cocorport所沢第2office</t>
    <rPh sb="9" eb="11">
      <t>トコロザワ</t>
    </rPh>
    <rPh sb="11" eb="12">
      <t>ダイ</t>
    </rPh>
    <phoneticPr fontId="2"/>
  </si>
  <si>
    <t>就労移行ＩＴスクール南越谷</t>
    <rPh sb="0" eb="2">
      <t>シュウロウ</t>
    </rPh>
    <rPh sb="2" eb="4">
      <t>イコウ</t>
    </rPh>
    <rPh sb="10" eb="13">
      <t>ミナミコシガヤ</t>
    </rPh>
    <phoneticPr fontId="2"/>
  </si>
  <si>
    <t>南越谷一丁目１７番地１５
アベニュー南越谷５F</t>
    <rPh sb="0" eb="3">
      <t>ミナミコシガヤ</t>
    </rPh>
    <rPh sb="3" eb="6">
      <t>イッチョウメ</t>
    </rPh>
    <rPh sb="8" eb="10">
      <t>バンチ</t>
    </rPh>
    <rPh sb="18" eb="21">
      <t>ミナミコシガヤ</t>
    </rPh>
    <phoneticPr fontId="2"/>
  </si>
  <si>
    <t>048-967-5397</t>
    <phoneticPr fontId="2"/>
  </si>
  <si>
    <t>048-967-5398</t>
    <phoneticPr fontId="2"/>
  </si>
  <si>
    <t>JR武蔵野線 南越谷駅南口 徒歩１分
東武スカイツリーライン新越谷駅東口 徒歩１分</t>
    <rPh sb="2" eb="6">
      <t>ムサシノセン</t>
    </rPh>
    <rPh sb="7" eb="10">
      <t>ミナミコシガヤ</t>
    </rPh>
    <rPh sb="10" eb="11">
      <t>エキ</t>
    </rPh>
    <rPh sb="11" eb="12">
      <t>ミナミ</t>
    </rPh>
    <rPh sb="12" eb="13">
      <t>クチ</t>
    </rPh>
    <rPh sb="14" eb="16">
      <t>トホ</t>
    </rPh>
    <rPh sb="17" eb="18">
      <t>フン</t>
    </rPh>
    <rPh sb="19" eb="21">
      <t>トウブ</t>
    </rPh>
    <rPh sb="30" eb="33">
      <t>シンコシガヤ</t>
    </rPh>
    <rPh sb="33" eb="34">
      <t>エキ</t>
    </rPh>
    <rPh sb="34" eb="36">
      <t>ヒガシグチ</t>
    </rPh>
    <rPh sb="37" eb="39">
      <t>トホ</t>
    </rPh>
    <rPh sb="40" eb="41">
      <t>プン</t>
    </rPh>
    <phoneticPr fontId="2"/>
  </si>
  <si>
    <t>(株)LOGZ</t>
    <phoneticPr fontId="2"/>
  </si>
  <si>
    <t>Ｂｌａｎｃｈｅ　Ｎｅｉｇｅ</t>
  </si>
  <si>
    <t>さいたま市</t>
    <rPh sb="3" eb="4">
      <t>シ</t>
    </rPh>
    <phoneticPr fontId="2"/>
  </si>
  <si>
    <t>西区西新井１１９－１</t>
  </si>
  <si>
    <t>331-0049</t>
  </si>
  <si>
    <t>048-776-9835</t>
  </si>
  <si>
    <t>048-776-9859</t>
  </si>
  <si>
    <t>ＪＲ大宮駅から東武バス乗車「清河寺」バス停から徒歩20分</t>
    <rPh sb="2" eb="5">
      <t>オオミヤエキ</t>
    </rPh>
    <rPh sb="7" eb="9">
      <t>トウブ</t>
    </rPh>
    <rPh sb="11" eb="13">
      <t>ジョウシャ</t>
    </rPh>
    <rPh sb="14" eb="17">
      <t>セイガンジ</t>
    </rPh>
    <rPh sb="20" eb="21">
      <t>テイ</t>
    </rPh>
    <rPh sb="23" eb="25">
      <t>トホ</t>
    </rPh>
    <rPh sb="27" eb="28">
      <t>プン</t>
    </rPh>
    <phoneticPr fontId="2"/>
  </si>
  <si>
    <t>リズム城北</t>
    <rPh sb="3" eb="5">
      <t>ジョウホク</t>
    </rPh>
    <phoneticPr fontId="5"/>
  </si>
  <si>
    <t>岩槻区南辻１０８</t>
    <rPh sb="0" eb="2">
      <t>イワツキ</t>
    </rPh>
    <rPh sb="2" eb="3">
      <t>ク</t>
    </rPh>
    <rPh sb="3" eb="4">
      <t>ミナミ</t>
    </rPh>
    <rPh sb="4" eb="5">
      <t>ツジ</t>
    </rPh>
    <phoneticPr fontId="5"/>
  </si>
  <si>
    <t>339-0062</t>
  </si>
  <si>
    <t>048-884-9863</t>
  </si>
  <si>
    <t>東武アーバンパークライン「東岩槻」駅から朝日バス「南辻」停留所から徒歩1分</t>
    <rPh sb="13" eb="14">
      <t>ヒガシ</t>
    </rPh>
    <rPh sb="14" eb="16">
      <t>イワツキ</t>
    </rPh>
    <rPh sb="17" eb="18">
      <t>エキ</t>
    </rPh>
    <rPh sb="20" eb="22">
      <t>アサヒ</t>
    </rPh>
    <rPh sb="25" eb="26">
      <t>ミナミ</t>
    </rPh>
    <rPh sb="26" eb="27">
      <t>ツジ</t>
    </rPh>
    <rPh sb="28" eb="31">
      <t>テイリュウジョ</t>
    </rPh>
    <rPh sb="33" eb="35">
      <t>トホ</t>
    </rPh>
    <rPh sb="36" eb="37">
      <t>フン</t>
    </rPh>
    <phoneticPr fontId="2"/>
  </si>
  <si>
    <t>Ｌｉｆｅ　Ｓｅｅｄ</t>
  </si>
  <si>
    <t>336-0015</t>
  </si>
  <si>
    <t>048-711-8133</t>
  </si>
  <si>
    <t>048-711-8433</t>
  </si>
  <si>
    <t>048-884-9893</t>
  </si>
  <si>
    <t>南区太田窪５－２７－４</t>
  </si>
  <si>
    <t>あったかショート</t>
  </si>
  <si>
    <t>西区西大宮２－３１－３０</t>
    <rPh sb="0" eb="1">
      <t>ニシ</t>
    </rPh>
    <rPh sb="1" eb="2">
      <t>ニシ</t>
    </rPh>
    <rPh sb="2" eb="4">
      <t>オオミヤ</t>
    </rPh>
    <phoneticPr fontId="5"/>
  </si>
  <si>
    <t>ＪＲ西大宮駅から徒歩16分</t>
    <rPh sb="2" eb="3">
      <t>ニシ</t>
    </rPh>
    <rPh sb="3" eb="5">
      <t>オオミヤ</t>
    </rPh>
    <rPh sb="5" eb="6">
      <t>エキ</t>
    </rPh>
    <rPh sb="8" eb="10">
      <t>トホ</t>
    </rPh>
    <rPh sb="12" eb="13">
      <t>フン</t>
    </rPh>
    <phoneticPr fontId="2"/>
  </si>
  <si>
    <t>LITALICOワークス大宮西口</t>
    <rPh sb="12" eb="14">
      <t>オオミヤ</t>
    </rPh>
    <rPh sb="14" eb="16">
      <t>ニシグチ</t>
    </rPh>
    <phoneticPr fontId="3"/>
  </si>
  <si>
    <t>大宮区桜木町２－４７４　グランファースト大宮１F</t>
    <rPh sb="0" eb="3">
      <t>オオミヤク</t>
    </rPh>
    <rPh sb="3" eb="6">
      <t>サクラギチョウ</t>
    </rPh>
    <rPh sb="20" eb="22">
      <t>オオミヤ</t>
    </rPh>
    <phoneticPr fontId="3"/>
  </si>
  <si>
    <t>048-662-1560</t>
  </si>
  <si>
    <t>048-662-1561</t>
  </si>
  <si>
    <t>ＪＲ大宮駅から徒歩8分</t>
    <rPh sb="2" eb="5">
      <t>オオミヤエキ</t>
    </rPh>
    <rPh sb="7" eb="9">
      <t>トホ</t>
    </rPh>
    <rPh sb="10" eb="11">
      <t>フン</t>
    </rPh>
    <phoneticPr fontId="2"/>
  </si>
  <si>
    <t>(特非）インスピリット</t>
    <rPh sb="1" eb="2">
      <t>トク</t>
    </rPh>
    <rPh sb="2" eb="3">
      <t>ヒ</t>
    </rPh>
    <phoneticPr fontId="2"/>
  </si>
  <si>
    <t>ハピネス</t>
    <phoneticPr fontId="2"/>
  </si>
  <si>
    <t>彦川戸1-341-6
2F・3F</t>
    <rPh sb="0" eb="3">
      <t>ヒコカワド</t>
    </rPh>
    <phoneticPr fontId="2"/>
  </si>
  <si>
    <t>341-0005</t>
    <phoneticPr fontId="2"/>
  </si>
  <si>
    <t>新三郷駅から車で8分</t>
    <rPh sb="0" eb="1">
      <t>シン</t>
    </rPh>
    <rPh sb="1" eb="3">
      <t>ミサト</t>
    </rPh>
    <rPh sb="3" eb="4">
      <t>エキ</t>
    </rPh>
    <rPh sb="6" eb="7">
      <t>クルマ</t>
    </rPh>
    <rPh sb="9" eb="10">
      <t>ブン</t>
    </rPh>
    <phoneticPr fontId="2"/>
  </si>
  <si>
    <t>キュラスクール</t>
    <phoneticPr fontId="2"/>
  </si>
  <si>
    <t>04-2968-6926</t>
  </si>
  <si>
    <t>04-2968-6927</t>
  </si>
  <si>
    <t>西部新宿線・池袋線所沢駅から徒歩2分</t>
  </si>
  <si>
    <t>鴻巣市</t>
    <rPh sb="0" eb="2">
      <t>コウノス</t>
    </rPh>
    <rPh sb="2" eb="3">
      <t>シ</t>
    </rPh>
    <phoneticPr fontId="2"/>
  </si>
  <si>
    <t>吹上本町５丁目１番６号</t>
    <rPh sb="0" eb="2">
      <t>フキアゲ</t>
    </rPh>
    <rPh sb="2" eb="4">
      <t>ホンマチ</t>
    </rPh>
    <rPh sb="5" eb="7">
      <t>チョウメ</t>
    </rPh>
    <rPh sb="8" eb="9">
      <t>バン</t>
    </rPh>
    <rPh sb="10" eb="11">
      <t>ゴウ</t>
    </rPh>
    <phoneticPr fontId="2"/>
  </si>
  <si>
    <t>369-0115</t>
    <phoneticPr fontId="2"/>
  </si>
  <si>
    <t>048-580-7192</t>
    <phoneticPr fontId="2"/>
  </si>
  <si>
    <t>048-580-7195</t>
    <phoneticPr fontId="2"/>
  </si>
  <si>
    <t>JR高崎線吹上駅から徒歩6分</t>
    <rPh sb="2" eb="5">
      <t>タカサキセン</t>
    </rPh>
    <rPh sb="5" eb="7">
      <t>フキアゲ</t>
    </rPh>
    <rPh sb="7" eb="8">
      <t>エキ</t>
    </rPh>
    <rPh sb="10" eb="12">
      <t>トホ</t>
    </rPh>
    <rPh sb="13" eb="14">
      <t>フン</t>
    </rPh>
    <phoneticPr fontId="2"/>
  </si>
  <si>
    <t>生活介護　みやび武里</t>
    <rPh sb="0" eb="2">
      <t>セイカツ</t>
    </rPh>
    <rPh sb="2" eb="4">
      <t>カイゴ</t>
    </rPh>
    <rPh sb="8" eb="10">
      <t>タケサト</t>
    </rPh>
    <phoneticPr fontId="2"/>
  </si>
  <si>
    <t>北区本郷町１７－７</t>
    <rPh sb="0" eb="1">
      <t>キタ</t>
    </rPh>
    <rPh sb="1" eb="4">
      <t>ホンゴウチョウ</t>
    </rPh>
    <phoneticPr fontId="3"/>
  </si>
  <si>
    <t>川越市</t>
    <rPh sb="0" eb="3">
      <t>カワゴエシ</t>
    </rPh>
    <phoneticPr fontId="27"/>
  </si>
  <si>
    <t>049-293-2155</t>
  </si>
  <si>
    <t>049-293-2133</t>
  </si>
  <si>
    <t>東武東上線・ＪＲ川越駅から徒歩5分</t>
    <rPh sb="0" eb="5">
      <t>トウブトウジョウセン</t>
    </rPh>
    <rPh sb="8" eb="11">
      <t>カワゴエエキ</t>
    </rPh>
    <rPh sb="13" eb="15">
      <t>トホ</t>
    </rPh>
    <rPh sb="16" eb="17">
      <t>フン</t>
    </rPh>
    <phoneticPr fontId="27"/>
  </si>
  <si>
    <t>ほまれの家川越店</t>
    <rPh sb="4" eb="8">
      <t>イエカワゴエテン</t>
    </rPh>
    <phoneticPr fontId="27"/>
  </si>
  <si>
    <t>350-1106</t>
  </si>
  <si>
    <t>049-257-4806</t>
  </si>
  <si>
    <t>049-257-4721</t>
  </si>
  <si>
    <t>ＪＲ西川越駅から徒歩4分</t>
    <rPh sb="2" eb="6">
      <t>ニシカワゴエエキ</t>
    </rPh>
    <rPh sb="8" eb="10">
      <t>トホ</t>
    </rPh>
    <rPh sb="11" eb="12">
      <t>フン</t>
    </rPh>
    <phoneticPr fontId="27"/>
  </si>
  <si>
    <t>(株)リンクス</t>
    <rPh sb="0" eb="3">
      <t>カブ</t>
    </rPh>
    <phoneticPr fontId="27"/>
  </si>
  <si>
    <t>(株)リアン</t>
    <rPh sb="0" eb="3">
      <t>カブ</t>
    </rPh>
    <phoneticPr fontId="27"/>
  </si>
  <si>
    <t>就労移行支援事業所
リンクス川越西口</t>
    <rPh sb="0" eb="2">
      <t>シュウロウ</t>
    </rPh>
    <rPh sb="2" eb="4">
      <t>イコウ</t>
    </rPh>
    <rPh sb="4" eb="6">
      <t>シエン</t>
    </rPh>
    <rPh sb="6" eb="9">
      <t>ジギョウショ</t>
    </rPh>
    <rPh sb="14" eb="16">
      <t>カワゴエ</t>
    </rPh>
    <rPh sb="16" eb="18">
      <t>ニシグチ</t>
    </rPh>
    <phoneticPr fontId="27"/>
  </si>
  <si>
    <t>脇田本町10-24
藤蔵ロイヤルビル4F</t>
    <rPh sb="0" eb="4">
      <t>ワキタホンチョウ</t>
    </rPh>
    <rPh sb="10" eb="12">
      <t>トウゾウ</t>
    </rPh>
    <phoneticPr fontId="27"/>
  </si>
  <si>
    <t>小室551-1
リノコエド101号室</t>
    <rPh sb="0" eb="2">
      <t>コムロ</t>
    </rPh>
    <rPh sb="16" eb="18">
      <t>ゴウシツ</t>
    </rPh>
    <phoneticPr fontId="27"/>
  </si>
  <si>
    <t>ＭＩＲＡＩ　春日部西口</t>
    <rPh sb="6" eb="9">
      <t>カスカベ</t>
    </rPh>
    <rPh sb="9" eb="11">
      <t>ニシグチ</t>
    </rPh>
    <phoneticPr fontId="2"/>
  </si>
  <si>
    <t>嵐山四季の家</t>
    <phoneticPr fontId="2"/>
  </si>
  <si>
    <t>さいたま市</t>
    <rPh sb="3" eb="4">
      <t>シ</t>
    </rPh>
    <phoneticPr fontId="37"/>
  </si>
  <si>
    <t>○</t>
    <phoneticPr fontId="37"/>
  </si>
  <si>
    <t>ハーフマウンテン</t>
  </si>
  <si>
    <t>緑区松木２－２６－１６</t>
    <rPh sb="0" eb="2">
      <t>ミドリク</t>
    </rPh>
    <rPh sb="2" eb="4">
      <t>マツキ</t>
    </rPh>
    <phoneticPr fontId="36"/>
  </si>
  <si>
    <t>336-0918</t>
  </si>
  <si>
    <t>0487-67-5299</t>
  </si>
  <si>
    <t>JR浦和駅から国際興業バス東浦和駅行き19分「芝原小学校」停留所から徒歩5分</t>
    <rPh sb="2" eb="5">
      <t>ウラワエキ</t>
    </rPh>
    <rPh sb="7" eb="9">
      <t>コクサイ</t>
    </rPh>
    <rPh sb="9" eb="11">
      <t>コウギョウ</t>
    </rPh>
    <rPh sb="13" eb="14">
      <t>ヒガシ</t>
    </rPh>
    <rPh sb="14" eb="16">
      <t>ウラワ</t>
    </rPh>
    <rPh sb="16" eb="17">
      <t>エキ</t>
    </rPh>
    <rPh sb="17" eb="18">
      <t>ユ</t>
    </rPh>
    <rPh sb="21" eb="22">
      <t>フン</t>
    </rPh>
    <rPh sb="23" eb="25">
      <t>シバハラ</t>
    </rPh>
    <rPh sb="25" eb="28">
      <t>ショウガッコウ</t>
    </rPh>
    <rPh sb="29" eb="32">
      <t>テイリュウジョ</t>
    </rPh>
    <rPh sb="34" eb="36">
      <t>トホ</t>
    </rPh>
    <rPh sb="37" eb="38">
      <t>フン</t>
    </rPh>
    <phoneticPr fontId="37"/>
  </si>
  <si>
    <t>アイトライリワーク大宮</t>
    <rPh sb="9" eb="11">
      <t>オオミヤ</t>
    </rPh>
    <phoneticPr fontId="38"/>
  </si>
  <si>
    <t>大宮区大門町２－１１　プロスパーワンビル４階</t>
    <rPh sb="0" eb="3">
      <t>オオミヤク</t>
    </rPh>
    <rPh sb="3" eb="6">
      <t>ダイモンチョウ</t>
    </rPh>
    <rPh sb="21" eb="22">
      <t>カイ</t>
    </rPh>
    <phoneticPr fontId="36"/>
  </si>
  <si>
    <t>JR大宮駅から徒歩5分</t>
    <rPh sb="2" eb="5">
      <t>オオミヤエキ</t>
    </rPh>
    <rPh sb="7" eb="9">
      <t>トホ</t>
    </rPh>
    <rPh sb="10" eb="11">
      <t>フン</t>
    </rPh>
    <phoneticPr fontId="37"/>
  </si>
  <si>
    <t>日進職業センター</t>
    <rPh sb="0" eb="2">
      <t>ニッシン</t>
    </rPh>
    <rPh sb="2" eb="4">
      <t>ショクギョウ</t>
    </rPh>
    <phoneticPr fontId="36"/>
  </si>
  <si>
    <t>北区日進町３－１５１</t>
    <rPh sb="0" eb="2">
      <t>キタク</t>
    </rPh>
    <rPh sb="2" eb="5">
      <t>ニッシンチョウ</t>
    </rPh>
    <phoneticPr fontId="36"/>
  </si>
  <si>
    <t>048-666-1576</t>
  </si>
  <si>
    <t>JR宮原駅から徒歩7分</t>
    <rPh sb="2" eb="5">
      <t>ミヤハラエキ</t>
    </rPh>
    <rPh sb="7" eb="9">
      <t>トホ</t>
    </rPh>
    <rPh sb="10" eb="11">
      <t>フン</t>
    </rPh>
    <phoneticPr fontId="37"/>
  </si>
  <si>
    <t>ウェルビーチャレンジ大宮東口センター</t>
    <rPh sb="10" eb="12">
      <t>オオミヤ</t>
    </rPh>
    <rPh sb="12" eb="14">
      <t>ヒガシグチ</t>
    </rPh>
    <phoneticPr fontId="38"/>
  </si>
  <si>
    <t>大宮区大門町３－６１　第２GSビル５階</t>
    <rPh sb="0" eb="3">
      <t>オオミヤク</t>
    </rPh>
    <rPh sb="3" eb="6">
      <t>ダイモンチョウ</t>
    </rPh>
    <rPh sb="11" eb="12">
      <t>ダイ</t>
    </rPh>
    <rPh sb="18" eb="19">
      <t>カイ</t>
    </rPh>
    <phoneticPr fontId="36"/>
  </si>
  <si>
    <t>048-783-2997</t>
  </si>
  <si>
    <t>048-783-2998</t>
  </si>
  <si>
    <t>JR大宮駅から徒歩6分</t>
    <rPh sb="2" eb="5">
      <t>オオミヤエキ</t>
    </rPh>
    <rPh sb="7" eb="9">
      <t>トホ</t>
    </rPh>
    <rPh sb="10" eb="11">
      <t>フン</t>
    </rPh>
    <phoneticPr fontId="37"/>
  </si>
  <si>
    <t>リワークセンター大宮</t>
    <rPh sb="8" eb="10">
      <t>オオミヤ</t>
    </rPh>
    <phoneticPr fontId="38"/>
  </si>
  <si>
    <t>大宮区桜木町４－２１０　鈴木ビル３Ｆ</t>
    <rPh sb="0" eb="3">
      <t>オオミヤク</t>
    </rPh>
    <rPh sb="3" eb="6">
      <t>サクラギチョウ</t>
    </rPh>
    <rPh sb="12" eb="14">
      <t>スズキ</t>
    </rPh>
    <phoneticPr fontId="36"/>
  </si>
  <si>
    <t>JR大宮駅から徒歩8分</t>
    <rPh sb="2" eb="5">
      <t>オオミヤエキ</t>
    </rPh>
    <rPh sb="7" eb="9">
      <t>トホ</t>
    </rPh>
    <rPh sb="10" eb="11">
      <t>フン</t>
    </rPh>
    <phoneticPr fontId="37"/>
  </si>
  <si>
    <t>リワークセンター大宮東口</t>
    <rPh sb="8" eb="10">
      <t>オオミヤ</t>
    </rPh>
    <rPh sb="10" eb="12">
      <t>ヒガシグチ</t>
    </rPh>
    <phoneticPr fontId="38"/>
  </si>
  <si>
    <t>大宮区仲町２－４１　ＫＥＴＹビル４Ｆ</t>
    <rPh sb="0" eb="3">
      <t>オオミヤク</t>
    </rPh>
    <rPh sb="3" eb="5">
      <t>ナカチョウ</t>
    </rPh>
    <phoneticPr fontId="36"/>
  </si>
  <si>
    <t>048-650-2400</t>
  </si>
  <si>
    <t>048-650-2401</t>
  </si>
  <si>
    <t>うらわ学園</t>
    <rPh sb="3" eb="5">
      <t>ガクエン</t>
    </rPh>
    <phoneticPr fontId="36"/>
  </si>
  <si>
    <t>さいたま市</t>
    <rPh sb="4" eb="5">
      <t>シ</t>
    </rPh>
    <phoneticPr fontId="37"/>
  </si>
  <si>
    <t>330-0072</t>
    <phoneticPr fontId="37"/>
  </si>
  <si>
    <t>336-0017</t>
  </si>
  <si>
    <t>医療法人社団春志会</t>
    <rPh sb="0" eb="8">
      <t>イリョウホウジンシャダンハルシ</t>
    </rPh>
    <rPh sb="8" eb="9">
      <t>カイ</t>
    </rPh>
    <phoneticPr fontId="36"/>
  </si>
  <si>
    <t>グループホームはなつみ徳力</t>
    <rPh sb="11" eb="13">
      <t>トクリキ</t>
    </rPh>
    <phoneticPr fontId="36"/>
  </si>
  <si>
    <t>岩槻区徳力２４５－１</t>
    <phoneticPr fontId="37"/>
  </si>
  <si>
    <t>048-812-8575</t>
  </si>
  <si>
    <t>電話番号の変更</t>
    <rPh sb="0" eb="2">
      <t>デンワ</t>
    </rPh>
    <rPh sb="2" eb="4">
      <t>バンゴウ</t>
    </rPh>
    <rPh sb="5" eb="7">
      <t>ヘンコウ</t>
    </rPh>
    <phoneticPr fontId="37"/>
  </si>
  <si>
    <t>公益社団法人やどかりの里</t>
  </si>
  <si>
    <t>見沼区中川５６２番地</t>
    <rPh sb="0" eb="2">
      <t>ミヌマ</t>
    </rPh>
    <rPh sb="2" eb="3">
      <t>ク</t>
    </rPh>
    <rPh sb="3" eb="5">
      <t>ナカガワ</t>
    </rPh>
    <rPh sb="8" eb="10">
      <t>バンチ</t>
    </rPh>
    <phoneticPr fontId="38"/>
  </si>
  <si>
    <t>大宮区高鼻町一丁目３７番地２　昌栄ビル２F・３F</t>
  </si>
  <si>
    <t>048-645-0199</t>
  </si>
  <si>
    <t>大宮区高鼻町一丁目３７番地２　昌栄ビル２F・３F</t>
    <phoneticPr fontId="37"/>
  </si>
  <si>
    <t>川越市</t>
    <rPh sb="0" eb="3">
      <t>カワゴエシ</t>
    </rPh>
    <phoneticPr fontId="2"/>
  </si>
  <si>
    <t>049-230-6016</t>
  </si>
  <si>
    <t>（バス）川口駅からサンテピア行き「江戸二丁目」下車、徒歩４分</t>
    <rPh sb="4" eb="6">
      <t>かわぐち</t>
    </rPh>
    <rPh sb="6" eb="7">
      <t>えき</t>
    </rPh>
    <rPh sb="17" eb="19">
      <t>えど</t>
    </rPh>
    <rPh sb="19" eb="22">
      <t>にちょうめ</t>
    </rPh>
    <phoneticPr fontId="2" type="Hiragana"/>
  </si>
  <si>
    <t>ほっとすてーしょん</t>
    <phoneticPr fontId="2"/>
  </si>
  <si>
    <t>リズム大塚</t>
    <rPh sb="3" eb="5">
      <t>おおつか</t>
    </rPh>
    <phoneticPr fontId="2" type="Hiragana"/>
  </si>
  <si>
    <t>048-483-4995</t>
    <phoneticPr fontId="2" type="Hiragana"/>
  </si>
  <si>
    <t>（バス）東川口駅から川口駅東口行き「源左衛門新田」下車、徒歩２分</t>
    <rPh sb="4" eb="5">
      <t>ひがし</t>
    </rPh>
    <rPh sb="5" eb="7">
      <t>かわぐち</t>
    </rPh>
    <rPh sb="7" eb="8">
      <t>えき</t>
    </rPh>
    <rPh sb="10" eb="13">
      <t>かわぐちえき</t>
    </rPh>
    <rPh sb="13" eb="15">
      <t>ひがしぐち</t>
    </rPh>
    <rPh sb="18" eb="24">
      <t>げんざえもんしんでん</t>
    </rPh>
    <phoneticPr fontId="2" type="Hiragana"/>
  </si>
  <si>
    <t>シャローム西川口駅前</t>
    <rPh sb="5" eb="10">
      <t>にしかわぐちえきまえ</t>
    </rPh>
    <phoneticPr fontId="2" type="Hiragana"/>
  </si>
  <si>
    <t>048-229-4937</t>
    <phoneticPr fontId="2" type="Hiragana"/>
  </si>
  <si>
    <t>048-229-4938</t>
    <phoneticPr fontId="2" type="Hiragana"/>
  </si>
  <si>
    <t>（電車）西川口駅から徒歩２分</t>
    <rPh sb="1" eb="3">
      <t>でんしゃ</t>
    </rPh>
    <rPh sb="4" eb="5">
      <t>にし</t>
    </rPh>
    <rPh sb="5" eb="7">
      <t>かわぐち</t>
    </rPh>
    <rPh sb="7" eb="8">
      <t>えき</t>
    </rPh>
    <phoneticPr fontId="2" type="Hiragana"/>
  </si>
  <si>
    <t>なかよし</t>
    <phoneticPr fontId="2" type="Hiragana"/>
  </si>
  <si>
    <t>333-0868</t>
    <phoneticPr fontId="2" type="Hiragana"/>
  </si>
  <si>
    <t>048-423-4270</t>
    <phoneticPr fontId="2" type="Hiragana"/>
  </si>
  <si>
    <t>048-423-4271</t>
    <phoneticPr fontId="2" type="Hiragana"/>
  </si>
  <si>
    <t>（バス）新井宿駅から蕨駅東口行き「芝中央小学校入口」下車、徒歩６分</t>
    <rPh sb="4" eb="6">
      <t>あらい</t>
    </rPh>
    <rPh sb="6" eb="7">
      <t>じゅく</t>
    </rPh>
    <rPh sb="7" eb="8">
      <t>えき</t>
    </rPh>
    <rPh sb="10" eb="11">
      <t>わらび</t>
    </rPh>
    <rPh sb="11" eb="12">
      <t>えき</t>
    </rPh>
    <rPh sb="12" eb="14">
      <t>ひがしぐち</t>
    </rPh>
    <rPh sb="17" eb="18">
      <t>しば</t>
    </rPh>
    <rPh sb="18" eb="20">
      <t>ちゅうおう</t>
    </rPh>
    <rPh sb="20" eb="23">
      <t>しょうがっこう</t>
    </rPh>
    <rPh sb="23" eb="25">
      <t>いりぐち</t>
    </rPh>
    <phoneticPr fontId="2" type="Hiragana"/>
  </si>
  <si>
    <t>エメラルドマーリン</t>
    <phoneticPr fontId="2" type="Hiragana"/>
  </si>
  <si>
    <t>332-0021</t>
    <phoneticPr fontId="2" type="Hiragana"/>
  </si>
  <si>
    <t>048-430-7189</t>
    <phoneticPr fontId="2" type="Hiragana"/>
  </si>
  <si>
    <t>（電車）西川口駅から徒歩４分</t>
    <rPh sb="1" eb="3">
      <t>でんしゃ</t>
    </rPh>
    <rPh sb="4" eb="5">
      <t>にし</t>
    </rPh>
    <rPh sb="5" eb="7">
      <t>かわぐち</t>
    </rPh>
    <rPh sb="7" eb="8">
      <t>えき</t>
    </rPh>
    <phoneticPr fontId="2" type="Hiragana"/>
  </si>
  <si>
    <t>就労継続支援A型事業所　朋</t>
    <rPh sb="0" eb="2">
      <t>シュウロウ</t>
    </rPh>
    <rPh sb="2" eb="4">
      <t>ケイゾク</t>
    </rPh>
    <rPh sb="4" eb="6">
      <t>シエン</t>
    </rPh>
    <rPh sb="7" eb="8">
      <t>ガタ</t>
    </rPh>
    <rPh sb="8" eb="11">
      <t>ジギョウショ</t>
    </rPh>
    <rPh sb="12" eb="13">
      <t>トモ</t>
    </rPh>
    <phoneticPr fontId="2"/>
  </si>
  <si>
    <t>東大沢四丁目２６番２号</t>
    <rPh sb="0" eb="1">
      <t>ヒガシ</t>
    </rPh>
    <rPh sb="1" eb="3">
      <t>オオサワ</t>
    </rPh>
    <rPh sb="3" eb="6">
      <t>ヨンチョウメ</t>
    </rPh>
    <rPh sb="8" eb="9">
      <t>バン</t>
    </rPh>
    <rPh sb="10" eb="11">
      <t>ゴウ</t>
    </rPh>
    <phoneticPr fontId="2"/>
  </si>
  <si>
    <t>048-967-2940</t>
  </si>
  <si>
    <t>048-967-2941</t>
  </si>
  <si>
    <t>東武スカイツリーライン　北越谷駅　徒歩３０分</t>
    <rPh sb="0" eb="2">
      <t>トウブ</t>
    </rPh>
    <rPh sb="12" eb="16">
      <t>キタコシガヤエキ</t>
    </rPh>
    <rPh sb="17" eb="19">
      <t>トホ</t>
    </rPh>
    <rPh sb="21" eb="22">
      <t>フン</t>
    </rPh>
    <phoneticPr fontId="2"/>
  </si>
  <si>
    <t>希のこ２</t>
    <rPh sb="0" eb="1">
      <t>ノゾミ</t>
    </rPh>
    <phoneticPr fontId="2"/>
  </si>
  <si>
    <t>大吉４６４番地１</t>
    <rPh sb="0" eb="2">
      <t>ダイキチ</t>
    </rPh>
    <rPh sb="5" eb="7">
      <t>バンチ</t>
    </rPh>
    <phoneticPr fontId="2"/>
  </si>
  <si>
    <t>343-0008</t>
    <phoneticPr fontId="2"/>
  </si>
  <si>
    <t>048-961-8830</t>
    <phoneticPr fontId="2"/>
  </si>
  <si>
    <t>東武スカイツリーライン北越谷駅東口発　朝日バス（北越谷駅－弥栄団地行）弥栄二丁目　徒歩３分</t>
    <rPh sb="0" eb="2">
      <t>トウブ</t>
    </rPh>
    <rPh sb="11" eb="14">
      <t>キタコシガヤ</t>
    </rPh>
    <rPh sb="14" eb="15">
      <t>エキ</t>
    </rPh>
    <rPh sb="15" eb="17">
      <t>ヒガシグチ</t>
    </rPh>
    <rPh sb="17" eb="18">
      <t>ハツ</t>
    </rPh>
    <rPh sb="19" eb="21">
      <t>アサヒ</t>
    </rPh>
    <rPh sb="24" eb="28">
      <t>キタコシガヤエキ</t>
    </rPh>
    <rPh sb="29" eb="31">
      <t>イヤサカ</t>
    </rPh>
    <rPh sb="31" eb="33">
      <t>ダンチ</t>
    </rPh>
    <rPh sb="33" eb="34">
      <t>コウ</t>
    </rPh>
    <rPh sb="35" eb="37">
      <t>ヤサカ</t>
    </rPh>
    <rPh sb="37" eb="38">
      <t>ニ</t>
    </rPh>
    <rPh sb="38" eb="40">
      <t>チョウメ</t>
    </rPh>
    <rPh sb="41" eb="43">
      <t>トホ</t>
    </rPh>
    <rPh sb="44" eb="45">
      <t>フン</t>
    </rPh>
    <phoneticPr fontId="2"/>
  </si>
  <si>
    <t>多機能型事業所わっくす</t>
    <rPh sb="0" eb="7">
      <t>タキノウガタジギョウショ</t>
    </rPh>
    <phoneticPr fontId="2"/>
  </si>
  <si>
    <t>（株）インクルーシブ</t>
    <rPh sb="1" eb="2">
      <t>カブ</t>
    </rPh>
    <phoneticPr fontId="2"/>
  </si>
  <si>
    <t>ＣｏｃｏｒｐｏｒｔＣｏｌｌｅｇｅ
春日部駅前キャンパス</t>
    <rPh sb="17" eb="20">
      <t>カスカベ</t>
    </rPh>
    <rPh sb="20" eb="21">
      <t>エキ</t>
    </rPh>
    <rPh sb="21" eb="22">
      <t>マエ</t>
    </rPh>
    <phoneticPr fontId="5"/>
  </si>
  <si>
    <t>中央1-11-1
M3ビル5階</t>
    <rPh sb="0" eb="2">
      <t>チュウオウ</t>
    </rPh>
    <rPh sb="14" eb="15">
      <t>カイ</t>
    </rPh>
    <phoneticPr fontId="3"/>
  </si>
  <si>
    <t>048-795-6171</t>
    <phoneticPr fontId="2"/>
  </si>
  <si>
    <t>048-795-6174</t>
    <phoneticPr fontId="2"/>
  </si>
  <si>
    <t>東武スカイツリーライン春日部駅から徒歩2分</t>
    <rPh sb="0" eb="2">
      <t>トウブ</t>
    </rPh>
    <rPh sb="11" eb="14">
      <t>カスカベ</t>
    </rPh>
    <rPh sb="14" eb="15">
      <t>エキ</t>
    </rPh>
    <rPh sb="17" eb="19">
      <t>トホ</t>
    </rPh>
    <rPh sb="20" eb="21">
      <t>フン</t>
    </rPh>
    <phoneticPr fontId="2"/>
  </si>
  <si>
    <t>（福）きらり彩愛会</t>
    <rPh sb="1" eb="2">
      <t>フク</t>
    </rPh>
    <rPh sb="6" eb="7">
      <t>イロドリ</t>
    </rPh>
    <rPh sb="7" eb="8">
      <t>アイ</t>
    </rPh>
    <rPh sb="8" eb="9">
      <t>カイ</t>
    </rPh>
    <phoneticPr fontId="2"/>
  </si>
  <si>
    <t>スタジオRich</t>
    <phoneticPr fontId="2"/>
  </si>
  <si>
    <t>南1-3430-1</t>
    <rPh sb="0" eb="1">
      <t>ミナミ</t>
    </rPh>
    <phoneticPr fontId="2"/>
  </si>
  <si>
    <t>340-0156</t>
    <phoneticPr fontId="2"/>
  </si>
  <si>
    <t>東武鉄道日光線幸手駅東口から徒歩3分</t>
    <rPh sb="0" eb="2">
      <t>トウブ</t>
    </rPh>
    <rPh sb="2" eb="4">
      <t>テツドウ</t>
    </rPh>
    <rPh sb="4" eb="7">
      <t>ニッコウセン</t>
    </rPh>
    <rPh sb="7" eb="9">
      <t>サッテ</t>
    </rPh>
    <rPh sb="9" eb="10">
      <t>エキ</t>
    </rPh>
    <rPh sb="10" eb="12">
      <t>ヒガシグチ</t>
    </rPh>
    <rPh sb="14" eb="16">
      <t>トホ</t>
    </rPh>
    <rPh sb="17" eb="18">
      <t>フン</t>
    </rPh>
    <phoneticPr fontId="2"/>
  </si>
  <si>
    <t>多機能型事業所　まこちゃん</t>
    <rPh sb="0" eb="4">
      <t>タキノウガタ</t>
    </rPh>
    <rPh sb="4" eb="6">
      <t>ジギョウ</t>
    </rPh>
    <rPh sb="6" eb="7">
      <t>ショ</t>
    </rPh>
    <phoneticPr fontId="2"/>
  </si>
  <si>
    <t>0480-58-2044</t>
  </si>
  <si>
    <t>0480-31-9585</t>
  </si>
  <si>
    <t>Ｔｙ－Ｋａｍ（同）</t>
    <rPh sb="7" eb="8">
      <t>オナ</t>
    </rPh>
    <phoneticPr fontId="2"/>
  </si>
  <si>
    <t>就労支援事業所　こころ</t>
    <rPh sb="0" eb="7">
      <t>シュウロウシエンジギョウショ</t>
    </rPh>
    <phoneticPr fontId="2"/>
  </si>
  <si>
    <t>戸ヶ崎3197-1 2階</t>
    <rPh sb="0" eb="3">
      <t>トガサキ</t>
    </rPh>
    <rPh sb="11" eb="12">
      <t>カイ</t>
    </rPh>
    <phoneticPr fontId="2"/>
  </si>
  <si>
    <t>048-951-1090</t>
    <phoneticPr fontId="2"/>
  </si>
  <si>
    <t>048-951-1798</t>
    <phoneticPr fontId="2"/>
  </si>
  <si>
    <t>八潮駅南口から京成バス「戸ヶ崎操車場」又は「戸ヶ崎十字路」下車徒歩1分</t>
    <rPh sb="0" eb="2">
      <t>ヤシオ</t>
    </rPh>
    <rPh sb="2" eb="3">
      <t>エキ</t>
    </rPh>
    <rPh sb="3" eb="5">
      <t>ミナミグチ</t>
    </rPh>
    <rPh sb="7" eb="9">
      <t>ケイセイ</t>
    </rPh>
    <rPh sb="12" eb="15">
      <t>トガサキ</t>
    </rPh>
    <rPh sb="15" eb="18">
      <t>ソウシャジョウ</t>
    </rPh>
    <rPh sb="19" eb="20">
      <t>マタ</t>
    </rPh>
    <rPh sb="22" eb="25">
      <t>トガサキ</t>
    </rPh>
    <rPh sb="25" eb="28">
      <t>ジュウジロ</t>
    </rPh>
    <rPh sb="29" eb="31">
      <t>ゲシャ</t>
    </rPh>
    <rPh sb="31" eb="33">
      <t>トホ</t>
    </rPh>
    <rPh sb="34" eb="35">
      <t>フン</t>
    </rPh>
    <phoneticPr fontId="2"/>
  </si>
  <si>
    <t>南河原2676-1</t>
    <rPh sb="0" eb="3">
      <t>ミナミガワラ</t>
    </rPh>
    <phoneticPr fontId="2"/>
  </si>
  <si>
    <t>048-557-1706</t>
    <phoneticPr fontId="2"/>
  </si>
  <si>
    <t>関沢３丁目２番２１号</t>
    <rPh sb="0" eb="2">
      <t>セキザワ</t>
    </rPh>
    <rPh sb="3" eb="5">
      <t>チョウメ</t>
    </rPh>
    <rPh sb="6" eb="7">
      <t>バン</t>
    </rPh>
    <rPh sb="9" eb="10">
      <t>ゴウ</t>
    </rPh>
    <phoneticPr fontId="2"/>
  </si>
  <si>
    <t>049-265-6204</t>
    <phoneticPr fontId="2"/>
  </si>
  <si>
    <t>049-265-6206</t>
    <phoneticPr fontId="2"/>
  </si>
  <si>
    <t>東武東上線みずほ台駅より徒歩9分</t>
    <rPh sb="0" eb="5">
      <t>トウブトウジョウセン</t>
    </rPh>
    <rPh sb="8" eb="9">
      <t>ダイ</t>
    </rPh>
    <rPh sb="9" eb="10">
      <t>エキ</t>
    </rPh>
    <rPh sb="12" eb="14">
      <t>トホ</t>
    </rPh>
    <rPh sb="15" eb="16">
      <t>フン</t>
    </rPh>
    <phoneticPr fontId="2"/>
  </si>
  <si>
    <t>（一社）障害者支援事業所印旛</t>
    <rPh sb="1" eb="3">
      <t>イッシャ</t>
    </rPh>
    <rPh sb="4" eb="7">
      <t>ショウガイシャ</t>
    </rPh>
    <rPh sb="7" eb="9">
      <t>シエン</t>
    </rPh>
    <rPh sb="9" eb="11">
      <t>ジギョウ</t>
    </rPh>
    <rPh sb="11" eb="12">
      <t>ショ</t>
    </rPh>
    <rPh sb="12" eb="14">
      <t>インバ</t>
    </rPh>
    <phoneticPr fontId="2"/>
  </si>
  <si>
    <t>ショートステイりんどう</t>
    <phoneticPr fontId="2"/>
  </si>
  <si>
    <t>090-1607－5764</t>
    <phoneticPr fontId="2"/>
  </si>
  <si>
    <t>0493-81-7227</t>
    <phoneticPr fontId="2"/>
  </si>
  <si>
    <t>東松山駅から車で3～4分</t>
    <rPh sb="0" eb="4">
      <t>ヒガシマツヤマエキ</t>
    </rPh>
    <rPh sb="6" eb="7">
      <t>クルマ</t>
    </rPh>
    <rPh sb="11" eb="12">
      <t>フン</t>
    </rPh>
    <phoneticPr fontId="2"/>
  </si>
  <si>
    <t>（特非）バオバブの木</t>
    <rPh sb="1" eb="2">
      <t>トク</t>
    </rPh>
    <rPh sb="2" eb="3">
      <t>ヒ</t>
    </rPh>
    <rPh sb="9" eb="10">
      <t>キ</t>
    </rPh>
    <phoneticPr fontId="2"/>
  </si>
  <si>
    <t>さくらのいろ</t>
    <phoneticPr fontId="2"/>
  </si>
  <si>
    <t>東所沢3-10-2</t>
    <rPh sb="0" eb="3">
      <t>ヒガシトコロザワ</t>
    </rPh>
    <phoneticPr fontId="2"/>
  </si>
  <si>
    <t>359-0021</t>
    <phoneticPr fontId="2"/>
  </si>
  <si>
    <t>JR武蔵野線　東所沢駅より徒歩15分</t>
    <rPh sb="2" eb="5">
      <t>ムサシノ</t>
    </rPh>
    <rPh sb="5" eb="6">
      <t>セン</t>
    </rPh>
    <rPh sb="7" eb="10">
      <t>ヒガシトコロザワ</t>
    </rPh>
    <rPh sb="10" eb="11">
      <t>エキ</t>
    </rPh>
    <rPh sb="13" eb="15">
      <t>トホ</t>
    </rPh>
    <rPh sb="17" eb="18">
      <t>フン</t>
    </rPh>
    <phoneticPr fontId="2"/>
  </si>
  <si>
    <t>中宗岡2-20-26</t>
    <rPh sb="0" eb="3">
      <t>ナカムネオカ</t>
    </rPh>
    <phoneticPr fontId="2"/>
  </si>
  <si>
    <t>048-423-6093</t>
    <phoneticPr fontId="2"/>
  </si>
  <si>
    <t>048-423-6098</t>
    <phoneticPr fontId="2"/>
  </si>
  <si>
    <t>狭山線から車で３分</t>
    <rPh sb="0" eb="2">
      <t>サヤマ</t>
    </rPh>
    <rPh sb="2" eb="3">
      <t>セン</t>
    </rPh>
    <rPh sb="5" eb="6">
      <t>クルマ</t>
    </rPh>
    <rPh sb="8" eb="9">
      <t>フン</t>
    </rPh>
    <phoneticPr fontId="2"/>
  </si>
  <si>
    <t>ＣｏｃｏｒｐｏｒｔＣｏｌｌｅｇｅ
所沢キャンパス</t>
    <rPh sb="17" eb="19">
      <t>トコロザワ</t>
    </rPh>
    <phoneticPr fontId="5"/>
  </si>
  <si>
    <t>東町11-1
グラシスタワー所沢107号室</t>
    <rPh sb="0" eb="1">
      <t>ヒガシ</t>
    </rPh>
    <rPh sb="1" eb="2">
      <t>チョウ</t>
    </rPh>
    <rPh sb="14" eb="16">
      <t>トコロザワ</t>
    </rPh>
    <rPh sb="19" eb="21">
      <t>ゴウシツ</t>
    </rPh>
    <phoneticPr fontId="3"/>
  </si>
  <si>
    <t>359-1116</t>
    <phoneticPr fontId="2"/>
  </si>
  <si>
    <t>04-2935-4652</t>
    <phoneticPr fontId="2"/>
  </si>
  <si>
    <t>048-2935-4659</t>
    <phoneticPr fontId="2"/>
  </si>
  <si>
    <t>西武鉄道所沢駅より徒歩6分</t>
    <rPh sb="0" eb="2">
      <t>セイブ</t>
    </rPh>
    <rPh sb="2" eb="4">
      <t>テツドウ</t>
    </rPh>
    <rPh sb="4" eb="6">
      <t>トコロザワ</t>
    </rPh>
    <rPh sb="6" eb="7">
      <t>エキ</t>
    </rPh>
    <rPh sb="9" eb="11">
      <t>トホ</t>
    </rPh>
    <rPh sb="12" eb="13">
      <t>フン</t>
    </rPh>
    <phoneticPr fontId="2"/>
  </si>
  <si>
    <t>（福）埼玉福祉事業協会</t>
    <rPh sb="1" eb="2">
      <t>フク</t>
    </rPh>
    <rPh sb="3" eb="11">
      <t>サイタマフクシジギョウキョウカイ</t>
    </rPh>
    <phoneticPr fontId="2"/>
  </si>
  <si>
    <t>杉の子マート桶川店</t>
    <rPh sb="0" eb="1">
      <t>スギ</t>
    </rPh>
    <rPh sb="2" eb="3">
      <t>コ</t>
    </rPh>
    <rPh sb="6" eb="9">
      <t>オケガワテン</t>
    </rPh>
    <phoneticPr fontId="2"/>
  </si>
  <si>
    <t>朝日2丁目29-4</t>
    <rPh sb="0" eb="2">
      <t>アサヒ</t>
    </rPh>
    <rPh sb="3" eb="5">
      <t>チョウメ</t>
    </rPh>
    <phoneticPr fontId="2"/>
  </si>
  <si>
    <t>048-588-6890</t>
  </si>
  <si>
    <t>048-598-6834</t>
  </si>
  <si>
    <t>弥藤吾1898番地2</t>
    <rPh sb="0" eb="1">
      <t>ヤ</t>
    </rPh>
    <rPh sb="1" eb="2">
      <t>トウ</t>
    </rPh>
    <rPh sb="2" eb="3">
      <t>ゴ</t>
    </rPh>
    <rPh sb="7" eb="9">
      <t>バンチ</t>
    </rPh>
    <phoneticPr fontId="2"/>
  </si>
  <si>
    <t>ひかり園</t>
  </si>
  <si>
    <t>アドライズplus　蕨駅前センター</t>
    <rPh sb="10" eb="13">
      <t>わらびえきまえ</t>
    </rPh>
    <phoneticPr fontId="2" type="Hiragana"/>
  </si>
  <si>
    <t>048-486-9671</t>
    <phoneticPr fontId="2" type="Hiragana"/>
  </si>
  <si>
    <t>048-486-9672</t>
    <phoneticPr fontId="2" type="Hiragana"/>
  </si>
  <si>
    <t>（電車）蕨駅から徒歩３分</t>
    <rPh sb="1" eb="3">
      <t>でんしゃ</t>
    </rPh>
    <rPh sb="4" eb="5">
      <t>わらび</t>
    </rPh>
    <rPh sb="5" eb="6">
      <t>えき</t>
    </rPh>
    <rPh sb="8" eb="10">
      <t>とほ</t>
    </rPh>
    <rPh sb="11" eb="12">
      <t>ふん</t>
    </rPh>
    <phoneticPr fontId="2" type="Hiragana"/>
  </si>
  <si>
    <t>ステイホームにいほり</t>
    <phoneticPr fontId="2" type="Hiragana"/>
  </si>
  <si>
    <t>334-0061</t>
    <phoneticPr fontId="2" type="Hiragana"/>
  </si>
  <si>
    <t>048-280-6975</t>
    <phoneticPr fontId="2" type="Hiragana"/>
  </si>
  <si>
    <t>048-280-6967</t>
    <phoneticPr fontId="2" type="Hiragana"/>
  </si>
  <si>
    <t>（バス）草加駅西口から草加駅西口行き「市場前［川口市］」下車、徒歩５分</t>
    <rPh sb="4" eb="7">
      <t>そうかえき</t>
    </rPh>
    <rPh sb="7" eb="9">
      <t>にしぐち</t>
    </rPh>
    <rPh sb="11" eb="14">
      <t>そうかえき</t>
    </rPh>
    <rPh sb="14" eb="16">
      <t>にしぐち</t>
    </rPh>
    <rPh sb="16" eb="17">
      <t>い</t>
    </rPh>
    <rPh sb="19" eb="21">
      <t>しじょう</t>
    </rPh>
    <rPh sb="21" eb="22">
      <t>まえ</t>
    </rPh>
    <rPh sb="23" eb="25">
      <t>かわぐち</t>
    </rPh>
    <rPh sb="25" eb="26">
      <t>し</t>
    </rPh>
    <rPh sb="28" eb="30">
      <t>げしゃ</t>
    </rPh>
    <rPh sb="31" eb="33">
      <t>とほ</t>
    </rPh>
    <rPh sb="34" eb="35">
      <t>ふん</t>
    </rPh>
    <phoneticPr fontId="2" type="Hiragana"/>
  </si>
  <si>
    <t>大道172-1</t>
    <rPh sb="0" eb="2">
      <t>オオミチ</t>
    </rPh>
    <phoneticPr fontId="2"/>
  </si>
  <si>
    <t>050-6860-5951</t>
    <phoneticPr fontId="2"/>
  </si>
  <si>
    <t>048-940-1208</t>
    <phoneticPr fontId="2"/>
  </si>
  <si>
    <t>脳卒中・身体障害専門就労支援センター「リハス」さいたま浦和</t>
    <rPh sb="0" eb="3">
      <t>ノウソッチュウ</t>
    </rPh>
    <rPh sb="4" eb="6">
      <t>シンタイ</t>
    </rPh>
    <rPh sb="6" eb="8">
      <t>ショウガイ</t>
    </rPh>
    <rPh sb="8" eb="10">
      <t>センモン</t>
    </rPh>
    <rPh sb="10" eb="14">
      <t>シュウロウシエン</t>
    </rPh>
    <rPh sb="27" eb="29">
      <t>ウラワ</t>
    </rPh>
    <phoneticPr fontId="38"/>
  </si>
  <si>
    <t>浦和区仲町１－１１－１８　カーサ浦和１B</t>
    <rPh sb="0" eb="2">
      <t>ウラワ</t>
    </rPh>
    <rPh sb="2" eb="3">
      <t>ク</t>
    </rPh>
    <rPh sb="3" eb="5">
      <t>ナカチョウ</t>
    </rPh>
    <rPh sb="16" eb="18">
      <t>ウラワ</t>
    </rPh>
    <phoneticPr fontId="38"/>
  </si>
  <si>
    <t>048-714-0452</t>
  </si>
  <si>
    <t>048-714-0453</t>
  </si>
  <si>
    <t>浦和駅から徒歩7分</t>
    <rPh sb="0" eb="3">
      <t>ウラワエキ</t>
    </rPh>
    <rPh sb="5" eb="7">
      <t>トホ</t>
    </rPh>
    <rPh sb="8" eb="9">
      <t>フン</t>
    </rPh>
    <phoneticPr fontId="37"/>
  </si>
  <si>
    <t>リンクス川越事業所</t>
    <rPh sb="4" eb="9">
      <t>カワゴエジギョウショ</t>
    </rPh>
    <phoneticPr fontId="2"/>
  </si>
  <si>
    <t>砂949-8　井上ビル2階</t>
    <rPh sb="0" eb="1">
      <t>スナ</t>
    </rPh>
    <rPh sb="7" eb="9">
      <t>イノウエ</t>
    </rPh>
    <rPh sb="12" eb="13">
      <t>カイ</t>
    </rPh>
    <phoneticPr fontId="2"/>
  </si>
  <si>
    <t>350-1133</t>
    <phoneticPr fontId="2"/>
  </si>
  <si>
    <t>049-293-7482</t>
    <phoneticPr fontId="2"/>
  </si>
  <si>
    <t>049-293-7483</t>
    <phoneticPr fontId="2"/>
  </si>
  <si>
    <t>リンクス川越事業所（就労移行支援・就労継続支援B型）と一体的運営、新河岸駅東口より徒歩3分</t>
    <rPh sb="4" eb="6">
      <t>カワゴエ</t>
    </rPh>
    <rPh sb="6" eb="9">
      <t>ジギョウショ</t>
    </rPh>
    <rPh sb="10" eb="12">
      <t>シュウロウ</t>
    </rPh>
    <rPh sb="12" eb="14">
      <t>イコウ</t>
    </rPh>
    <rPh sb="14" eb="16">
      <t>シエン</t>
    </rPh>
    <rPh sb="17" eb="19">
      <t>シュウロウ</t>
    </rPh>
    <rPh sb="19" eb="21">
      <t>ケイゾク</t>
    </rPh>
    <rPh sb="21" eb="23">
      <t>シエン</t>
    </rPh>
    <rPh sb="24" eb="25">
      <t>ガタ</t>
    </rPh>
    <rPh sb="27" eb="30">
      <t>イッタイテキ</t>
    </rPh>
    <rPh sb="30" eb="32">
      <t>ウンエイ</t>
    </rPh>
    <rPh sb="33" eb="37">
      <t>シンガシエキ</t>
    </rPh>
    <rPh sb="37" eb="39">
      <t>ヒガシグチ</t>
    </rPh>
    <rPh sb="41" eb="43">
      <t>トホ</t>
    </rPh>
    <rPh sb="44" eb="45">
      <t>フン</t>
    </rPh>
    <phoneticPr fontId="2"/>
  </si>
  <si>
    <t>てっぺん</t>
    <phoneticPr fontId="2"/>
  </si>
  <si>
    <t>岸町1-11-9　町田ビル</t>
    <rPh sb="0" eb="2">
      <t>キシマチ</t>
    </rPh>
    <rPh sb="9" eb="11">
      <t>マチダ</t>
    </rPh>
    <phoneticPr fontId="2"/>
  </si>
  <si>
    <t>350-1131</t>
    <phoneticPr fontId="2"/>
  </si>
  <si>
    <t>049-299-4151</t>
    <phoneticPr fontId="2"/>
  </si>
  <si>
    <t>049-299-4152</t>
    <phoneticPr fontId="2"/>
  </si>
  <si>
    <t>川越駅から徒歩1.3km、17分</t>
    <rPh sb="0" eb="2">
      <t>カワゴエ</t>
    </rPh>
    <rPh sb="2" eb="3">
      <t>エキ</t>
    </rPh>
    <rPh sb="5" eb="7">
      <t>トホ</t>
    </rPh>
    <rPh sb="15" eb="16">
      <t>フン</t>
    </rPh>
    <phoneticPr fontId="2"/>
  </si>
  <si>
    <t>ゆいの郷</t>
    <rPh sb="3" eb="4">
      <t>サト</t>
    </rPh>
    <phoneticPr fontId="5"/>
  </si>
  <si>
    <t>高洲１－１７３－１</t>
    <rPh sb="0" eb="2">
      <t>タカス</t>
    </rPh>
    <phoneticPr fontId="3"/>
  </si>
  <si>
    <t>341-0037</t>
    <phoneticPr fontId="2"/>
  </si>
  <si>
    <t>048-954-9083</t>
    <phoneticPr fontId="2"/>
  </si>
  <si>
    <t>03-6800-5228</t>
    <phoneticPr fontId="2"/>
  </si>
  <si>
    <t>JR武蔵野線新三郷駅から東武バス「高州一丁目南」下車徒歩2分</t>
    <phoneticPr fontId="2"/>
  </si>
  <si>
    <t>礼羽５１７－１</t>
  </si>
  <si>
    <t>347-0044</t>
  </si>
  <si>
    <t>0480-53-7232</t>
  </si>
  <si>
    <t>0480-53-7238</t>
  </si>
  <si>
    <t>東武伊勢崎線加須駅から朝日自動車「加須車庫」下車徒歩４分</t>
    <rPh sb="0" eb="2">
      <t>トウブ</t>
    </rPh>
    <rPh sb="2" eb="5">
      <t>イセザキ</t>
    </rPh>
    <rPh sb="5" eb="6">
      <t>セン</t>
    </rPh>
    <rPh sb="6" eb="8">
      <t>カゾ</t>
    </rPh>
    <rPh sb="8" eb="9">
      <t>エキ</t>
    </rPh>
    <rPh sb="11" eb="13">
      <t>アサヒ</t>
    </rPh>
    <rPh sb="13" eb="16">
      <t>ジドウシャ</t>
    </rPh>
    <rPh sb="17" eb="19">
      <t>カゾ</t>
    </rPh>
    <rPh sb="19" eb="21">
      <t>シャコ</t>
    </rPh>
    <rPh sb="22" eb="24">
      <t>ゲシャ</t>
    </rPh>
    <rPh sb="24" eb="26">
      <t>トホ</t>
    </rPh>
    <rPh sb="27" eb="28">
      <t>フン</t>
    </rPh>
    <phoneticPr fontId="2"/>
  </si>
  <si>
    <t>羽生市</t>
    <rPh sb="0" eb="2">
      <t>ハニュウ</t>
    </rPh>
    <rPh sb="2" eb="3">
      <t>シ</t>
    </rPh>
    <phoneticPr fontId="2"/>
  </si>
  <si>
    <t>羽生市東２丁目４番１５号</t>
  </si>
  <si>
    <t>348-0052</t>
  </si>
  <si>
    <t>048-580-7130</t>
  </si>
  <si>
    <t>048-580-7132</t>
  </si>
  <si>
    <t>東武伊勢崎線羽生駅から徒歩16分</t>
    <rPh sb="0" eb="2">
      <t>トウブ</t>
    </rPh>
    <rPh sb="2" eb="5">
      <t>イセザキ</t>
    </rPh>
    <rPh sb="5" eb="6">
      <t>セン</t>
    </rPh>
    <rPh sb="6" eb="8">
      <t>ハニュウ</t>
    </rPh>
    <rPh sb="8" eb="9">
      <t>エキ</t>
    </rPh>
    <rPh sb="11" eb="13">
      <t>トホ</t>
    </rPh>
    <rPh sb="15" eb="16">
      <t>フン</t>
    </rPh>
    <phoneticPr fontId="2"/>
  </si>
  <si>
    <t>駒形字沼通１１０番</t>
    <rPh sb="0" eb="2">
      <t>コマガタ</t>
    </rPh>
    <rPh sb="2" eb="3">
      <t>アザ</t>
    </rPh>
    <rPh sb="3" eb="4">
      <t>ヌマ</t>
    </rPh>
    <rPh sb="4" eb="5">
      <t>ドオリ</t>
    </rPh>
    <rPh sb="8" eb="9">
      <t>バン</t>
    </rPh>
    <phoneticPr fontId="2"/>
  </si>
  <si>
    <t>ワークデザイン</t>
  </si>
  <si>
    <t>中央一丁目５番１９号飯田ビル２Ｆ</t>
  </si>
  <si>
    <t>080-7212-9410</t>
    <phoneticPr fontId="2"/>
  </si>
  <si>
    <t>東武伊勢崎線加須駅から徒歩１分</t>
    <rPh sb="0" eb="2">
      <t>トウブ</t>
    </rPh>
    <rPh sb="2" eb="5">
      <t>イセサキ</t>
    </rPh>
    <rPh sb="5" eb="6">
      <t>セン</t>
    </rPh>
    <rPh sb="6" eb="8">
      <t>カゾ</t>
    </rPh>
    <rPh sb="8" eb="9">
      <t>エキ</t>
    </rPh>
    <rPh sb="11" eb="13">
      <t>トホ</t>
    </rPh>
    <rPh sb="14" eb="15">
      <t>プン</t>
    </rPh>
    <phoneticPr fontId="2"/>
  </si>
  <si>
    <t>勇希の森</t>
  </si>
  <si>
    <t>平永１０５７－２</t>
    <phoneticPr fontId="2"/>
  </si>
  <si>
    <t>347-0046</t>
  </si>
  <si>
    <t>0480-77-6588</t>
    <phoneticPr fontId="2"/>
  </si>
  <si>
    <t>東武伊勢崎線南羽生駅から徒歩４２分
東武伊勢崎線加須駅から加須市コミュニティバス「いなほの湯」下車徒歩２９分</t>
    <rPh sb="0" eb="2">
      <t>トウブ</t>
    </rPh>
    <rPh sb="2" eb="5">
      <t>イセサキ</t>
    </rPh>
    <rPh sb="5" eb="6">
      <t>セン</t>
    </rPh>
    <rPh sb="6" eb="7">
      <t>ミナミ</t>
    </rPh>
    <rPh sb="7" eb="9">
      <t>ハニュウ</t>
    </rPh>
    <rPh sb="9" eb="10">
      <t>エキ</t>
    </rPh>
    <rPh sb="12" eb="14">
      <t>トホ</t>
    </rPh>
    <rPh sb="16" eb="17">
      <t>プン</t>
    </rPh>
    <rPh sb="18" eb="20">
      <t>トウブ</t>
    </rPh>
    <rPh sb="20" eb="23">
      <t>イセサキ</t>
    </rPh>
    <rPh sb="23" eb="24">
      <t>セン</t>
    </rPh>
    <rPh sb="24" eb="26">
      <t>カゾ</t>
    </rPh>
    <rPh sb="26" eb="27">
      <t>エキ</t>
    </rPh>
    <rPh sb="29" eb="31">
      <t>カゾ</t>
    </rPh>
    <rPh sb="31" eb="32">
      <t>シ</t>
    </rPh>
    <rPh sb="45" eb="46">
      <t>ユ</t>
    </rPh>
    <rPh sb="47" eb="49">
      <t>ゲシャ</t>
    </rPh>
    <rPh sb="49" eb="51">
      <t>トホ</t>
    </rPh>
    <rPh sb="53" eb="54">
      <t>フン</t>
    </rPh>
    <phoneticPr fontId="2"/>
  </si>
  <si>
    <t>（株）カルディアコーポレーション</t>
    <phoneticPr fontId="5"/>
  </si>
  <si>
    <t>久喜東１丁目３番地１６</t>
    <phoneticPr fontId="2"/>
  </si>
  <si>
    <t>0480-53-6275</t>
    <phoneticPr fontId="2"/>
  </si>
  <si>
    <t>0480-53-6276</t>
    <phoneticPr fontId="2"/>
  </si>
  <si>
    <t>宇都宮線久喜駅東口徒歩４分</t>
    <rPh sb="0" eb="3">
      <t>ウツノミヤ</t>
    </rPh>
    <rPh sb="3" eb="4">
      <t>セン</t>
    </rPh>
    <rPh sb="4" eb="6">
      <t>クキ</t>
    </rPh>
    <rPh sb="6" eb="7">
      <t>エキ</t>
    </rPh>
    <rPh sb="7" eb="9">
      <t>ヒガシグチ</t>
    </rPh>
    <rPh sb="9" eb="11">
      <t>トホ</t>
    </rPh>
    <rPh sb="12" eb="13">
      <t>フン</t>
    </rPh>
    <phoneticPr fontId="2"/>
  </si>
  <si>
    <t>武蔵野線三郷駅から金町駅行バス「製鉄所前」下車徒歩5分</t>
    <rPh sb="0" eb="3">
      <t>ムサシノ</t>
    </rPh>
    <rPh sb="3" eb="4">
      <t>セン</t>
    </rPh>
    <rPh sb="4" eb="6">
      <t>ミサト</t>
    </rPh>
    <rPh sb="6" eb="7">
      <t>エキ</t>
    </rPh>
    <rPh sb="9" eb="11">
      <t>カナマチ</t>
    </rPh>
    <rPh sb="11" eb="12">
      <t>エキ</t>
    </rPh>
    <rPh sb="12" eb="13">
      <t>イ</t>
    </rPh>
    <rPh sb="16" eb="18">
      <t>セイテツ</t>
    </rPh>
    <rPh sb="18" eb="19">
      <t>ジョ</t>
    </rPh>
    <rPh sb="19" eb="20">
      <t>マエ</t>
    </rPh>
    <rPh sb="21" eb="23">
      <t>ゲシャ</t>
    </rPh>
    <rPh sb="23" eb="25">
      <t>トホ</t>
    </rPh>
    <rPh sb="26" eb="27">
      <t>フン</t>
    </rPh>
    <phoneticPr fontId="2"/>
  </si>
  <si>
    <t>新座2丁目９番２０号</t>
    <rPh sb="0" eb="2">
      <t>ニイザ</t>
    </rPh>
    <rPh sb="3" eb="5">
      <t>チョウメ</t>
    </rPh>
    <rPh sb="6" eb="7">
      <t>バン</t>
    </rPh>
    <rPh sb="9" eb="10">
      <t>ゴウ</t>
    </rPh>
    <phoneticPr fontId="2"/>
  </si>
  <si>
    <t>048-423-7768</t>
    <phoneticPr fontId="2"/>
  </si>
  <si>
    <t>048-423-7769</t>
    <phoneticPr fontId="2"/>
  </si>
  <si>
    <t>ふじみ野市</t>
    <rPh sb="4" eb="5">
      <t>シ</t>
    </rPh>
    <phoneticPr fontId="2"/>
  </si>
  <si>
    <t>旭一丁目１８番３７号</t>
    <rPh sb="0" eb="1">
      <t>アサヒ</t>
    </rPh>
    <rPh sb="1" eb="4">
      <t>イッチョウメ</t>
    </rPh>
    <rPh sb="6" eb="7">
      <t>バン</t>
    </rPh>
    <rPh sb="9" eb="10">
      <t>ゴウ</t>
    </rPh>
    <phoneticPr fontId="2"/>
  </si>
  <si>
    <t>356-0055</t>
    <phoneticPr fontId="2"/>
  </si>
  <si>
    <t>049-293-8360</t>
    <phoneticPr fontId="2"/>
  </si>
  <si>
    <t>049-293-8365</t>
    <phoneticPr fontId="2"/>
  </si>
  <si>
    <t>東武東上線ふじみ野駅から東部バス「上苗間」下車徒歩１分</t>
    <rPh sb="0" eb="5">
      <t>トウブトウジョウセン</t>
    </rPh>
    <rPh sb="8" eb="9">
      <t>ノ</t>
    </rPh>
    <rPh sb="9" eb="10">
      <t>エキ</t>
    </rPh>
    <rPh sb="12" eb="14">
      <t>トウブ</t>
    </rPh>
    <rPh sb="17" eb="18">
      <t>カミ</t>
    </rPh>
    <rPh sb="18" eb="19">
      <t>ナエ</t>
    </rPh>
    <rPh sb="19" eb="20">
      <t>マ</t>
    </rPh>
    <rPh sb="21" eb="23">
      <t>ゲシャ</t>
    </rPh>
    <rPh sb="23" eb="25">
      <t>トホ</t>
    </rPh>
    <rPh sb="26" eb="27">
      <t>フン</t>
    </rPh>
    <phoneticPr fontId="2"/>
  </si>
  <si>
    <t>（株）レターズ</t>
    <phoneticPr fontId="5"/>
  </si>
  <si>
    <t>くすのき台３丁目１番２号 中村２Ｆ</t>
    <rPh sb="4" eb="5">
      <t>ダイ</t>
    </rPh>
    <rPh sb="6" eb="8">
      <t>チョウメ</t>
    </rPh>
    <rPh sb="9" eb="10">
      <t>バン</t>
    </rPh>
    <rPh sb="11" eb="12">
      <t>ゴウ</t>
    </rPh>
    <rPh sb="13" eb="15">
      <t>ナカムラ</t>
    </rPh>
    <phoneticPr fontId="2"/>
  </si>
  <si>
    <t>04-2941-4081</t>
    <phoneticPr fontId="2"/>
  </si>
  <si>
    <t>04-2941-4082</t>
    <phoneticPr fontId="2"/>
  </si>
  <si>
    <t>西武鉄道所沢駅東口から徒歩３分</t>
    <rPh sb="0" eb="4">
      <t>セイブテツドウ</t>
    </rPh>
    <rPh sb="4" eb="6">
      <t>トコロザワ</t>
    </rPh>
    <rPh sb="6" eb="7">
      <t>エキ</t>
    </rPh>
    <rPh sb="7" eb="9">
      <t>ヒガシグチ</t>
    </rPh>
    <rPh sb="11" eb="13">
      <t>トホ</t>
    </rPh>
    <rPh sb="14" eb="15">
      <t>フン</t>
    </rPh>
    <phoneticPr fontId="2"/>
  </si>
  <si>
    <t>ダイバースホーム（株）</t>
    <rPh sb="8" eb="11">
      <t>カブ</t>
    </rPh>
    <phoneticPr fontId="2"/>
  </si>
  <si>
    <t>ダイバースホーム生活介護</t>
    <rPh sb="8" eb="12">
      <t>セイカツカイゴ</t>
    </rPh>
    <phoneticPr fontId="2"/>
  </si>
  <si>
    <t>東狭山ヶ丘一丁目１０番地１</t>
    <rPh sb="0" eb="5">
      <t>ヒガシサヤマガオカ</t>
    </rPh>
    <rPh sb="5" eb="8">
      <t>イッチョウメ</t>
    </rPh>
    <rPh sb="10" eb="12">
      <t>バンチ</t>
    </rPh>
    <phoneticPr fontId="2"/>
  </si>
  <si>
    <t>西武鉄道池袋線狭山ヶ丘駅より徒歩2分</t>
    <rPh sb="0" eb="2">
      <t>セイブ</t>
    </rPh>
    <rPh sb="2" eb="4">
      <t>テツドウ</t>
    </rPh>
    <rPh sb="4" eb="6">
      <t>イケブクロ</t>
    </rPh>
    <rPh sb="6" eb="7">
      <t>セン</t>
    </rPh>
    <rPh sb="7" eb="12">
      <t>サヤマガオカエキ</t>
    </rPh>
    <rPh sb="14" eb="16">
      <t>トホ</t>
    </rPh>
    <rPh sb="17" eb="18">
      <t>フン</t>
    </rPh>
    <phoneticPr fontId="2"/>
  </si>
  <si>
    <t>深谷市小前田666-1</t>
    <rPh sb="0" eb="2">
      <t>フカヤ</t>
    </rPh>
    <rPh sb="2" eb="3">
      <t>シ</t>
    </rPh>
    <rPh sb="3" eb="6">
      <t>オマエダ</t>
    </rPh>
    <phoneticPr fontId="2"/>
  </si>
  <si>
    <t>369-1246</t>
    <phoneticPr fontId="2"/>
  </si>
  <si>
    <t>048-577-6980</t>
    <phoneticPr fontId="2"/>
  </si>
  <si>
    <t>048-577-6989</t>
    <phoneticPr fontId="2"/>
  </si>
  <si>
    <t>秩父鉄道秩父本線（秩父線）小前田駅から徒歩１５分</t>
    <rPh sb="13" eb="16">
      <t>オマエダ</t>
    </rPh>
    <rPh sb="16" eb="17">
      <t>エキ</t>
    </rPh>
    <rPh sb="19" eb="21">
      <t>トホ</t>
    </rPh>
    <rPh sb="23" eb="24">
      <t>フン</t>
    </rPh>
    <phoneticPr fontId="2"/>
  </si>
  <si>
    <t>障害者就労支援事業所りん</t>
    <rPh sb="0" eb="3">
      <t>ショウガイシャ</t>
    </rPh>
    <rPh sb="3" eb="5">
      <t>シュウロウ</t>
    </rPh>
    <rPh sb="5" eb="7">
      <t>シエン</t>
    </rPh>
    <rPh sb="7" eb="9">
      <t>ジギョウ</t>
    </rPh>
    <rPh sb="9" eb="10">
      <t>ショ</t>
    </rPh>
    <phoneticPr fontId="2"/>
  </si>
  <si>
    <t>志賀469番地1</t>
    <rPh sb="5" eb="7">
      <t>バンチ</t>
    </rPh>
    <phoneticPr fontId="2"/>
  </si>
  <si>
    <t>武蔵嵐山駅から徒歩13分</t>
    <rPh sb="0" eb="2">
      <t>ムサシ</t>
    </rPh>
    <rPh sb="2" eb="4">
      <t>ランザン</t>
    </rPh>
    <rPh sb="4" eb="5">
      <t>エキ</t>
    </rPh>
    <rPh sb="7" eb="9">
      <t>トホ</t>
    </rPh>
    <rPh sb="11" eb="12">
      <t>フン</t>
    </rPh>
    <phoneticPr fontId="2"/>
  </si>
  <si>
    <t>グループホームふわふわ川越</t>
  </si>
  <si>
    <t>砂新田２ー１７－１０</t>
    <rPh sb="0" eb="3">
      <t>すなしんでん</t>
    </rPh>
    <phoneticPr fontId="39" type="Hiragana"/>
  </si>
  <si>
    <t>350-1137</t>
  </si>
  <si>
    <t>049-265-4723</t>
  </si>
  <si>
    <t>049-265-4728</t>
  </si>
  <si>
    <t>新河岸駅　徒歩15分、R4.4.1　共同生活援助住居追加に伴い定員変更</t>
    <rPh sb="0" eb="4">
      <t>シンガシエキ</t>
    </rPh>
    <rPh sb="5" eb="7">
      <t>トホ</t>
    </rPh>
    <rPh sb="9" eb="10">
      <t>フン</t>
    </rPh>
    <rPh sb="18" eb="20">
      <t>キョウドウ</t>
    </rPh>
    <rPh sb="20" eb="22">
      <t>セイカツ</t>
    </rPh>
    <rPh sb="22" eb="24">
      <t>エンジョ</t>
    </rPh>
    <rPh sb="24" eb="26">
      <t>ジュウキョ</t>
    </rPh>
    <rPh sb="26" eb="28">
      <t>ツイカ</t>
    </rPh>
    <rPh sb="29" eb="30">
      <t>トモナ</t>
    </rPh>
    <rPh sb="31" eb="33">
      <t>テイイン</t>
    </rPh>
    <rPh sb="33" eb="35">
      <t>ヘンコウ</t>
    </rPh>
    <phoneticPr fontId="2"/>
  </si>
  <si>
    <t>グループホームふわふわ川越木野目</t>
    <rPh sb="11" eb="13">
      <t>かわごえ</t>
    </rPh>
    <rPh sb="13" eb="16">
      <t>きのめ</t>
    </rPh>
    <phoneticPr fontId="39" type="Hiragana"/>
  </si>
  <si>
    <t>大字木野目309-1</t>
    <rPh sb="0" eb="2">
      <t>おおあざ</t>
    </rPh>
    <rPh sb="2" eb="5">
      <t>きのめ</t>
    </rPh>
    <phoneticPr fontId="39" type="Hiragana"/>
  </si>
  <si>
    <t>049-293-3527</t>
  </si>
  <si>
    <t>049-293-3529</t>
  </si>
  <si>
    <t>南古谷駅徒歩18分。R5.3.1　共同生活援助住居追加に伴い定員変更</t>
    <rPh sb="0" eb="4">
      <t>ミナミフルヤエキ</t>
    </rPh>
    <rPh sb="4" eb="6">
      <t>トホ</t>
    </rPh>
    <rPh sb="8" eb="9">
      <t>フン</t>
    </rPh>
    <rPh sb="17" eb="23">
      <t>キョウドウセイカツエンジョ</t>
    </rPh>
    <rPh sb="23" eb="25">
      <t>ジュウキョ</t>
    </rPh>
    <rPh sb="25" eb="27">
      <t>ツイカ</t>
    </rPh>
    <rPh sb="28" eb="29">
      <t>トモナ</t>
    </rPh>
    <rPh sb="30" eb="32">
      <t>テイイン</t>
    </rPh>
    <rPh sb="32" eb="34">
      <t>ヘンコウ</t>
    </rPh>
    <phoneticPr fontId="2"/>
  </si>
  <si>
    <t>リヴライフサポート</t>
  </si>
  <si>
    <t>さいたま市</t>
    <phoneticPr fontId="37"/>
  </si>
  <si>
    <t>北区土呂町１－１５－１８　あひか第一ビル４階</t>
    <rPh sb="0" eb="2">
      <t>キタク</t>
    </rPh>
    <rPh sb="2" eb="5">
      <t>トロチョウ</t>
    </rPh>
    <rPh sb="16" eb="18">
      <t>ダイイチ</t>
    </rPh>
    <rPh sb="21" eb="22">
      <t>カイ</t>
    </rPh>
    <phoneticPr fontId="36"/>
  </si>
  <si>
    <t>048-662-9261</t>
  </si>
  <si>
    <t>048-662-9262</t>
  </si>
  <si>
    <t>JR土呂駅から徒歩5分</t>
    <rPh sb="2" eb="5">
      <t>トロエキ</t>
    </rPh>
    <rPh sb="7" eb="9">
      <t>トホ</t>
    </rPh>
    <rPh sb="10" eb="11">
      <t>フン</t>
    </rPh>
    <phoneticPr fontId="37"/>
  </si>
  <si>
    <t>manaby大宮事業所</t>
    <rPh sb="6" eb="8">
      <t>オオミヤ</t>
    </rPh>
    <rPh sb="8" eb="11">
      <t>ジギョウショ</t>
    </rPh>
    <phoneticPr fontId="40"/>
  </si>
  <si>
    <t>大宮区高鼻町１－４０－１　PRSビル　６F</t>
    <rPh sb="0" eb="2">
      <t>オオミヤ</t>
    </rPh>
    <rPh sb="2" eb="3">
      <t>ク</t>
    </rPh>
    <rPh sb="3" eb="6">
      <t>タカハナチョウ</t>
    </rPh>
    <phoneticPr fontId="40"/>
  </si>
  <si>
    <t>JR大宮駅から徒歩8分</t>
    <rPh sb="2" eb="4">
      <t>オオミヤ</t>
    </rPh>
    <rPh sb="4" eb="5">
      <t>エキ</t>
    </rPh>
    <rPh sb="7" eb="9">
      <t>トホ</t>
    </rPh>
    <rPh sb="10" eb="11">
      <t>フン</t>
    </rPh>
    <phoneticPr fontId="37"/>
  </si>
  <si>
    <t>大宮区吉敷町１－６２　マレーS・Tビル３０３</t>
    <rPh sb="0" eb="3">
      <t>オオミヤク</t>
    </rPh>
    <rPh sb="3" eb="6">
      <t>ヨシキチョウ</t>
    </rPh>
    <phoneticPr fontId="40"/>
  </si>
  <si>
    <t>JR大宮駅から徒歩10分</t>
    <rPh sb="2" eb="4">
      <t>オオミヤ</t>
    </rPh>
    <rPh sb="4" eb="5">
      <t>エキ</t>
    </rPh>
    <rPh sb="7" eb="9">
      <t>トホ</t>
    </rPh>
    <rPh sb="11" eb="12">
      <t>フン</t>
    </rPh>
    <phoneticPr fontId="37"/>
  </si>
  <si>
    <t>ダイアリー</t>
  </si>
  <si>
    <t>ニューロリワーク川越センター</t>
  </si>
  <si>
    <t>脇田町16-29　川越脇田ビル2階</t>
    <phoneticPr fontId="2"/>
  </si>
  <si>
    <t>350-1122</t>
    <phoneticPr fontId="2"/>
  </si>
  <si>
    <t>049-299-4872</t>
    <phoneticPr fontId="2"/>
  </si>
  <si>
    <t>049-299-4874</t>
    <phoneticPr fontId="2"/>
  </si>
  <si>
    <t>JR・東武東上線川越駅より徒歩3分</t>
    <rPh sb="3" eb="8">
      <t>トウブトウジョウセン</t>
    </rPh>
    <rPh sb="8" eb="10">
      <t>カワゴエ</t>
    </rPh>
    <rPh sb="10" eb="11">
      <t>エキ</t>
    </rPh>
    <rPh sb="13" eb="15">
      <t>トホ</t>
    </rPh>
    <rPh sb="16" eb="17">
      <t>フン</t>
    </rPh>
    <phoneticPr fontId="2"/>
  </si>
  <si>
    <t>(株)ベストワン</t>
    <rPh sb="0" eb="3">
      <t>カブ</t>
    </rPh>
    <phoneticPr fontId="2"/>
  </si>
  <si>
    <t>リハビリ特化型デイサービス　ベストワンＦｕｎ</t>
    <phoneticPr fontId="2"/>
  </si>
  <si>
    <t>花栗４丁目１６番３８号</t>
    <phoneticPr fontId="2"/>
  </si>
  <si>
    <t>340-0044</t>
  </si>
  <si>
    <t>048-918-2154</t>
    <phoneticPr fontId="2"/>
  </si>
  <si>
    <t>048-918-2718</t>
    <phoneticPr fontId="2"/>
  </si>
  <si>
    <t>東武伊勢崎線獨協大学前〈草加松原〉駅から徒歩12分
※共生型</t>
    <rPh sb="0" eb="2">
      <t>トウブ</t>
    </rPh>
    <rPh sb="2" eb="5">
      <t>イセザキ</t>
    </rPh>
    <rPh sb="5" eb="6">
      <t>セン</t>
    </rPh>
    <rPh sb="6" eb="8">
      <t>ドッキョウ</t>
    </rPh>
    <rPh sb="8" eb="10">
      <t>ダイガク</t>
    </rPh>
    <rPh sb="10" eb="11">
      <t>マエ</t>
    </rPh>
    <rPh sb="12" eb="14">
      <t>ソウカ</t>
    </rPh>
    <rPh sb="14" eb="16">
      <t>マツバラ</t>
    </rPh>
    <rPh sb="17" eb="18">
      <t>エキ</t>
    </rPh>
    <rPh sb="20" eb="22">
      <t>トホ</t>
    </rPh>
    <rPh sb="24" eb="25">
      <t>フン</t>
    </rPh>
    <rPh sb="27" eb="30">
      <t>キョウセイガタ</t>
    </rPh>
    <phoneticPr fontId="2"/>
  </si>
  <si>
    <t>ＮＰＯ法人　虹</t>
    <phoneticPr fontId="2"/>
  </si>
  <si>
    <t>就労継続支援Ｂ型　なないろ</t>
    <phoneticPr fontId="2"/>
  </si>
  <si>
    <t>東３丁目６－３５</t>
    <phoneticPr fontId="2"/>
  </si>
  <si>
    <t>348-0052</t>
    <phoneticPr fontId="2"/>
  </si>
  <si>
    <t>048-565-4565</t>
    <phoneticPr fontId="2"/>
  </si>
  <si>
    <t>東武伊勢崎線・秩父鉄道羽生駅から徒歩１７分</t>
    <rPh sb="0" eb="2">
      <t>トウブ</t>
    </rPh>
    <rPh sb="2" eb="5">
      <t>イセサキ</t>
    </rPh>
    <rPh sb="5" eb="6">
      <t>セン</t>
    </rPh>
    <rPh sb="7" eb="9">
      <t>チチブ</t>
    </rPh>
    <rPh sb="9" eb="11">
      <t>テツドウ</t>
    </rPh>
    <rPh sb="11" eb="13">
      <t>ハニュウ</t>
    </rPh>
    <rPh sb="13" eb="14">
      <t>エキ</t>
    </rPh>
    <rPh sb="16" eb="18">
      <t>トホ</t>
    </rPh>
    <rPh sb="20" eb="21">
      <t>フン</t>
    </rPh>
    <phoneticPr fontId="2"/>
  </si>
  <si>
    <t>ウーリー行田</t>
    <phoneticPr fontId="2"/>
  </si>
  <si>
    <t>行田市</t>
    <rPh sb="0" eb="2">
      <t>ギョウダ</t>
    </rPh>
    <phoneticPr fontId="2"/>
  </si>
  <si>
    <t>行田１９－８　ＳＫビル２階</t>
    <phoneticPr fontId="2"/>
  </si>
  <si>
    <t>361-0073</t>
  </si>
  <si>
    <t>042-907-4511</t>
    <phoneticPr fontId="2"/>
  </si>
  <si>
    <t>042-907-4511</t>
  </si>
  <si>
    <t>秩父鉄道行田市駅から徒歩５分</t>
    <rPh sb="0" eb="2">
      <t>チチブ</t>
    </rPh>
    <rPh sb="2" eb="4">
      <t>テツドウ</t>
    </rPh>
    <rPh sb="4" eb="7">
      <t>ギョウダシ</t>
    </rPh>
    <rPh sb="7" eb="8">
      <t>エキ</t>
    </rPh>
    <rPh sb="10" eb="12">
      <t>トホ</t>
    </rPh>
    <rPh sb="13" eb="14">
      <t>フン</t>
    </rPh>
    <phoneticPr fontId="2"/>
  </si>
  <si>
    <t>白岡１００６－１</t>
    <phoneticPr fontId="2"/>
  </si>
  <si>
    <t>0480-48-5140</t>
  </si>
  <si>
    <t>0480-48-5146</t>
  </si>
  <si>
    <t>0480-42-5011</t>
    <phoneticPr fontId="2"/>
  </si>
  <si>
    <t>0480-44-9815</t>
    <phoneticPr fontId="2"/>
  </si>
  <si>
    <t>ウーリー本庄</t>
    <rPh sb="4" eb="6">
      <t>ホンジョウ</t>
    </rPh>
    <phoneticPr fontId="2"/>
  </si>
  <si>
    <t>駅南2丁目28-8　Ｋａｍｉｋｅｎビル2階201号室</t>
    <rPh sb="0" eb="1">
      <t>エキ</t>
    </rPh>
    <rPh sb="1" eb="2">
      <t>ミナミ</t>
    </rPh>
    <rPh sb="3" eb="5">
      <t>チョウメ</t>
    </rPh>
    <rPh sb="20" eb="21">
      <t>カイ</t>
    </rPh>
    <rPh sb="24" eb="26">
      <t>ゴウシツ</t>
    </rPh>
    <phoneticPr fontId="2"/>
  </si>
  <si>
    <t>367-0041</t>
    <phoneticPr fontId="2"/>
  </si>
  <si>
    <t>0495-37-3372</t>
    <phoneticPr fontId="2"/>
  </si>
  <si>
    <t>ＪＲ高崎線本庄駅から徒歩6分</t>
    <rPh sb="2" eb="5">
      <t>タカサキセン</t>
    </rPh>
    <rPh sb="5" eb="7">
      <t>ホンジョウ</t>
    </rPh>
    <rPh sb="7" eb="8">
      <t>エキ</t>
    </rPh>
    <rPh sb="10" eb="12">
      <t>トホ</t>
    </rPh>
    <rPh sb="13" eb="14">
      <t>フン</t>
    </rPh>
    <phoneticPr fontId="2"/>
  </si>
  <si>
    <t>医療法人社団勝医会</t>
    <rPh sb="0" eb="6">
      <t>イリョウホウジンシャダン</t>
    </rPh>
    <rPh sb="6" eb="7">
      <t>カツ</t>
    </rPh>
    <rPh sb="7" eb="8">
      <t>イ</t>
    </rPh>
    <rPh sb="8" eb="9">
      <t>カイ</t>
    </rPh>
    <phoneticPr fontId="2"/>
  </si>
  <si>
    <t>いまここワーク</t>
    <phoneticPr fontId="2"/>
  </si>
  <si>
    <t>上柴町西3-19-10シャル上柴2Ｆ</t>
    <rPh sb="0" eb="1">
      <t>ウエ</t>
    </rPh>
    <rPh sb="1" eb="2">
      <t>シバ</t>
    </rPh>
    <rPh sb="2" eb="3">
      <t>マチ</t>
    </rPh>
    <rPh sb="3" eb="4">
      <t>ニシ</t>
    </rPh>
    <rPh sb="14" eb="15">
      <t>ウエ</t>
    </rPh>
    <rPh sb="15" eb="16">
      <t>シバ</t>
    </rPh>
    <phoneticPr fontId="2"/>
  </si>
  <si>
    <t>366-0052</t>
    <phoneticPr fontId="2"/>
  </si>
  <si>
    <t>048-580-4183</t>
    <phoneticPr fontId="2"/>
  </si>
  <si>
    <t>048-580-4184</t>
    <phoneticPr fontId="2"/>
  </si>
  <si>
    <t>ＪＲ高崎線深谷駅から車3分</t>
    <rPh sb="2" eb="5">
      <t>タカサキセン</t>
    </rPh>
    <rPh sb="5" eb="7">
      <t>フカヤ</t>
    </rPh>
    <rPh sb="7" eb="8">
      <t>エキ</t>
    </rPh>
    <rPh sb="10" eb="11">
      <t>クルマ</t>
    </rPh>
    <rPh sb="12" eb="13">
      <t>フン</t>
    </rPh>
    <phoneticPr fontId="2"/>
  </si>
  <si>
    <t>就労継続支援B型事業所　メロディー</t>
    <rPh sb="0" eb="2">
      <t>シュウロウ</t>
    </rPh>
    <rPh sb="2" eb="4">
      <t>ケイゾク</t>
    </rPh>
    <rPh sb="4" eb="6">
      <t>シエン</t>
    </rPh>
    <rPh sb="7" eb="11">
      <t>ガタジギョウショ</t>
    </rPh>
    <phoneticPr fontId="2"/>
  </si>
  <si>
    <t>アイディアル就労移行支援</t>
    <rPh sb="6" eb="8">
      <t>シュウロウ</t>
    </rPh>
    <rPh sb="8" eb="10">
      <t>イコウ</t>
    </rPh>
    <rPh sb="10" eb="12">
      <t>シエン</t>
    </rPh>
    <phoneticPr fontId="2"/>
  </si>
  <si>
    <t>若宮2丁目33番4号</t>
    <rPh sb="0" eb="2">
      <t>ワカミヤ</t>
    </rPh>
    <rPh sb="3" eb="5">
      <t>チョウメ</t>
    </rPh>
    <rPh sb="7" eb="8">
      <t>バン</t>
    </rPh>
    <rPh sb="9" eb="10">
      <t>ゴウ</t>
    </rPh>
    <phoneticPr fontId="2"/>
  </si>
  <si>
    <t>JR高崎線桶川駅から徒歩7分</t>
    <rPh sb="2" eb="5">
      <t>タカサキセン</t>
    </rPh>
    <rPh sb="5" eb="7">
      <t>オケガワ</t>
    </rPh>
    <rPh sb="7" eb="8">
      <t>エキ</t>
    </rPh>
    <rPh sb="10" eb="12">
      <t>トホ</t>
    </rPh>
    <rPh sb="13" eb="14">
      <t>フン</t>
    </rPh>
    <phoneticPr fontId="2"/>
  </si>
  <si>
    <t>児玉町児玉1663-1</t>
    <rPh sb="0" eb="2">
      <t>コダマ</t>
    </rPh>
    <rPh sb="2" eb="3">
      <t>マチ</t>
    </rPh>
    <rPh sb="3" eb="5">
      <t>コダマ</t>
    </rPh>
    <phoneticPr fontId="2"/>
  </si>
  <si>
    <t>367-0212</t>
    <phoneticPr fontId="2"/>
  </si>
  <si>
    <t>0495-71-8827</t>
    <phoneticPr fontId="2"/>
  </si>
  <si>
    <t>0495-71-8830</t>
    <phoneticPr fontId="2"/>
  </si>
  <si>
    <t>美女木東１丁目１番３号</t>
    <rPh sb="0" eb="3">
      <t>ビジョギ</t>
    </rPh>
    <rPh sb="3" eb="4">
      <t>ヒガシ</t>
    </rPh>
    <rPh sb="5" eb="7">
      <t>チョウメ</t>
    </rPh>
    <rPh sb="8" eb="9">
      <t>バン</t>
    </rPh>
    <rPh sb="10" eb="11">
      <t>ゴウ</t>
    </rPh>
    <phoneticPr fontId="2"/>
  </si>
  <si>
    <t>335-0032</t>
    <phoneticPr fontId="2"/>
  </si>
  <si>
    <t>048-424-8569</t>
    <phoneticPr fontId="2"/>
  </si>
  <si>
    <t>048-424-8569</t>
  </si>
  <si>
    <t>JR埼京線北戸田駅</t>
    <rPh sb="2" eb="5">
      <t>サイキョウセン</t>
    </rPh>
    <rPh sb="5" eb="9">
      <t>キタトダエキ</t>
    </rPh>
    <phoneticPr fontId="2"/>
  </si>
  <si>
    <t>就労継続支援B型事業所グリット</t>
    <rPh sb="0" eb="2">
      <t>シュウロウ</t>
    </rPh>
    <rPh sb="2" eb="4">
      <t>ケイゾク</t>
    </rPh>
    <rPh sb="4" eb="6">
      <t>シエン</t>
    </rPh>
    <rPh sb="7" eb="11">
      <t>ガタジギョウショ</t>
    </rPh>
    <phoneticPr fontId="2"/>
  </si>
  <si>
    <t>さわやかホーム</t>
  </si>
  <si>
    <t>永田４７５－２</t>
    <phoneticPr fontId="2"/>
  </si>
  <si>
    <t>357-0062</t>
    <phoneticPr fontId="2"/>
  </si>
  <si>
    <t>042-981-6399</t>
    <phoneticPr fontId="2"/>
  </si>
  <si>
    <t>西武池袋線飯能駅からバス「永田大杉」下車徒歩３分</t>
    <rPh sb="0" eb="5">
      <t>セイブイケブクロセン</t>
    </rPh>
    <rPh sb="5" eb="8">
      <t>ハンノウエキ</t>
    </rPh>
    <rPh sb="18" eb="20">
      <t>ゲシャ</t>
    </rPh>
    <rPh sb="20" eb="22">
      <t>トホ</t>
    </rPh>
    <rPh sb="23" eb="24">
      <t>プン</t>
    </rPh>
    <phoneticPr fontId="2"/>
  </si>
  <si>
    <t>(合)みまもり</t>
    <rPh sb="1" eb="2">
      <t>ゴウ</t>
    </rPh>
    <phoneticPr fontId="2"/>
  </si>
  <si>
    <t>グループホームみまもり</t>
  </si>
  <si>
    <t>西坂戸５－２７－４</t>
    <phoneticPr fontId="2"/>
  </si>
  <si>
    <t>350-0247</t>
    <phoneticPr fontId="2"/>
  </si>
  <si>
    <t>090-2908-5082</t>
    <phoneticPr fontId="2"/>
  </si>
  <si>
    <t>（株）エルサーブ</t>
    <rPh sb="1" eb="2">
      <t>カブ</t>
    </rPh>
    <phoneticPr fontId="2"/>
  </si>
  <si>
    <t>042-996-8240</t>
    <phoneticPr fontId="2"/>
  </si>
  <si>
    <t>042-996-8250</t>
    <phoneticPr fontId="2" type="Hiragana"/>
  </si>
  <si>
    <t>（社福）親和会</t>
    <rPh sb="1" eb="3">
      <t>シャフク</t>
    </rPh>
    <rPh sb="4" eb="6">
      <t>シンワ</t>
    </rPh>
    <rPh sb="6" eb="7">
      <t>カイ</t>
    </rPh>
    <phoneticPr fontId="2"/>
  </si>
  <si>
    <t>障害者生活介護事業所　千笑里</t>
    <rPh sb="0" eb="3">
      <t>ショウガイシャ</t>
    </rPh>
    <rPh sb="3" eb="10">
      <t>セイカツカイゴジギョウショ</t>
    </rPh>
    <rPh sb="11" eb="14">
      <t>チエミサト</t>
    </rPh>
    <phoneticPr fontId="2"/>
  </si>
  <si>
    <t>大字日比田清身場６２番地２</t>
    <rPh sb="0" eb="2">
      <t>オオアザ</t>
    </rPh>
    <rPh sb="2" eb="5">
      <t>ヒビタ</t>
    </rPh>
    <rPh sb="5" eb="6">
      <t>セイ</t>
    </rPh>
    <rPh sb="6" eb="7">
      <t>ミ</t>
    </rPh>
    <rPh sb="7" eb="8">
      <t>バ</t>
    </rPh>
    <rPh sb="10" eb="12">
      <t>バンチ</t>
    </rPh>
    <phoneticPr fontId="2"/>
  </si>
  <si>
    <t>359-0015</t>
    <phoneticPr fontId="2"/>
  </si>
  <si>
    <t>04‐2968-7727</t>
    <phoneticPr fontId="2"/>
  </si>
  <si>
    <t>04-2968-7728</t>
    <phoneticPr fontId="2"/>
  </si>
  <si>
    <t>JR武蔵野線　東所沢駅より徒歩18分</t>
    <rPh sb="2" eb="5">
      <t>ムサシノ</t>
    </rPh>
    <rPh sb="5" eb="6">
      <t>セン</t>
    </rPh>
    <rPh sb="7" eb="11">
      <t>ヒガシトコロザワエキ</t>
    </rPh>
    <rPh sb="13" eb="15">
      <t>トホ</t>
    </rPh>
    <rPh sb="17" eb="18">
      <t>フン</t>
    </rPh>
    <phoneticPr fontId="2"/>
  </si>
  <si>
    <t>サニースポット宮原</t>
    <rPh sb="7" eb="9">
      <t>ミヤハラ</t>
    </rPh>
    <phoneticPr fontId="36"/>
  </si>
  <si>
    <t>北区日進町３－７７４</t>
    <phoneticPr fontId="37"/>
  </si>
  <si>
    <t>331-0823</t>
    <phoneticPr fontId="37"/>
  </si>
  <si>
    <t>048-783-7968</t>
  </si>
  <si>
    <t>048-783-7969</t>
  </si>
  <si>
    <t>ＪＲ宮原駅から徒歩7分　※共同生活援助との併設</t>
    <rPh sb="2" eb="4">
      <t>ミヤハラ</t>
    </rPh>
    <rPh sb="4" eb="5">
      <t>エキ</t>
    </rPh>
    <rPh sb="7" eb="9">
      <t>トホ</t>
    </rPh>
    <rPh sb="10" eb="11">
      <t>フン</t>
    </rPh>
    <phoneticPr fontId="37"/>
  </si>
  <si>
    <t>短期入所クライスさいたま中島</t>
    <rPh sb="0" eb="1">
      <t>タンキ</t>
    </rPh>
    <rPh sb="1" eb="3">
      <t>ニュウショ</t>
    </rPh>
    <rPh sb="11" eb="13">
      <t>ナカジマ</t>
    </rPh>
    <phoneticPr fontId="36"/>
  </si>
  <si>
    <t>338-0822</t>
  </si>
  <si>
    <t>048-749-1585</t>
  </si>
  <si>
    <t>048-749-1586</t>
  </si>
  <si>
    <t>JR南与野駅から徒歩8分※共同生活援助との併設</t>
    <rPh sb="2" eb="6">
      <t>ミナミヨノエキ</t>
    </rPh>
    <rPh sb="8" eb="10">
      <t>トホ</t>
    </rPh>
    <rPh sb="11" eb="12">
      <t>フン</t>
    </rPh>
    <rPh sb="13" eb="19">
      <t>キョウドウセイカツエンジョ</t>
    </rPh>
    <rPh sb="21" eb="23">
      <t>ヘイセツ</t>
    </rPh>
    <phoneticPr fontId="37"/>
  </si>
  <si>
    <t>ゆめの園アクト初雁多機能型事業所</t>
  </si>
  <si>
    <t>松郷705-1</t>
  </si>
  <si>
    <t>R5.7.1　生活介護　定員40名から20名へ変更</t>
    <rPh sb="7" eb="9">
      <t>セイカツ</t>
    </rPh>
    <rPh sb="9" eb="11">
      <t>カイゴ</t>
    </rPh>
    <rPh sb="12" eb="14">
      <t>テイイン</t>
    </rPh>
    <rPh sb="16" eb="17">
      <t>メイ</t>
    </rPh>
    <rPh sb="21" eb="22">
      <t>メイ</t>
    </rPh>
    <rPh sb="23" eb="25">
      <t>ヘンコウ</t>
    </rPh>
    <phoneticPr fontId="2"/>
  </si>
  <si>
    <t>セラヴィ今福</t>
  </si>
  <si>
    <t>大字今福326-2</t>
  </si>
  <si>
    <t>R5.7.1　生活介護　定員20名から25名へ変更</t>
    <rPh sb="7" eb="9">
      <t>セイカツ</t>
    </rPh>
    <rPh sb="9" eb="11">
      <t>カイゴ</t>
    </rPh>
    <rPh sb="12" eb="14">
      <t>テイイン</t>
    </rPh>
    <rPh sb="16" eb="17">
      <t>メイ</t>
    </rPh>
    <rPh sb="21" eb="22">
      <t>メイ</t>
    </rPh>
    <rPh sb="23" eb="25">
      <t>ヘンコウ</t>
    </rPh>
    <phoneticPr fontId="2"/>
  </si>
  <si>
    <t>就労定着支援事業所リンクス新越谷</t>
    <rPh sb="0" eb="9">
      <t>シュウロウテイチャクシエンジギョウショ</t>
    </rPh>
    <rPh sb="13" eb="16">
      <t>シンコシガヤ</t>
    </rPh>
    <phoneticPr fontId="2"/>
  </si>
  <si>
    <t>南越谷4-17-5 ラメールヘライビル1F</t>
    <rPh sb="0" eb="3">
      <t>ミナミコシガヤ</t>
    </rPh>
    <phoneticPr fontId="2"/>
  </si>
  <si>
    <t>080-940-8896</t>
    <phoneticPr fontId="2"/>
  </si>
  <si>
    <t>東武スカイツリーライン　新越谷駅　徒歩4分</t>
    <rPh sb="0" eb="2">
      <t>トウブ</t>
    </rPh>
    <rPh sb="12" eb="15">
      <t>シンコシガヤ</t>
    </rPh>
    <rPh sb="15" eb="16">
      <t>エキ</t>
    </rPh>
    <rPh sb="17" eb="19">
      <t>トホ</t>
    </rPh>
    <rPh sb="20" eb="21">
      <t>フン</t>
    </rPh>
    <phoneticPr fontId="2"/>
  </si>
  <si>
    <t>ONEGAME越谷</t>
    <rPh sb="7" eb="9">
      <t>コシガヤ</t>
    </rPh>
    <phoneticPr fontId="2"/>
  </si>
  <si>
    <t>千間台東1-9-9　ドゥ・アドレスビル３F</t>
    <rPh sb="0" eb="4">
      <t>センゲンダイヒガシ</t>
    </rPh>
    <phoneticPr fontId="2"/>
  </si>
  <si>
    <t>070-3822-2773</t>
    <phoneticPr fontId="2"/>
  </si>
  <si>
    <t>東部スカイツリーライン　せんげん台駅　徒歩2分</t>
    <rPh sb="0" eb="2">
      <t>トウブ</t>
    </rPh>
    <rPh sb="16" eb="18">
      <t>ダイエキ</t>
    </rPh>
    <rPh sb="19" eb="21">
      <t>トホ</t>
    </rPh>
    <rPh sb="22" eb="23">
      <t>フン</t>
    </rPh>
    <phoneticPr fontId="2"/>
  </si>
  <si>
    <t>柳島町１５５番４</t>
  </si>
  <si>
    <t>340-0033</t>
    <phoneticPr fontId="2"/>
  </si>
  <si>
    <t>東武スカイツリーライン草加駅西口から川口駅東口行きバス「新堀」下車徒歩１０分</t>
    <rPh sb="0" eb="2">
      <t>トウブ</t>
    </rPh>
    <rPh sb="11" eb="13">
      <t>ソウカ</t>
    </rPh>
    <rPh sb="13" eb="14">
      <t>エキ</t>
    </rPh>
    <rPh sb="14" eb="16">
      <t>ニシグチ</t>
    </rPh>
    <rPh sb="18" eb="21">
      <t>カワグチエキ</t>
    </rPh>
    <rPh sb="21" eb="23">
      <t>ヒガシグチ</t>
    </rPh>
    <rPh sb="23" eb="24">
      <t>ユ</t>
    </rPh>
    <rPh sb="28" eb="30">
      <t>シンボリ</t>
    </rPh>
    <rPh sb="31" eb="33">
      <t>ゲシャ</t>
    </rPh>
    <rPh sb="33" eb="35">
      <t>トホ</t>
    </rPh>
    <rPh sb="37" eb="38">
      <t>プン</t>
    </rPh>
    <phoneticPr fontId="2"/>
  </si>
  <si>
    <t>短期入所　飯能双柳</t>
    <rPh sb="0" eb="4">
      <t>タンキニュウショ</t>
    </rPh>
    <rPh sb="5" eb="7">
      <t>ハンノウ</t>
    </rPh>
    <rPh sb="7" eb="9">
      <t>ナミヤナギ</t>
    </rPh>
    <phoneticPr fontId="5"/>
  </si>
  <si>
    <t>飯能市</t>
    <rPh sb="0" eb="2">
      <t>ハンノウ</t>
    </rPh>
    <rPh sb="2" eb="3">
      <t>シ</t>
    </rPh>
    <phoneticPr fontId="2"/>
  </si>
  <si>
    <t>大字双柳１１８６－１</t>
    <rPh sb="2" eb="4">
      <t>ナミヤナギ</t>
    </rPh>
    <phoneticPr fontId="2"/>
  </si>
  <si>
    <t>042-978-8231</t>
    <phoneticPr fontId="2"/>
  </si>
  <si>
    <t>042-978-8232</t>
    <phoneticPr fontId="2"/>
  </si>
  <si>
    <t>（同）ラボリ</t>
    <rPh sb="1" eb="2">
      <t>どう</t>
    </rPh>
    <phoneticPr fontId="2" type="Hiragana"/>
  </si>
  <si>
    <t>多機能型事業所ブランカ</t>
    <rPh sb="0" eb="7">
      <t>たきのうがたじぎょうしょ</t>
    </rPh>
    <phoneticPr fontId="2" type="Hiragana"/>
  </si>
  <si>
    <t>中新田382番地</t>
    <rPh sb="6" eb="8">
      <t>バンチ</t>
    </rPh>
    <phoneticPr fontId="2"/>
  </si>
  <si>
    <t>350-2226</t>
    <phoneticPr fontId="2" type="Hiragana"/>
  </si>
  <si>
    <t>049-299-7142</t>
    <phoneticPr fontId="2" type="Hiragana"/>
  </si>
  <si>
    <t>049-299-7143</t>
    <phoneticPr fontId="2" type="Hiragana"/>
  </si>
  <si>
    <t>東部越生線一本松駅徒歩４分</t>
    <rPh sb="0" eb="2">
      <t>とうぶ</t>
    </rPh>
    <rPh sb="2" eb="4">
      <t>おごせ</t>
    </rPh>
    <rPh sb="4" eb="5">
      <t>せん</t>
    </rPh>
    <rPh sb="5" eb="8">
      <t>いっぽんまつ</t>
    </rPh>
    <rPh sb="8" eb="9">
      <t>えき</t>
    </rPh>
    <rPh sb="9" eb="11">
      <t>とほ</t>
    </rPh>
    <rPh sb="12" eb="13">
      <t>ふん</t>
    </rPh>
    <phoneticPr fontId="2" type="Hiragana"/>
  </si>
  <si>
    <t>（株）まはろ</t>
    <rPh sb="0" eb="3">
      <t>かぶ</t>
    </rPh>
    <phoneticPr fontId="2" type="Hiragana"/>
  </si>
  <si>
    <t>生活介護まはろ朝霞宮戸</t>
    <rPh sb="0" eb="4">
      <t>せいかつかいご</t>
    </rPh>
    <rPh sb="7" eb="11">
      <t>あさかみやと</t>
    </rPh>
    <phoneticPr fontId="2" type="Hiragana"/>
  </si>
  <si>
    <t>宮戸４丁目２番６０－２０</t>
    <rPh sb="3" eb="5">
      <t>ちょうめ</t>
    </rPh>
    <rPh sb="6" eb="7">
      <t>ばん</t>
    </rPh>
    <phoneticPr fontId="2" type="Hiragana"/>
  </si>
  <si>
    <t>351-0031</t>
    <phoneticPr fontId="2" type="Hiragana"/>
  </si>
  <si>
    <t>048-423-2595</t>
    <phoneticPr fontId="2" type="Hiragana"/>
  </si>
  <si>
    <t>048-423-3105</t>
    <phoneticPr fontId="2" type="Hiragana"/>
  </si>
  <si>
    <t>東武鉄道朝霞台駅から徒歩24分</t>
    <rPh sb="0" eb="2">
      <t>トウブ</t>
    </rPh>
    <rPh sb="2" eb="4">
      <t>テツドウ</t>
    </rPh>
    <rPh sb="4" eb="8">
      <t>アサカダイエキ</t>
    </rPh>
    <rPh sb="10" eb="12">
      <t>トホ</t>
    </rPh>
    <rPh sb="14" eb="15">
      <t>フン</t>
    </rPh>
    <phoneticPr fontId="2"/>
  </si>
  <si>
    <t>あかり学園久喜青毛キャンパス</t>
    <rPh sb="3" eb="5">
      <t>ガクエン</t>
    </rPh>
    <rPh sb="5" eb="7">
      <t>クキ</t>
    </rPh>
    <rPh sb="7" eb="9">
      <t>アオゲ</t>
    </rPh>
    <phoneticPr fontId="2"/>
  </si>
  <si>
    <t>緑区東浦和７－７－７</t>
  </si>
  <si>
    <t>050-6861-9492</t>
  </si>
  <si>
    <t>048-711-3562</t>
  </si>
  <si>
    <t>脇田町15-21　ジョージビルワキタ1階</t>
  </si>
  <si>
    <t>049-299-4213</t>
  </si>
  <si>
    <t>049-299-4214</t>
  </si>
  <si>
    <t>仙波町2-16-31</t>
  </si>
  <si>
    <t>049-225-6360</t>
  </si>
  <si>
    <t>川越駅下車徒歩10分
※就Bの事業所番号は1110402219</t>
    <rPh sb="0" eb="2">
      <t>カワゴエ</t>
    </rPh>
    <rPh sb="2" eb="3">
      <t>エキ</t>
    </rPh>
    <rPh sb="3" eb="5">
      <t>ゲシャ</t>
    </rPh>
    <rPh sb="5" eb="7">
      <t>トホ</t>
    </rPh>
    <rPh sb="9" eb="10">
      <t>フン</t>
    </rPh>
    <rPh sb="12" eb="13">
      <t>シュウ</t>
    </rPh>
    <rPh sb="15" eb="18">
      <t>ジギョウショ</t>
    </rPh>
    <rPh sb="18" eb="20">
      <t>バンゴウ</t>
    </rPh>
    <phoneticPr fontId="2"/>
  </si>
  <si>
    <t>(一社）未来エイト</t>
    <rPh sb="1" eb="3">
      <t>イッシャ</t>
    </rPh>
    <rPh sb="4" eb="6">
      <t>ミライ</t>
    </rPh>
    <phoneticPr fontId="2"/>
  </si>
  <si>
    <t>就労継続支援Ｂ型事業所ジョイフルハウス</t>
    <rPh sb="0" eb="2">
      <t>シュウロウ</t>
    </rPh>
    <rPh sb="2" eb="4">
      <t>ケイゾク</t>
    </rPh>
    <rPh sb="4" eb="6">
      <t>シエン</t>
    </rPh>
    <rPh sb="7" eb="8">
      <t>ガタ</t>
    </rPh>
    <rPh sb="8" eb="11">
      <t>ジギョウショ</t>
    </rPh>
    <phoneticPr fontId="2"/>
  </si>
  <si>
    <t>中央６丁目１－２０　エースビル３Ｆ</t>
    <rPh sb="0" eb="2">
      <t>チュウオウ</t>
    </rPh>
    <rPh sb="3" eb="5">
      <t>チョウメ</t>
    </rPh>
    <phoneticPr fontId="2"/>
  </si>
  <si>
    <t>090-6483-2983</t>
    <phoneticPr fontId="2"/>
  </si>
  <si>
    <t>東部スカイツリーライン春日部駅西口徒歩６分</t>
    <rPh sb="0" eb="2">
      <t>トウブ</t>
    </rPh>
    <rPh sb="11" eb="15">
      <t>カスカベエキ</t>
    </rPh>
    <rPh sb="15" eb="17">
      <t>ニシグチ</t>
    </rPh>
    <rPh sb="17" eb="19">
      <t>トホ</t>
    </rPh>
    <rPh sb="20" eb="21">
      <t>プン</t>
    </rPh>
    <phoneticPr fontId="2"/>
  </si>
  <si>
    <t>垳５３０番５</t>
    <rPh sb="0" eb="1">
      <t>ガケ</t>
    </rPh>
    <rPh sb="4" eb="5">
      <t>バン</t>
    </rPh>
    <phoneticPr fontId="2"/>
  </si>
  <si>
    <t>つくばエクスプレス八潮駅から徒歩１５分</t>
    <rPh sb="9" eb="11">
      <t>ヤシオ</t>
    </rPh>
    <rPh sb="11" eb="12">
      <t>エキ</t>
    </rPh>
    <rPh sb="14" eb="16">
      <t>トホ</t>
    </rPh>
    <rPh sb="18" eb="19">
      <t>フン</t>
    </rPh>
    <phoneticPr fontId="2"/>
  </si>
  <si>
    <t>（株）ハートカンパニー</t>
    <phoneticPr fontId="5"/>
  </si>
  <si>
    <t>就労移行支援事業所　ベルワーク久喜</t>
    <rPh sb="0" eb="9">
      <t>シュウロウイコウシエンジギョウショ</t>
    </rPh>
    <rPh sb="15" eb="17">
      <t>クキ</t>
    </rPh>
    <phoneticPr fontId="2"/>
  </si>
  <si>
    <t>久喜中央２丁目４－１８　イグサビル２階</t>
    <rPh sb="2" eb="4">
      <t>チュウオウ</t>
    </rPh>
    <rPh sb="5" eb="7">
      <t>チョウメ</t>
    </rPh>
    <rPh sb="18" eb="19">
      <t>カイ</t>
    </rPh>
    <phoneticPr fontId="2"/>
  </si>
  <si>
    <t>0480-53-3731</t>
    <phoneticPr fontId="2"/>
  </si>
  <si>
    <t>0480-53-3732</t>
    <phoneticPr fontId="2"/>
  </si>
  <si>
    <t>宇都宮線久喜駅西口徒歩５分</t>
    <rPh sb="0" eb="3">
      <t>ウツノミヤ</t>
    </rPh>
    <rPh sb="3" eb="4">
      <t>セン</t>
    </rPh>
    <rPh sb="4" eb="6">
      <t>クキ</t>
    </rPh>
    <rPh sb="6" eb="7">
      <t>エキ</t>
    </rPh>
    <rPh sb="7" eb="9">
      <t>ニシグチ</t>
    </rPh>
    <rPh sb="9" eb="11">
      <t>トホ</t>
    </rPh>
    <rPh sb="12" eb="13">
      <t>フン</t>
    </rPh>
    <phoneticPr fontId="2"/>
  </si>
  <si>
    <t>(社福)色えんぴつ</t>
    <rPh sb="1" eb="3">
      <t>シャフク</t>
    </rPh>
    <rPh sb="4" eb="5">
      <t>イロ</t>
    </rPh>
    <phoneticPr fontId="2"/>
  </si>
  <si>
    <t>ウーリー新狭山</t>
    <rPh sb="4" eb="7">
      <t>シンサヤマ</t>
    </rPh>
    <phoneticPr fontId="2"/>
  </si>
  <si>
    <t>新狭山２－１５－７　髙橋ビル３階</t>
    <rPh sb="0" eb="3">
      <t>シンサヤマ</t>
    </rPh>
    <rPh sb="10" eb="12">
      <t>タカハシ</t>
    </rPh>
    <rPh sb="15" eb="16">
      <t>カイ</t>
    </rPh>
    <phoneticPr fontId="2"/>
  </si>
  <si>
    <t>04-2955-5560</t>
    <phoneticPr fontId="2"/>
  </si>
  <si>
    <t>西武新宿線「新狭山駅」より徒歩２分</t>
    <rPh sb="0" eb="5">
      <t>セイブシンジュクセン</t>
    </rPh>
    <rPh sb="6" eb="9">
      <t>シンサヤマ</t>
    </rPh>
    <rPh sb="9" eb="10">
      <t>エキ</t>
    </rPh>
    <rPh sb="13" eb="15">
      <t>トホ</t>
    </rPh>
    <rPh sb="16" eb="17">
      <t>フン</t>
    </rPh>
    <phoneticPr fontId="2"/>
  </si>
  <si>
    <t>（株）HeartTrust</t>
    <rPh sb="0" eb="3">
      <t>カブ</t>
    </rPh>
    <phoneticPr fontId="2"/>
  </si>
  <si>
    <t>クレスタ</t>
    <phoneticPr fontId="2"/>
  </si>
  <si>
    <t>あたご３丁目１２－３４</t>
    <rPh sb="4" eb="6">
      <t>チョウメ</t>
    </rPh>
    <phoneticPr fontId="2"/>
  </si>
  <si>
    <t>352-0021</t>
    <phoneticPr fontId="2"/>
  </si>
  <si>
    <t>048-423-3958</t>
    <phoneticPr fontId="2"/>
  </si>
  <si>
    <t>048-423-3959</t>
    <phoneticPr fontId="2"/>
  </si>
  <si>
    <t>JR武蔵野線新座駅徒歩２７分</t>
    <rPh sb="9" eb="11">
      <t>トホ</t>
    </rPh>
    <rPh sb="13" eb="14">
      <t>フン</t>
    </rPh>
    <phoneticPr fontId="2"/>
  </si>
  <si>
    <t>ぷらす</t>
    <phoneticPr fontId="2"/>
  </si>
  <si>
    <t>大字下新井９８７番地の１</t>
    <rPh sb="0" eb="2">
      <t>オオアザ</t>
    </rPh>
    <rPh sb="2" eb="3">
      <t>シモ</t>
    </rPh>
    <rPh sb="3" eb="5">
      <t>アライ</t>
    </rPh>
    <rPh sb="8" eb="10">
      <t>バンチ</t>
    </rPh>
    <phoneticPr fontId="2"/>
  </si>
  <si>
    <t>（同）ライオンズファーム</t>
    <rPh sb="1" eb="2">
      <t>ドウ</t>
    </rPh>
    <phoneticPr fontId="2"/>
  </si>
  <si>
    <t>ふじみ野まーさん弁当</t>
    <rPh sb="3" eb="4">
      <t>ノ</t>
    </rPh>
    <rPh sb="8" eb="10">
      <t>ベントウ</t>
    </rPh>
    <phoneticPr fontId="2"/>
  </si>
  <si>
    <t>亀久保１２３９番地６９</t>
  </si>
  <si>
    <t>356-8556</t>
    <phoneticPr fontId="2"/>
  </si>
  <si>
    <t>049-256-9266</t>
    <phoneticPr fontId="2"/>
  </si>
  <si>
    <t>049-256-9256</t>
    <phoneticPr fontId="2"/>
  </si>
  <si>
    <t>ふじみ野駅よりバス１２分</t>
    <rPh sb="3" eb="4">
      <t>ノ</t>
    </rPh>
    <rPh sb="4" eb="5">
      <t>エキ</t>
    </rPh>
    <rPh sb="11" eb="12">
      <t>フン</t>
    </rPh>
    <phoneticPr fontId="2"/>
  </si>
  <si>
    <t>デイホーム孫の手・めぬま</t>
    <rPh sb="5" eb="6">
      <t>マゴ</t>
    </rPh>
    <rPh sb="7" eb="8">
      <t>テ</t>
    </rPh>
    <phoneticPr fontId="2"/>
  </si>
  <si>
    <t>熊谷市</t>
    <rPh sb="0" eb="2">
      <t>クマガヤ</t>
    </rPh>
    <rPh sb="2" eb="3">
      <t>シ</t>
    </rPh>
    <phoneticPr fontId="2"/>
  </si>
  <si>
    <t>妻沼東２丁目２４番</t>
    <rPh sb="0" eb="2">
      <t>メヌマ</t>
    </rPh>
    <rPh sb="2" eb="3">
      <t>ヒガシ</t>
    </rPh>
    <rPh sb="4" eb="6">
      <t>チョウメ</t>
    </rPh>
    <rPh sb="8" eb="9">
      <t>バン</t>
    </rPh>
    <phoneticPr fontId="2"/>
  </si>
  <si>
    <t>360-0202</t>
    <phoneticPr fontId="2"/>
  </si>
  <si>
    <t>048-577-5708</t>
    <phoneticPr fontId="2"/>
  </si>
  <si>
    <t>048-577-5709</t>
    <phoneticPr fontId="2"/>
  </si>
  <si>
    <t>朝日自動車「妻沼」下車、ハナミズキ通り西へ徒歩5分</t>
    <rPh sb="0" eb="2">
      <t>アサヒ</t>
    </rPh>
    <rPh sb="2" eb="5">
      <t>ジドウシャ</t>
    </rPh>
    <rPh sb="6" eb="8">
      <t>メヌマ</t>
    </rPh>
    <rPh sb="9" eb="11">
      <t>ゲシャ</t>
    </rPh>
    <rPh sb="17" eb="18">
      <t>ドオ</t>
    </rPh>
    <rPh sb="19" eb="20">
      <t>ニシ</t>
    </rPh>
    <rPh sb="21" eb="23">
      <t>トホ</t>
    </rPh>
    <rPh sb="24" eb="25">
      <t>フン</t>
    </rPh>
    <phoneticPr fontId="2"/>
  </si>
  <si>
    <t>あしたのタネ上尾</t>
    <rPh sb="6" eb="8">
      <t>アゲオ</t>
    </rPh>
    <phoneticPr fontId="2"/>
  </si>
  <si>
    <t>あしたのタネ上尾駅前</t>
    <rPh sb="6" eb="8">
      <t>アゲオ</t>
    </rPh>
    <rPh sb="8" eb="10">
      <t>エキマエ</t>
    </rPh>
    <phoneticPr fontId="2"/>
  </si>
  <si>
    <t>346-0002</t>
  </si>
  <si>
    <t>048-782-7034</t>
  </si>
  <si>
    <t>048-611-7238</t>
  </si>
  <si>
    <t>久喜駅西口から徒歩１９分</t>
    <rPh sb="0" eb="2">
      <t>くき</t>
    </rPh>
    <rPh sb="2" eb="3">
      <t>えき</t>
    </rPh>
    <rPh sb="3" eb="5">
      <t>にしぐち</t>
    </rPh>
    <rPh sb="7" eb="9">
      <t>とほ</t>
    </rPh>
    <rPh sb="11" eb="12">
      <t>ふん</t>
    </rPh>
    <phoneticPr fontId="2" type="Hiragana"/>
  </si>
  <si>
    <t>(特非）橙</t>
    <rPh sb="4" eb="5">
      <t>ダイダイ</t>
    </rPh>
    <phoneticPr fontId="12"/>
  </si>
  <si>
    <t>下岩瀬２７９番３</t>
    <phoneticPr fontId="2" type="Hiragana"/>
  </si>
  <si>
    <t>348-0045</t>
  </si>
  <si>
    <t>048-501-6982</t>
  </si>
  <si>
    <t>048-562-4775</t>
  </si>
  <si>
    <t>羽生駅西口から徒歩１６分</t>
    <rPh sb="0" eb="2">
      <t>はにゅう</t>
    </rPh>
    <rPh sb="2" eb="3">
      <t>えき</t>
    </rPh>
    <rPh sb="3" eb="5">
      <t>にしぐち</t>
    </rPh>
    <rPh sb="7" eb="9">
      <t>とほ</t>
    </rPh>
    <rPh sb="11" eb="12">
      <t>ぷん</t>
    </rPh>
    <phoneticPr fontId="2" type="Hiragana"/>
  </si>
  <si>
    <t>グループホームぽぷら</t>
    <phoneticPr fontId="2" type="Hiragana"/>
  </si>
  <si>
    <t>所久喜８３５－１</t>
    <phoneticPr fontId="2" type="Hiragana"/>
  </si>
  <si>
    <t>346-0034</t>
  </si>
  <si>
    <t>0480-23-4711</t>
  </si>
  <si>
    <t>0480-24-1762</t>
  </si>
  <si>
    <t>久喜市いちょうの木</t>
    <phoneticPr fontId="2" type="Hiragana"/>
  </si>
  <si>
    <t>久喜市・（福）啓和会</t>
    <rPh sb="0" eb="3">
      <t>クキシ</t>
    </rPh>
    <rPh sb="5" eb="6">
      <t>フク</t>
    </rPh>
    <rPh sb="7" eb="9">
      <t>ケイワ</t>
    </rPh>
    <rPh sb="9" eb="10">
      <t>カイ</t>
    </rPh>
    <phoneticPr fontId="2"/>
  </si>
  <si>
    <t>久喜駅西口から菖蒲仲橋行バス「清久農協前」下車徒歩2分</t>
    <phoneticPr fontId="2" type="Hiragana"/>
  </si>
  <si>
    <t>+motsu.</t>
    <phoneticPr fontId="2"/>
  </si>
  <si>
    <t>蒲生寿町15-37</t>
    <rPh sb="0" eb="2">
      <t>ガモウ</t>
    </rPh>
    <rPh sb="2" eb="4">
      <t>コトブキチョウ</t>
    </rPh>
    <phoneticPr fontId="2"/>
  </si>
  <si>
    <t>343-0836</t>
    <phoneticPr fontId="2"/>
  </si>
  <si>
    <t>048-967-5604</t>
    <phoneticPr fontId="2"/>
  </si>
  <si>
    <t>東武スカイツリーライン蒲生駅徒歩3分</t>
    <rPh sb="0" eb="2">
      <t>トウブ</t>
    </rPh>
    <rPh sb="11" eb="13">
      <t>ガモウ</t>
    </rPh>
    <rPh sb="13" eb="14">
      <t>エキ</t>
    </rPh>
    <rPh sb="14" eb="16">
      <t>トホ</t>
    </rPh>
    <rPh sb="17" eb="18">
      <t>フン</t>
    </rPh>
    <phoneticPr fontId="2"/>
  </si>
  <si>
    <t>stara大袋</t>
    <rPh sb="5" eb="7">
      <t>オオブクロ</t>
    </rPh>
    <phoneticPr fontId="2"/>
  </si>
  <si>
    <t>343-0032</t>
    <phoneticPr fontId="2"/>
  </si>
  <si>
    <t>東武スカイツリーライン大袋駅徒歩1分</t>
    <rPh sb="0" eb="2">
      <t>トウブ</t>
    </rPh>
    <rPh sb="11" eb="13">
      <t>オオブクロ</t>
    </rPh>
    <rPh sb="13" eb="14">
      <t>エキ</t>
    </rPh>
    <rPh sb="14" eb="16">
      <t>トホ</t>
    </rPh>
    <rPh sb="17" eb="18">
      <t>フン</t>
    </rPh>
    <phoneticPr fontId="2"/>
  </si>
  <si>
    <t>有限会社大和</t>
    <rPh sb="0" eb="4">
      <t>ユウゲンカイシャ</t>
    </rPh>
    <rPh sb="4" eb="6">
      <t>ヤマト</t>
    </rPh>
    <phoneticPr fontId="2"/>
  </si>
  <si>
    <t>R3.1</t>
    <phoneticPr fontId="2"/>
  </si>
  <si>
    <t>浦和区高砂２－６－１８　Ｎｏ．Ｒ浦和　３Ｆ－３</t>
    <phoneticPr fontId="37"/>
  </si>
  <si>
    <t>リハスワークさいたま浦和</t>
    <rPh sb="10" eb="12">
      <t>ウラワ</t>
    </rPh>
    <phoneticPr fontId="36"/>
  </si>
  <si>
    <t>見沼区染谷３－３５６</t>
    <rPh sb="3" eb="5">
      <t>ソメヤ</t>
    </rPh>
    <phoneticPr fontId="42"/>
  </si>
  <si>
    <t>048-796-4200</t>
  </si>
  <si>
    <t>048-796-4201</t>
  </si>
  <si>
    <t>ＪＲ大宮駅から国際興業バス乗車
染谷新道バス停下車徒歩5分</t>
    <phoneticPr fontId="2"/>
  </si>
  <si>
    <t>リワークセンター川越</t>
    <rPh sb="8" eb="10">
      <t>カワゴエ</t>
    </rPh>
    <phoneticPr fontId="2"/>
  </si>
  <si>
    <t>脇田本町14番地38　YKB川越2階</t>
    <rPh sb="0" eb="4">
      <t>ワキタホンチョウ</t>
    </rPh>
    <rPh sb="6" eb="8">
      <t>バンチ</t>
    </rPh>
    <rPh sb="14" eb="16">
      <t>カワゴエ</t>
    </rPh>
    <rPh sb="17" eb="18">
      <t>カイ</t>
    </rPh>
    <phoneticPr fontId="2"/>
  </si>
  <si>
    <t>049-220-8180</t>
    <phoneticPr fontId="2"/>
  </si>
  <si>
    <t>049-220-8181</t>
    <phoneticPr fontId="2"/>
  </si>
  <si>
    <t>JR川越駅から徒歩3分</t>
    <rPh sb="2" eb="4">
      <t>カワゴエ</t>
    </rPh>
    <rPh sb="4" eb="5">
      <t>エキ</t>
    </rPh>
    <rPh sb="7" eb="9">
      <t>トホ</t>
    </rPh>
    <rPh sb="10" eb="11">
      <t>フン</t>
    </rPh>
    <phoneticPr fontId="2"/>
  </si>
  <si>
    <t>049-257-6870</t>
  </si>
  <si>
    <t>就労継続支援Ｂ型事業所　奏</t>
    <rPh sb="0" eb="6">
      <t>しゅうろうけいぞくしえん</t>
    </rPh>
    <rPh sb="7" eb="8">
      <t>がた</t>
    </rPh>
    <rPh sb="8" eb="11">
      <t>じぎょうしょ</t>
    </rPh>
    <rPh sb="12" eb="13">
      <t>かなで</t>
    </rPh>
    <phoneticPr fontId="2" type="Hiragana"/>
  </si>
  <si>
    <t>333-0834</t>
    <phoneticPr fontId="2" type="Hiragana"/>
  </si>
  <si>
    <t>048-201-2967</t>
    <phoneticPr fontId="2" type="Hiragana"/>
  </si>
  <si>
    <t xml:space="preserve"> （バス）新井宿駅から川口駅東口行き「根岸小学校」下車、徒歩７分</t>
    <rPh sb="5" eb="9">
      <t>あらいじゅくえき</t>
    </rPh>
    <rPh sb="11" eb="14">
      <t>かわぐちえき</t>
    </rPh>
    <rPh sb="14" eb="16">
      <t>ひがしぐち</t>
    </rPh>
    <rPh sb="16" eb="17">
      <t>い</t>
    </rPh>
    <rPh sb="19" eb="21">
      <t>ねぎし</t>
    </rPh>
    <rPh sb="21" eb="24">
      <t>しょうがっこう</t>
    </rPh>
    <rPh sb="25" eb="27">
      <t>げしゃ</t>
    </rPh>
    <rPh sb="28" eb="30">
      <t>とほ</t>
    </rPh>
    <rPh sb="31" eb="32">
      <t>ふん</t>
    </rPh>
    <phoneticPr fontId="2" type="Hiragana"/>
  </si>
  <si>
    <t xml:space="preserve"> （バス）西川口駅東口から鳩ヶ谷公団住宅行き「上青木南小入口」下車、徒歩１分　従たる事業所（桜ガーデン）の追加</t>
    <rPh sb="5" eb="9">
      <t>にしかわぐちえき</t>
    </rPh>
    <rPh sb="9" eb="11">
      <t>ひがしぐち</t>
    </rPh>
    <rPh sb="13" eb="16">
      <t>はとがや</t>
    </rPh>
    <rPh sb="16" eb="18">
      <t>こうだん</t>
    </rPh>
    <rPh sb="18" eb="20">
      <t>じゅうたく</t>
    </rPh>
    <rPh sb="20" eb="21">
      <t>い</t>
    </rPh>
    <rPh sb="23" eb="26">
      <t>かみあおき</t>
    </rPh>
    <rPh sb="26" eb="27">
      <t>みなみ</t>
    </rPh>
    <rPh sb="27" eb="28">
      <t>しょう</t>
    </rPh>
    <rPh sb="28" eb="30">
      <t>いりぐち</t>
    </rPh>
    <rPh sb="31" eb="33">
      <t>げしゃ</t>
    </rPh>
    <rPh sb="34" eb="36">
      <t>とほ</t>
    </rPh>
    <rPh sb="37" eb="38">
      <t>ふん</t>
    </rPh>
    <rPh sb="39" eb="40">
      <t>じゅう</t>
    </rPh>
    <rPh sb="42" eb="45">
      <t>じぎょうしょ</t>
    </rPh>
    <rPh sb="46" eb="47">
      <t>さくら</t>
    </rPh>
    <rPh sb="53" eb="55">
      <t>ついか</t>
    </rPh>
    <phoneticPr fontId="2" type="Hiragana"/>
  </si>
  <si>
    <t>グループホーム　プラスassist川口芝</t>
    <rPh sb="17" eb="19">
      <t>かわぐち</t>
    </rPh>
    <rPh sb="19" eb="20">
      <t>しば</t>
    </rPh>
    <phoneticPr fontId="2" type="Hiragana"/>
  </si>
  <si>
    <t>333-0866</t>
    <phoneticPr fontId="2" type="Hiragana"/>
  </si>
  <si>
    <t>048-424-7516</t>
    <phoneticPr fontId="2" type="Hiragana"/>
  </si>
  <si>
    <t>048-424-7517</t>
    <phoneticPr fontId="2" type="Hiragana"/>
  </si>
  <si>
    <t>（バス）蕨駅東口から上根橋行き「消防局入口」徒歩４分</t>
    <rPh sb="4" eb="5">
      <t>わらび</t>
    </rPh>
    <rPh sb="5" eb="6">
      <t>えき</t>
    </rPh>
    <rPh sb="6" eb="8">
      <t>ひがしぐち</t>
    </rPh>
    <rPh sb="10" eb="11">
      <t>かみ</t>
    </rPh>
    <rPh sb="11" eb="12">
      <t>ね</t>
    </rPh>
    <rPh sb="12" eb="13">
      <t>はし</t>
    </rPh>
    <rPh sb="13" eb="14">
      <t>い</t>
    </rPh>
    <rPh sb="16" eb="18">
      <t>しょうぼう</t>
    </rPh>
    <rPh sb="18" eb="19">
      <t>きょく</t>
    </rPh>
    <rPh sb="19" eb="21">
      <t>いりぐち</t>
    </rPh>
    <rPh sb="22" eb="24">
      <t>とほ</t>
    </rPh>
    <rPh sb="25" eb="26">
      <t>ふん</t>
    </rPh>
    <phoneticPr fontId="2" type="Hiragana"/>
  </si>
  <si>
    <t>しんな</t>
  </si>
  <si>
    <t>048-797-8681</t>
  </si>
  <si>
    <t>048-797-8682</t>
  </si>
  <si>
    <t>ゆめの園アクト大宮　多機能型事業所</t>
    <phoneticPr fontId="2"/>
  </si>
  <si>
    <t>ゆめの園アクト浦和　多機能型事業所</t>
    <rPh sb="3" eb="4">
      <t>ソノ</t>
    </rPh>
    <rPh sb="7" eb="9">
      <t>ウラワ</t>
    </rPh>
    <rPh sb="10" eb="14">
      <t>タキノウガタ</t>
    </rPh>
    <rPh sb="14" eb="17">
      <t>ジギョウショ</t>
    </rPh>
    <phoneticPr fontId="2"/>
  </si>
  <si>
    <t>いなほの福祉支援ショートステイ</t>
  </si>
  <si>
    <t>349-0215</t>
  </si>
  <si>
    <t>(特非)あい・あーる</t>
    <phoneticPr fontId="5"/>
  </si>
  <si>
    <t>ショートステイ　ＬＵＡＮＡ</t>
    <phoneticPr fontId="41"/>
  </si>
  <si>
    <t>西金野井２９１－４８</t>
    <phoneticPr fontId="2"/>
  </si>
  <si>
    <t>344-0112</t>
    <phoneticPr fontId="2"/>
  </si>
  <si>
    <t>南桜井駅北口から徒歩１３分</t>
    <rPh sb="0" eb="1">
      <t>ミナミ</t>
    </rPh>
    <rPh sb="1" eb="3">
      <t>サクライ</t>
    </rPh>
    <rPh sb="3" eb="4">
      <t>エキ</t>
    </rPh>
    <rPh sb="4" eb="6">
      <t>キタグチ</t>
    </rPh>
    <rPh sb="8" eb="10">
      <t>トホ</t>
    </rPh>
    <rPh sb="12" eb="13">
      <t>プン</t>
    </rPh>
    <phoneticPr fontId="2"/>
  </si>
  <si>
    <t>ビーハック日中支援型障がい者グループホーム深谷</t>
    <rPh sb="5" eb="23">
      <t>ニッチュウシエンガタショウガイシャグループホームフカヤ</t>
    </rPh>
    <phoneticPr fontId="2"/>
  </si>
  <si>
    <t>深谷市荒川1341</t>
    <rPh sb="0" eb="2">
      <t>フカヤ</t>
    </rPh>
    <rPh sb="2" eb="3">
      <t>シ</t>
    </rPh>
    <rPh sb="3" eb="5">
      <t>アラカワ</t>
    </rPh>
    <phoneticPr fontId="2"/>
  </si>
  <si>
    <t>369-1245</t>
    <phoneticPr fontId="2"/>
  </si>
  <si>
    <t>050-6881-9872</t>
    <phoneticPr fontId="2"/>
  </si>
  <si>
    <t>秩父鉄道秩父本線（秩父線）ふかや花園駅から徒歩11分</t>
    <rPh sb="16" eb="18">
      <t>ハナゾノ</t>
    </rPh>
    <rPh sb="18" eb="19">
      <t>エキ</t>
    </rPh>
    <rPh sb="21" eb="23">
      <t>トホ</t>
    </rPh>
    <rPh sb="25" eb="26">
      <t>フン</t>
    </rPh>
    <phoneticPr fontId="2"/>
  </si>
  <si>
    <t>寄居町</t>
    <rPh sb="0" eb="3">
      <t>ヨリイマチ</t>
    </rPh>
    <phoneticPr fontId="2"/>
  </si>
  <si>
    <t>富田1587-1</t>
    <rPh sb="0" eb="2">
      <t>トミタ</t>
    </rPh>
    <phoneticPr fontId="2"/>
  </si>
  <si>
    <t>369-1216</t>
    <phoneticPr fontId="2"/>
  </si>
  <si>
    <t>048-501-2083</t>
    <phoneticPr fontId="2"/>
  </si>
  <si>
    <t>048-501-2088</t>
    <phoneticPr fontId="2"/>
  </si>
  <si>
    <t>ソーシャルハウス本庄</t>
    <phoneticPr fontId="2"/>
  </si>
  <si>
    <t>今井1102-1</t>
    <rPh sb="0" eb="2">
      <t>イマイ</t>
    </rPh>
    <phoneticPr fontId="2"/>
  </si>
  <si>
    <t>367-0036</t>
    <phoneticPr fontId="2"/>
  </si>
  <si>
    <t>0495-71-7000</t>
    <phoneticPr fontId="2"/>
  </si>
  <si>
    <t>0495-71-7011</t>
    <phoneticPr fontId="2"/>
  </si>
  <si>
    <t>（特）ノーマリゼーション協会</t>
    <rPh sb="1" eb="2">
      <t>トク</t>
    </rPh>
    <rPh sb="12" eb="14">
      <t>キョウカイ</t>
    </rPh>
    <phoneticPr fontId="2"/>
  </si>
  <si>
    <t>和気</t>
    <rPh sb="0" eb="1">
      <t>ワ</t>
    </rPh>
    <rPh sb="1" eb="2">
      <t>キ</t>
    </rPh>
    <phoneticPr fontId="2"/>
  </si>
  <si>
    <t>妻沼1461-4</t>
    <rPh sb="0" eb="2">
      <t>メヌマ</t>
    </rPh>
    <phoneticPr fontId="2"/>
  </si>
  <si>
    <t>360-0201</t>
  </si>
  <si>
    <t>熊谷駅からバス28分</t>
    <rPh sb="0" eb="2">
      <t>クマガヤ</t>
    </rPh>
    <rPh sb="2" eb="3">
      <t>エキ</t>
    </rPh>
    <rPh sb="9" eb="10">
      <t>フン</t>
    </rPh>
    <phoneticPr fontId="2"/>
  </si>
  <si>
    <t>東武越生線川角駅下車徒歩20分
※短期入所事業所番号 1112466808</t>
    <phoneticPr fontId="2"/>
  </si>
  <si>
    <t>グループホームまはろ朝霞宮戸</t>
    <rPh sb="10" eb="14">
      <t>アサカミヤト</t>
    </rPh>
    <phoneticPr fontId="2"/>
  </si>
  <si>
    <t>宮戸４丁目２番６０－２１</t>
    <rPh sb="3" eb="5">
      <t>ちょうめ</t>
    </rPh>
    <rPh sb="6" eb="7">
      <t>ばん</t>
    </rPh>
    <phoneticPr fontId="2" type="Hiragana"/>
  </si>
  <si>
    <t>048-423-2757</t>
    <phoneticPr fontId="2" type="Hiragana"/>
  </si>
  <si>
    <t>048-423-7810</t>
    <phoneticPr fontId="2" type="Hiragana"/>
  </si>
  <si>
    <t>（一社）ひるがお</t>
    <rPh sb="1" eb="2">
      <t>イチ</t>
    </rPh>
    <rPh sb="2" eb="3">
      <t>シャ</t>
    </rPh>
    <phoneticPr fontId="2"/>
  </si>
  <si>
    <t>office HIRUGAO</t>
    <phoneticPr fontId="2"/>
  </si>
  <si>
    <t>脚折字三角1497-23</t>
    <rPh sb="0" eb="2">
      <t>スネオリ</t>
    </rPh>
    <rPh sb="2" eb="3">
      <t>アザ</t>
    </rPh>
    <rPh sb="3" eb="5">
      <t>サンカク</t>
    </rPh>
    <phoneticPr fontId="2"/>
  </si>
  <si>
    <t>049-298-4947</t>
    <phoneticPr fontId="2"/>
  </si>
  <si>
    <t>049-298-4948</t>
    <phoneticPr fontId="2"/>
  </si>
  <si>
    <t>東武東上線若葉駅からつるバス南北線「すねおり団地」下車徒歩1分</t>
    <rPh sb="0" eb="2">
      <t>トウブ</t>
    </rPh>
    <rPh sb="2" eb="5">
      <t>トウジョウセン</t>
    </rPh>
    <rPh sb="5" eb="8">
      <t>ワカバエキ</t>
    </rPh>
    <rPh sb="14" eb="17">
      <t>ナンボクセン</t>
    </rPh>
    <rPh sb="22" eb="24">
      <t>ダンチ</t>
    </rPh>
    <rPh sb="25" eb="27">
      <t>ゲシャ</t>
    </rPh>
    <rPh sb="27" eb="29">
      <t>トホ</t>
    </rPh>
    <rPh sb="30" eb="31">
      <t>フン</t>
    </rPh>
    <phoneticPr fontId="2"/>
  </si>
  <si>
    <t>就労定着支援事業所ひるがお</t>
    <rPh sb="0" eb="9">
      <t>シュウロウテイチャクシエンジギョウショ</t>
    </rPh>
    <phoneticPr fontId="2"/>
  </si>
  <si>
    <t>鶴ヶ島ほっこり村診療所</t>
    <rPh sb="0" eb="3">
      <t>ツルガシマ</t>
    </rPh>
    <rPh sb="7" eb="8">
      <t>ムラ</t>
    </rPh>
    <rPh sb="8" eb="11">
      <t>シンリョウジョ</t>
    </rPh>
    <phoneticPr fontId="5"/>
  </si>
  <si>
    <t>鶴ヶ島市</t>
    <rPh sb="0" eb="3">
      <t>ツルガシマ</t>
    </rPh>
    <rPh sb="3" eb="4">
      <t>シ</t>
    </rPh>
    <phoneticPr fontId="2"/>
  </si>
  <si>
    <t>高倉三ノ輪７７３番地１</t>
    <rPh sb="0" eb="2">
      <t>タカクラ</t>
    </rPh>
    <rPh sb="2" eb="3">
      <t>ミ</t>
    </rPh>
    <rPh sb="4" eb="5">
      <t>ワ</t>
    </rPh>
    <rPh sb="8" eb="10">
      <t>バンチ</t>
    </rPh>
    <phoneticPr fontId="2"/>
  </si>
  <si>
    <t>049-237-7491</t>
    <phoneticPr fontId="2"/>
  </si>
  <si>
    <t>049-237-7492</t>
    <phoneticPr fontId="2"/>
  </si>
  <si>
    <t>栄二丁目11番１５号</t>
    <rPh sb="0" eb="1">
      <t>サカエ</t>
    </rPh>
    <rPh sb="1" eb="2">
      <t>ニ</t>
    </rPh>
    <rPh sb="2" eb="4">
      <t>チョウメ</t>
    </rPh>
    <rPh sb="6" eb="7">
      <t>バン</t>
    </rPh>
    <rPh sb="9" eb="10">
      <t>ゴウ</t>
    </rPh>
    <phoneticPr fontId="2"/>
  </si>
  <si>
    <t>(株)クレール</t>
    <rPh sb="0" eb="3">
      <t>カブ</t>
    </rPh>
    <phoneticPr fontId="2"/>
  </si>
  <si>
    <t>ツバキ</t>
    <phoneticPr fontId="2"/>
  </si>
  <si>
    <t>048-423-5315</t>
    <phoneticPr fontId="2"/>
  </si>
  <si>
    <t>048-423-5316</t>
    <phoneticPr fontId="2"/>
  </si>
  <si>
    <t>（福）彩明会</t>
    <rPh sb="1" eb="2">
      <t>ふく</t>
    </rPh>
    <rPh sb="3" eb="4">
      <t>あや</t>
    </rPh>
    <rPh sb="4" eb="5">
      <t>めい</t>
    </rPh>
    <rPh sb="5" eb="6">
      <t>かい</t>
    </rPh>
    <phoneticPr fontId="2" type="Hiragana"/>
  </si>
  <si>
    <t>グループホームみのりの家　加納</t>
    <phoneticPr fontId="2"/>
  </si>
  <si>
    <t>加納５９５</t>
    <phoneticPr fontId="2" type="Hiragana"/>
  </si>
  <si>
    <t>363-0001</t>
    <phoneticPr fontId="2" type="Hiragana"/>
  </si>
  <si>
    <t>048-856-9733</t>
    <phoneticPr fontId="2" type="Hiragana"/>
  </si>
  <si>
    <t>048-729-7514</t>
    <phoneticPr fontId="2" type="Hiragana"/>
  </si>
  <si>
    <t>H27.4.1指定</t>
    <rPh sb="7" eb="9">
      <t>シテイ</t>
    </rPh>
    <phoneticPr fontId="37"/>
  </si>
  <si>
    <t>大宮駅下車徒歩8分</t>
    <phoneticPr fontId="2" type="Hiragana"/>
  </si>
  <si>
    <t>市町村別短期入所事業所の整備状況</t>
  </si>
  <si>
    <t>No</t>
  </si>
  <si>
    <t>地域</t>
  </si>
  <si>
    <t>事業所数</t>
  </si>
  <si>
    <r>
      <t xml:space="preserve">定員数
</t>
    </r>
    <r>
      <rPr>
        <sz val="11"/>
        <color indexed="8"/>
        <rFont val="ＭＳ Ｐゴシック"/>
        <family val="3"/>
        <charset val="128"/>
      </rPr>
      <t>(単独型＋併設部分）</t>
    </r>
  </si>
  <si>
    <t>総数</t>
  </si>
  <si>
    <t>単独型</t>
  </si>
  <si>
    <t>空床・併設型</t>
  </si>
  <si>
    <t>空床型</t>
  </si>
  <si>
    <t>併設型</t>
  </si>
  <si>
    <t>さいたま</t>
  </si>
  <si>
    <t>川越比企</t>
  </si>
  <si>
    <t>北部</t>
  </si>
  <si>
    <t>南部</t>
  </si>
  <si>
    <t>利根</t>
  </si>
  <si>
    <t>秩父</t>
  </si>
  <si>
    <t>東部</t>
  </si>
  <si>
    <t>県央</t>
  </si>
  <si>
    <t>南西部</t>
  </si>
  <si>
    <t>白岡市</t>
  </si>
  <si>
    <t>東野６－６－２６</t>
    <rPh sb="0" eb="1">
      <t>ヒガシ</t>
    </rPh>
    <rPh sb="1" eb="2">
      <t>ノ</t>
    </rPh>
    <phoneticPr fontId="2"/>
  </si>
  <si>
    <t>アイトライ武蔵浦和センター</t>
    <rPh sb="5" eb="9">
      <t>ムサシウラワ</t>
    </rPh>
    <phoneticPr fontId="40"/>
  </si>
  <si>
    <t>南区別所６－４－２５
NKG別所２F・３F</t>
    <rPh sb="0" eb="2">
      <t>ミナミク</t>
    </rPh>
    <rPh sb="2" eb="4">
      <t>ベッショ</t>
    </rPh>
    <rPh sb="14" eb="16">
      <t>ベッショ</t>
    </rPh>
    <phoneticPr fontId="40"/>
  </si>
  <si>
    <t>048-753-9264</t>
  </si>
  <si>
    <t>048-753-9265</t>
  </si>
  <si>
    <t>ＪＲ武蔵浦和駅から徒歩３分</t>
    <rPh sb="2" eb="7">
      <t>ムサシウラワエキ</t>
    </rPh>
    <rPh sb="9" eb="11">
      <t>トホ</t>
    </rPh>
    <rPh sb="12" eb="13">
      <t>フン</t>
    </rPh>
    <phoneticPr fontId="37"/>
  </si>
  <si>
    <t>LITALICOワークス大宮西口</t>
    <rPh sb="12" eb="14">
      <t>オオミヤ</t>
    </rPh>
    <rPh sb="14" eb="16">
      <t>ニシグチ</t>
    </rPh>
    <phoneticPr fontId="42"/>
  </si>
  <si>
    <t>大宮区桜木町２－４７４　グランファースト大宮１F</t>
    <rPh sb="0" eb="2">
      <t>オオミヤ</t>
    </rPh>
    <rPh sb="2" eb="3">
      <t>ク</t>
    </rPh>
    <rPh sb="3" eb="6">
      <t>サクラギチョウ</t>
    </rPh>
    <rPh sb="20" eb="22">
      <t>オオミヤ</t>
    </rPh>
    <phoneticPr fontId="40"/>
  </si>
  <si>
    <t>ＪＲ大宮駅から徒歩８分</t>
    <rPh sb="2" eb="5">
      <t>オオミヤエキ</t>
    </rPh>
    <rPh sb="7" eb="9">
      <t>トホ</t>
    </rPh>
    <rPh sb="10" eb="11">
      <t>フン</t>
    </rPh>
    <phoneticPr fontId="37"/>
  </si>
  <si>
    <t>リワークセンター大宮東口</t>
    <rPh sb="8" eb="10">
      <t>オオミヤ</t>
    </rPh>
    <rPh sb="10" eb="12">
      <t>ヒガシグチ</t>
    </rPh>
    <phoneticPr fontId="42"/>
  </si>
  <si>
    <t>大宮区仲町２－４１　ＫＥＴＹビル４Ｆ</t>
    <rPh sb="0" eb="3">
      <t>オオミヤク</t>
    </rPh>
    <rPh sb="3" eb="5">
      <t>ナカチョウ</t>
    </rPh>
    <phoneticPr fontId="40"/>
  </si>
  <si>
    <t>ＪＲ大宮駅から徒歩５分</t>
    <rPh sb="2" eb="5">
      <t>オオミヤエキ</t>
    </rPh>
    <rPh sb="7" eb="9">
      <t>トホ</t>
    </rPh>
    <rPh sb="10" eb="11">
      <t>フン</t>
    </rPh>
    <phoneticPr fontId="37"/>
  </si>
  <si>
    <t>障がい者デイサービス　ワーカウト川越</t>
    <phoneticPr fontId="2"/>
  </si>
  <si>
    <t>川越市</t>
    <rPh sb="0" eb="3">
      <t>カワゴエシ</t>
    </rPh>
    <phoneticPr fontId="2"/>
  </si>
  <si>
    <t>小仙波687-1</t>
    <rPh sb="0" eb="3">
      <t>こせんば</t>
    </rPh>
    <phoneticPr fontId="39" type="Hiragana"/>
  </si>
  <si>
    <t>350-0031</t>
  </si>
  <si>
    <t>049-272-7789</t>
  </si>
  <si>
    <t>○</t>
    <phoneticPr fontId="2"/>
  </si>
  <si>
    <t>本川越駅から徒歩26分</t>
    <rPh sb="0" eb="4">
      <t>ホンカワゴエエキ</t>
    </rPh>
    <rPh sb="6" eb="8">
      <t>トホ</t>
    </rPh>
    <rPh sb="10" eb="11">
      <t>フン</t>
    </rPh>
    <phoneticPr fontId="2"/>
  </si>
  <si>
    <t>LITALICOワークス川越</t>
    <rPh sb="12" eb="14">
      <t>カワゴエ</t>
    </rPh>
    <phoneticPr fontId="2"/>
  </si>
  <si>
    <t>脇田本町14-38　YKB川越4階</t>
    <rPh sb="0" eb="4">
      <t>ワキタホンチョウ</t>
    </rPh>
    <rPh sb="13" eb="15">
      <t>カワゴエ</t>
    </rPh>
    <rPh sb="16" eb="17">
      <t>カイ</t>
    </rPh>
    <phoneticPr fontId="2"/>
  </si>
  <si>
    <t>350-1123</t>
    <phoneticPr fontId="2"/>
  </si>
  <si>
    <t>049-220-3205</t>
    <phoneticPr fontId="2"/>
  </si>
  <si>
    <t>049-220-3206</t>
    <phoneticPr fontId="2"/>
  </si>
  <si>
    <t>川越駅から徒歩3分、就労移行支援「LITALICOワークス」と一体的運営</t>
    <rPh sb="0" eb="2">
      <t>カワゴエ</t>
    </rPh>
    <rPh sb="2" eb="3">
      <t>エキ</t>
    </rPh>
    <rPh sb="5" eb="7">
      <t>トホ</t>
    </rPh>
    <rPh sb="8" eb="9">
      <t>フン</t>
    </rPh>
    <rPh sb="10" eb="12">
      <t>シュウロウ</t>
    </rPh>
    <rPh sb="12" eb="14">
      <t>イコウ</t>
    </rPh>
    <rPh sb="14" eb="16">
      <t>シエン</t>
    </rPh>
    <rPh sb="31" eb="34">
      <t>イッタイテキ</t>
    </rPh>
    <rPh sb="34" eb="36">
      <t>ウンエイ</t>
    </rPh>
    <phoneticPr fontId="2"/>
  </si>
  <si>
    <t>（株）LITALICOパートナーズ</t>
  </si>
  <si>
    <t>就労定着支援事業所リンクス川越東口</t>
    <rPh sb="0" eb="2">
      <t>シュウロウ</t>
    </rPh>
    <rPh sb="2" eb="4">
      <t>テイチャク</t>
    </rPh>
    <rPh sb="4" eb="6">
      <t>シエン</t>
    </rPh>
    <rPh sb="6" eb="9">
      <t>ジギョウショ</t>
    </rPh>
    <rPh sb="13" eb="15">
      <t>カワゴエ</t>
    </rPh>
    <rPh sb="15" eb="17">
      <t>ヒガシグチ</t>
    </rPh>
    <phoneticPr fontId="2"/>
  </si>
  <si>
    <t>脇田町16-29　川越脇田ビル4階</t>
    <rPh sb="0" eb="2">
      <t>ワキタ</t>
    </rPh>
    <rPh sb="2" eb="3">
      <t>マチ</t>
    </rPh>
    <rPh sb="9" eb="11">
      <t>カワゴエ</t>
    </rPh>
    <rPh sb="11" eb="13">
      <t>ワキタ</t>
    </rPh>
    <rPh sb="16" eb="17">
      <t>カイ</t>
    </rPh>
    <phoneticPr fontId="2"/>
  </si>
  <si>
    <t>350-1122</t>
    <phoneticPr fontId="2"/>
  </si>
  <si>
    <t>049-298-4906</t>
    <phoneticPr fontId="2"/>
  </si>
  <si>
    <t>049-298-4907</t>
    <phoneticPr fontId="2"/>
  </si>
  <si>
    <t>川越駅から徒歩3分、就労移行支援「就労移行支援事業所リンクス川越東口」と一体的運営</t>
    <rPh sb="0" eb="2">
      <t>カワゴエ</t>
    </rPh>
    <rPh sb="2" eb="3">
      <t>エキ</t>
    </rPh>
    <rPh sb="5" eb="7">
      <t>トホ</t>
    </rPh>
    <rPh sb="8" eb="9">
      <t>フン</t>
    </rPh>
    <rPh sb="10" eb="12">
      <t>シュウロウ</t>
    </rPh>
    <rPh sb="12" eb="14">
      <t>イコウ</t>
    </rPh>
    <rPh sb="14" eb="16">
      <t>シエン</t>
    </rPh>
    <rPh sb="17" eb="19">
      <t>シュウロウ</t>
    </rPh>
    <rPh sb="19" eb="21">
      <t>イコウ</t>
    </rPh>
    <rPh sb="21" eb="23">
      <t>シエン</t>
    </rPh>
    <rPh sb="23" eb="26">
      <t>ジギョウショ</t>
    </rPh>
    <rPh sb="30" eb="34">
      <t>カワゴエヒガシグチ</t>
    </rPh>
    <rPh sb="36" eb="39">
      <t>イッタイテキ</t>
    </rPh>
    <rPh sb="39" eb="41">
      <t>ウンエイ</t>
    </rPh>
    <phoneticPr fontId="2"/>
  </si>
  <si>
    <t>川口市</t>
    <rPh sb="0" eb="2">
      <t>かわぐち</t>
    </rPh>
    <rPh sb="2" eb="3">
      <t>し</t>
    </rPh>
    <phoneticPr fontId="2" type="Hiragana"/>
  </si>
  <si>
    <t>ピュアリス　ノア壱番館</t>
    <rPh sb="8" eb="11">
      <t>いちばんかん</t>
    </rPh>
    <phoneticPr fontId="2" type="Hiragana"/>
  </si>
  <si>
    <t>332-0003</t>
    <phoneticPr fontId="2" type="Hiragana"/>
  </si>
  <si>
    <t>048-299-9388</t>
    <phoneticPr fontId="2" type="Hiragana"/>
  </si>
  <si>
    <t>048-299-9389</t>
    <phoneticPr fontId="2" type="Hiragana"/>
  </si>
  <si>
    <t>（バス）川口駅東口から東領家一丁目行き「領家小学校裏」下車、徒歩４分</t>
    <rPh sb="4" eb="7">
      <t>かわぐちえき</t>
    </rPh>
    <rPh sb="7" eb="9">
      <t>ひがしぐち</t>
    </rPh>
    <rPh sb="11" eb="14">
      <t>ひがしりょうけ</t>
    </rPh>
    <rPh sb="14" eb="17">
      <t>いっちょうめ</t>
    </rPh>
    <rPh sb="17" eb="18">
      <t>い</t>
    </rPh>
    <rPh sb="20" eb="22">
      <t>りょうけ</t>
    </rPh>
    <rPh sb="22" eb="25">
      <t>しょうがっこう</t>
    </rPh>
    <rPh sb="25" eb="26">
      <t>うら</t>
    </rPh>
    <rPh sb="27" eb="29">
      <t>げしゃ</t>
    </rPh>
    <rPh sb="30" eb="32">
      <t>とほ</t>
    </rPh>
    <rPh sb="33" eb="34">
      <t>ふん</t>
    </rPh>
    <phoneticPr fontId="2" type="Hiragana"/>
  </si>
  <si>
    <t>(特非)クローバー</t>
    <rPh sb="1" eb="3">
      <t>とくひ</t>
    </rPh>
    <phoneticPr fontId="2" type="Hiragana"/>
  </si>
  <si>
    <t>あーとふぁくとりー</t>
    <phoneticPr fontId="2"/>
  </si>
  <si>
    <t>瀬崎二丁目５０番２２号クローバーⅠ</t>
    <rPh sb="0" eb="2">
      <t>せざき</t>
    </rPh>
    <rPh sb="2" eb="5">
      <t>にちょうめ</t>
    </rPh>
    <rPh sb="7" eb="8">
      <t>ばん</t>
    </rPh>
    <rPh sb="10" eb="11">
      <t>ごう</t>
    </rPh>
    <phoneticPr fontId="2" type="Hiragana"/>
  </si>
  <si>
    <t>340-0022</t>
    <phoneticPr fontId="2" type="Hiragana"/>
  </si>
  <si>
    <t>048-920-6321</t>
    <phoneticPr fontId="2" type="Hiragana"/>
  </si>
  <si>
    <t>048-920-6324</t>
    <phoneticPr fontId="2" type="Hiragana"/>
  </si>
  <si>
    <t>東武スカイツリーライン谷塚駅から徒歩１２分
※児童発達支援、放課後等デイサービスとの多機能</t>
    <rPh sb="0" eb="2">
      <t>トウブ</t>
    </rPh>
    <rPh sb="11" eb="14">
      <t>ヤツカエキ</t>
    </rPh>
    <rPh sb="16" eb="18">
      <t>トホ</t>
    </rPh>
    <rPh sb="20" eb="21">
      <t>フン</t>
    </rPh>
    <rPh sb="23" eb="29">
      <t>ジドウハッタツシエン</t>
    </rPh>
    <rPh sb="30" eb="34">
      <t>ホウカゴトウ</t>
    </rPh>
    <rPh sb="42" eb="45">
      <t>タキノウ</t>
    </rPh>
    <phoneticPr fontId="2"/>
  </si>
  <si>
    <t>（医）昭友会</t>
    <rPh sb="1" eb="2">
      <t>イ</t>
    </rPh>
    <rPh sb="3" eb="4">
      <t>アキラ</t>
    </rPh>
    <rPh sb="4" eb="5">
      <t>ユウ</t>
    </rPh>
    <rPh sb="5" eb="6">
      <t>カイ</t>
    </rPh>
    <phoneticPr fontId="2"/>
  </si>
  <si>
    <t>第二シンフォニー</t>
    <rPh sb="0" eb="2">
      <t>ダイ２</t>
    </rPh>
    <phoneticPr fontId="2"/>
  </si>
  <si>
    <t>滑川町</t>
    <rPh sb="0" eb="3">
      <t>ナメカワマチ</t>
    </rPh>
    <phoneticPr fontId="2"/>
  </si>
  <si>
    <t>和泉７０８－１</t>
    <rPh sb="0" eb="2">
      <t>イズミ</t>
    </rPh>
    <phoneticPr fontId="2"/>
  </si>
  <si>
    <t>355-0807</t>
    <phoneticPr fontId="2"/>
  </si>
  <si>
    <t>0493-56-3430</t>
    <phoneticPr fontId="2"/>
  </si>
  <si>
    <t>0493-56-3431</t>
    <phoneticPr fontId="2"/>
  </si>
  <si>
    <t>東武東上線武蔵嵐山駅から車で１２分</t>
    <rPh sb="0" eb="5">
      <t>トウブトウジョウセン</t>
    </rPh>
    <rPh sb="5" eb="7">
      <t>ムサシ</t>
    </rPh>
    <rPh sb="7" eb="9">
      <t>ランザン</t>
    </rPh>
    <rPh sb="9" eb="10">
      <t>エキ</t>
    </rPh>
    <rPh sb="12" eb="13">
      <t>クルマ</t>
    </rPh>
    <rPh sb="16" eb="17">
      <t>フン</t>
    </rPh>
    <phoneticPr fontId="2"/>
  </si>
  <si>
    <t>ショートステイ楽しいわが家</t>
    <rPh sb="7" eb="8">
      <t>タノ</t>
    </rPh>
    <rPh sb="12" eb="13">
      <t>イエ</t>
    </rPh>
    <phoneticPr fontId="2"/>
  </si>
  <si>
    <t>大谷本郷232-5</t>
    <rPh sb="0" eb="2">
      <t>おおたに</t>
    </rPh>
    <rPh sb="2" eb="4">
      <t>ほんごう</t>
    </rPh>
    <phoneticPr fontId="2" type="Hiragana"/>
  </si>
  <si>
    <t>362-0044</t>
    <phoneticPr fontId="2" type="Hiragana"/>
  </si>
  <si>
    <t>048-788-5006</t>
    <phoneticPr fontId="2" type="Hiragana"/>
  </si>
  <si>
    <t>JR上尾駅から車で１２分</t>
    <rPh sb="2" eb="5">
      <t>アゲオエキ</t>
    </rPh>
    <rPh sb="7" eb="8">
      <t>クルマ</t>
    </rPh>
    <rPh sb="11" eb="12">
      <t>フン</t>
    </rPh>
    <phoneticPr fontId="2"/>
  </si>
  <si>
    <t>ＮＳコーポレーション（同）</t>
    <rPh sb="11" eb="12">
      <t>ドウ</t>
    </rPh>
    <phoneticPr fontId="2"/>
  </si>
  <si>
    <t>まごころホーム大井武蔵野</t>
    <rPh sb="7" eb="12">
      <t>オオイムサシノ</t>
    </rPh>
    <phoneticPr fontId="2"/>
  </si>
  <si>
    <t>大井武蔵野１３１７－１</t>
    <rPh sb="0" eb="5">
      <t>オオイムサシノ</t>
    </rPh>
    <phoneticPr fontId="2"/>
  </si>
  <si>
    <t>356-0054</t>
    <phoneticPr fontId="2"/>
  </si>
  <si>
    <t>049-265-4324</t>
    <phoneticPr fontId="2"/>
  </si>
  <si>
    <t>049-265-4325</t>
    <phoneticPr fontId="2"/>
  </si>
  <si>
    <t>東武東上線ふじみ野駅から東部バス「西原住宅入口」下車徒歩9分</t>
    <rPh sb="0" eb="5">
      <t>トウブトウジョウセン</t>
    </rPh>
    <rPh sb="8" eb="9">
      <t>ノ</t>
    </rPh>
    <rPh sb="9" eb="10">
      <t>エキ</t>
    </rPh>
    <rPh sb="12" eb="14">
      <t>トウブ</t>
    </rPh>
    <rPh sb="17" eb="21">
      <t>ニシハラジュウタク</t>
    </rPh>
    <rPh sb="21" eb="23">
      <t>イリグチ</t>
    </rPh>
    <rPh sb="24" eb="26">
      <t>ゲシャ</t>
    </rPh>
    <rPh sb="26" eb="28">
      <t>トホ</t>
    </rPh>
    <rPh sb="29" eb="30">
      <t>フン</t>
    </rPh>
    <phoneticPr fontId="2"/>
  </si>
  <si>
    <t>（株）LITALICOパートナーズ</t>
    <phoneticPr fontId="5"/>
  </si>
  <si>
    <t>LITALICOワークス春日部</t>
    <rPh sb="12" eb="15">
      <t>カスカベ</t>
    </rPh>
    <phoneticPr fontId="2"/>
  </si>
  <si>
    <t>048-753-4380</t>
    <phoneticPr fontId="2"/>
  </si>
  <si>
    <t>048-753-4381</t>
    <phoneticPr fontId="2"/>
  </si>
  <si>
    <t>春日部駅西口徒歩３分</t>
    <rPh sb="0" eb="4">
      <t>カスカベエキ</t>
    </rPh>
    <rPh sb="4" eb="6">
      <t>ニシグチ</t>
    </rPh>
    <rPh sb="6" eb="8">
      <t>トホ</t>
    </rPh>
    <rPh sb="9" eb="10">
      <t>フン</t>
    </rPh>
    <phoneticPr fontId="2"/>
  </si>
  <si>
    <t>相模町5-228-4</t>
    <rPh sb="0" eb="3">
      <t>サガミチョウ</t>
    </rPh>
    <phoneticPr fontId="2"/>
  </si>
  <si>
    <t>343-0823</t>
    <phoneticPr fontId="2"/>
  </si>
  <si>
    <t>048-972-5269</t>
    <phoneticPr fontId="2"/>
  </si>
  <si>
    <t>048-972-5289</t>
    <phoneticPr fontId="2"/>
  </si>
  <si>
    <t>JR武蔵野線越谷レイクタウン駅徒歩10分</t>
    <rPh sb="2" eb="6">
      <t>ムサシノセン</t>
    </rPh>
    <rPh sb="6" eb="8">
      <t>コシガヤ</t>
    </rPh>
    <rPh sb="14" eb="15">
      <t>エキ</t>
    </rPh>
    <rPh sb="15" eb="17">
      <t>トホ</t>
    </rPh>
    <rPh sb="19" eb="20">
      <t>プン</t>
    </rPh>
    <phoneticPr fontId="2"/>
  </si>
  <si>
    <t>チャレンジドファクトリー</t>
    <phoneticPr fontId="2"/>
  </si>
  <si>
    <t>東越谷1-1-23</t>
    <rPh sb="0" eb="3">
      <t>ヒガシコシガヤ</t>
    </rPh>
    <phoneticPr fontId="2"/>
  </si>
  <si>
    <t>090-1011-8710</t>
    <phoneticPr fontId="2"/>
  </si>
  <si>
    <t>東武スカイツリーライン越谷駅徒歩15分</t>
    <rPh sb="0" eb="2">
      <t>トウブ</t>
    </rPh>
    <rPh sb="11" eb="13">
      <t>コシガヤ</t>
    </rPh>
    <rPh sb="13" eb="14">
      <t>エキ</t>
    </rPh>
    <rPh sb="14" eb="16">
      <t>トホ</t>
    </rPh>
    <rPh sb="18" eb="19">
      <t>フン</t>
    </rPh>
    <phoneticPr fontId="2"/>
  </si>
  <si>
    <t>JR東浦和駅から徒歩7分</t>
    <rPh sb="2" eb="6">
      <t>ヒガシウラワエキ</t>
    </rPh>
    <rPh sb="8" eb="10">
      <t>トホ</t>
    </rPh>
    <rPh sb="11" eb="12">
      <t>フン</t>
    </rPh>
    <phoneticPr fontId="37"/>
  </si>
  <si>
    <t>ラシクラボさいたま新都心</t>
    <rPh sb="9" eb="12">
      <t>シントシン</t>
    </rPh>
    <phoneticPr fontId="36"/>
  </si>
  <si>
    <t>大宮区吉敷町４－２４８－５　新都心プラチナビル１階</t>
    <rPh sb="0" eb="3">
      <t>オオミヤク</t>
    </rPh>
    <rPh sb="3" eb="6">
      <t>キシキチョウ</t>
    </rPh>
    <rPh sb="14" eb="17">
      <t>シントシン</t>
    </rPh>
    <rPh sb="24" eb="25">
      <t>カイ</t>
    </rPh>
    <phoneticPr fontId="58"/>
  </si>
  <si>
    <t>048-871-5778</t>
  </si>
  <si>
    <t>048-871-5779</t>
  </si>
  <si>
    <t>JRさいたま新都心駅から徒歩２分</t>
    <rPh sb="6" eb="9">
      <t>シントシン</t>
    </rPh>
    <rPh sb="9" eb="10">
      <t>エキ</t>
    </rPh>
    <rPh sb="12" eb="14">
      <t>トホ</t>
    </rPh>
    <rPh sb="15" eb="16">
      <t>フン</t>
    </rPh>
    <phoneticPr fontId="37"/>
  </si>
  <si>
    <t>見沼区南中野４５２－１２</t>
    <rPh sb="0" eb="2">
      <t>ミヌマ</t>
    </rPh>
    <rPh sb="2" eb="3">
      <t>ク</t>
    </rPh>
    <rPh sb="3" eb="4">
      <t>ミナミ</t>
    </rPh>
    <rPh sb="4" eb="6">
      <t>ナカノ</t>
    </rPh>
    <phoneticPr fontId="37"/>
  </si>
  <si>
    <t>JR大宮駅東口から国際興業バス乗車
南中野バス停から徒歩１分</t>
    <rPh sb="2" eb="5">
      <t>オオミヤエキ</t>
    </rPh>
    <rPh sb="5" eb="7">
      <t>ヒガシグチ</t>
    </rPh>
    <rPh sb="9" eb="13">
      <t>コクサイコウギョウ</t>
    </rPh>
    <rPh sb="15" eb="17">
      <t>ジョウシャ</t>
    </rPh>
    <rPh sb="18" eb="19">
      <t>ミナミ</t>
    </rPh>
    <rPh sb="19" eb="21">
      <t>ナカノ</t>
    </rPh>
    <rPh sb="23" eb="24">
      <t>テイ</t>
    </rPh>
    <rPh sb="26" eb="28">
      <t>トホ</t>
    </rPh>
    <rPh sb="29" eb="30">
      <t>フン</t>
    </rPh>
    <phoneticPr fontId="37"/>
  </si>
  <si>
    <t>ベル大宮</t>
    <rPh sb="2" eb="4">
      <t>オオミヤ</t>
    </rPh>
    <phoneticPr fontId="36"/>
  </si>
  <si>
    <t>048-788-5245</t>
  </si>
  <si>
    <t>048-788-5246</t>
  </si>
  <si>
    <t>20</t>
    <phoneticPr fontId="37"/>
  </si>
  <si>
    <t>JR大宮駅から徒歩８分</t>
    <rPh sb="2" eb="4">
      <t>オオミヤ</t>
    </rPh>
    <rPh sb="4" eb="5">
      <t>エキ</t>
    </rPh>
    <rPh sb="7" eb="9">
      <t>トホ</t>
    </rPh>
    <rPh sb="10" eb="11">
      <t>フン</t>
    </rPh>
    <phoneticPr fontId="37"/>
  </si>
  <si>
    <t>048-823-3777</t>
  </si>
  <si>
    <t>048-823-3778</t>
  </si>
  <si>
    <t>妻沼つくし</t>
    <rPh sb="0" eb="2">
      <t>メヌマ</t>
    </rPh>
    <phoneticPr fontId="2"/>
  </si>
  <si>
    <t>中新田東山382</t>
    <rPh sb="0" eb="3">
      <t>ナカシンデン</t>
    </rPh>
    <rPh sb="3" eb="5">
      <t>ヒガシヤマ</t>
    </rPh>
    <phoneticPr fontId="2"/>
  </si>
  <si>
    <t>東武鉄道越生線一本松駅から徒歩9分</t>
    <rPh sb="0" eb="2">
      <t>トウブ</t>
    </rPh>
    <rPh sb="2" eb="4">
      <t>テツドウ</t>
    </rPh>
    <rPh sb="4" eb="6">
      <t>オゴセ</t>
    </rPh>
    <rPh sb="6" eb="7">
      <t>セン</t>
    </rPh>
    <rPh sb="7" eb="10">
      <t>イッポンマツ</t>
    </rPh>
    <rPh sb="10" eb="11">
      <t>エキ</t>
    </rPh>
    <rPh sb="13" eb="15">
      <t>トホ</t>
    </rPh>
    <rPh sb="16" eb="17">
      <t>フン</t>
    </rPh>
    <phoneticPr fontId="2"/>
  </si>
  <si>
    <t>（福）弘勝会色えんぴつ</t>
    <rPh sb="1" eb="2">
      <t>フク</t>
    </rPh>
    <rPh sb="3" eb="7">
      <t>ヒロカツカイイロ</t>
    </rPh>
    <phoneticPr fontId="2"/>
  </si>
  <si>
    <t>色えんぴつ　空　短期入所</t>
    <rPh sb="0" eb="1">
      <t>イロ</t>
    </rPh>
    <rPh sb="6" eb="7">
      <t>ソラ</t>
    </rPh>
    <rPh sb="8" eb="12">
      <t>タンキニュウショ</t>
    </rPh>
    <phoneticPr fontId="2"/>
  </si>
  <si>
    <t>今泉762－2</t>
    <rPh sb="0" eb="2">
      <t>イマイズミ</t>
    </rPh>
    <phoneticPr fontId="2"/>
  </si>
  <si>
    <t>048-598-8332</t>
    <phoneticPr fontId="2"/>
  </si>
  <si>
    <t>048-598-8335</t>
    <phoneticPr fontId="2"/>
  </si>
  <si>
    <t>（一社）ウイズタイムハウス</t>
    <rPh sb="1" eb="3">
      <t>イッシャ</t>
    </rPh>
    <phoneticPr fontId="2"/>
  </si>
  <si>
    <t>ウイズタイムホーム/上尾ステイ</t>
    <rPh sb="9" eb="12">
      <t>･アゲオ</t>
    </rPh>
    <phoneticPr fontId="2"/>
  </si>
  <si>
    <t>春日２－２４－２０</t>
    <rPh sb="0" eb="2">
      <t>カスガ</t>
    </rPh>
    <phoneticPr fontId="2"/>
  </si>
  <si>
    <t>362-0074</t>
    <phoneticPr fontId="2"/>
  </si>
  <si>
    <t>048ｰ788-1299</t>
    <phoneticPr fontId="2"/>
  </si>
  <si>
    <t>上尾駅西口より市内循環バス「ぐるっとくん」大石桶川線「保健センター前」下車３分</t>
    <rPh sb="0" eb="3">
      <t>アゲオエキ</t>
    </rPh>
    <rPh sb="3" eb="5">
      <t>ニシグチ</t>
    </rPh>
    <rPh sb="7" eb="11">
      <t>シナイジュンカン</t>
    </rPh>
    <rPh sb="21" eb="23">
      <t>オオイシ</t>
    </rPh>
    <rPh sb="23" eb="26">
      <t>オケガワセン</t>
    </rPh>
    <rPh sb="27" eb="29">
      <t>ホケン</t>
    </rPh>
    <rPh sb="33" eb="34">
      <t>マエ</t>
    </rPh>
    <rPh sb="35" eb="37">
      <t>ゲシャ</t>
    </rPh>
    <rPh sb="38" eb="39">
      <t>フン</t>
    </rPh>
    <phoneticPr fontId="2"/>
  </si>
  <si>
    <t>（特非）Ｊａｐａｎ　Ｉｍｐｒｏｖｅｍｅｎｔ　Ａｓｓｏｃｉａｔｉｏｎ</t>
    <rPh sb="1" eb="3">
      <t>トクヒ</t>
    </rPh>
    <phoneticPr fontId="2"/>
  </si>
  <si>
    <t>就労継続支援Ａ型事業所　あある</t>
    <rPh sb="0" eb="2">
      <t>シュウロウ</t>
    </rPh>
    <rPh sb="2" eb="4">
      <t>ケイゾク</t>
    </rPh>
    <rPh sb="4" eb="6">
      <t>シエン</t>
    </rPh>
    <rPh sb="7" eb="8">
      <t>ガタ</t>
    </rPh>
    <rPh sb="8" eb="11">
      <t>ジギョウショ</t>
    </rPh>
    <phoneticPr fontId="2"/>
  </si>
  <si>
    <t>両新田西町１３－４</t>
    <rPh sb="0" eb="3">
      <t>リョウシンデン</t>
    </rPh>
    <rPh sb="3" eb="4">
      <t>ニシ</t>
    </rPh>
    <rPh sb="4" eb="5">
      <t>マチ</t>
    </rPh>
    <phoneticPr fontId="2"/>
  </si>
  <si>
    <t>340-0027</t>
    <phoneticPr fontId="2"/>
  </si>
  <si>
    <t>竹ノ塚駅西口から新里循環竹ノ塚車庫行バス「谷塚上町」下車徒歩５分</t>
    <rPh sb="0" eb="1">
      <t>タケ</t>
    </rPh>
    <rPh sb="2" eb="3">
      <t>ツカ</t>
    </rPh>
    <rPh sb="3" eb="4">
      <t>エキ</t>
    </rPh>
    <rPh sb="4" eb="6">
      <t>ニシグチ</t>
    </rPh>
    <rPh sb="8" eb="10">
      <t>アラサト</t>
    </rPh>
    <rPh sb="10" eb="12">
      <t>ジュンカン</t>
    </rPh>
    <rPh sb="12" eb="13">
      <t>タケ</t>
    </rPh>
    <rPh sb="14" eb="15">
      <t>ツカ</t>
    </rPh>
    <rPh sb="15" eb="18">
      <t>シャコユキ</t>
    </rPh>
    <rPh sb="21" eb="23">
      <t>ヤツカ</t>
    </rPh>
    <rPh sb="23" eb="25">
      <t>カミマチ</t>
    </rPh>
    <rPh sb="26" eb="30">
      <t>ゲシャトホ</t>
    </rPh>
    <rPh sb="31" eb="32">
      <t>フン</t>
    </rPh>
    <phoneticPr fontId="2"/>
  </si>
  <si>
    <t>（合）ビームスキャリア</t>
    <rPh sb="1" eb="2">
      <t>ゴウ</t>
    </rPh>
    <phoneticPr fontId="2"/>
  </si>
  <si>
    <t>ブロッサムワークス草加</t>
    <rPh sb="9" eb="11">
      <t>ソウカ</t>
    </rPh>
    <phoneticPr fontId="2"/>
  </si>
  <si>
    <t>氷川町2104-6　篠ビル5F</t>
    <rPh sb="0" eb="2">
      <t>ヒカワ</t>
    </rPh>
    <rPh sb="2" eb="3">
      <t>チョウ</t>
    </rPh>
    <rPh sb="10" eb="11">
      <t>シノ</t>
    </rPh>
    <phoneticPr fontId="2"/>
  </si>
  <si>
    <t>048-940-2026</t>
    <phoneticPr fontId="2"/>
  </si>
  <si>
    <t>048-940-2028</t>
    <phoneticPr fontId="2"/>
  </si>
  <si>
    <t>東武スカイツリーライン草加駅徒歩５分</t>
    <rPh sb="0" eb="2">
      <t>トウブ</t>
    </rPh>
    <rPh sb="11" eb="14">
      <t>ソウカエキ</t>
    </rPh>
    <rPh sb="14" eb="16">
      <t>トホ</t>
    </rPh>
    <rPh sb="17" eb="18">
      <t>フン</t>
    </rPh>
    <phoneticPr fontId="2"/>
  </si>
  <si>
    <t>（株）Ｈ＆Ｓ</t>
    <phoneticPr fontId="2"/>
  </si>
  <si>
    <t>ほたるの郷</t>
    <phoneticPr fontId="2"/>
  </si>
  <si>
    <t>道佛３丁目２９－１</t>
    <phoneticPr fontId="2"/>
  </si>
  <si>
    <t>345-0811</t>
    <phoneticPr fontId="2"/>
  </si>
  <si>
    <t>0480-48-6492</t>
    <phoneticPr fontId="2"/>
  </si>
  <si>
    <t>0480-48-6493</t>
    <phoneticPr fontId="2"/>
  </si>
  <si>
    <t>東武スカイツリーライン東武動物公園駅下車徒歩２５分</t>
    <rPh sb="0" eb="2">
      <t>トウブ</t>
    </rPh>
    <rPh sb="11" eb="18">
      <t>トウブドウブツコウエンエキ</t>
    </rPh>
    <rPh sb="18" eb="20">
      <t>ゲシャ</t>
    </rPh>
    <rPh sb="20" eb="22">
      <t>トホ</t>
    </rPh>
    <rPh sb="24" eb="25">
      <t>フン</t>
    </rPh>
    <phoneticPr fontId="2"/>
  </si>
  <si>
    <t>（株）松葉屋</t>
    <rPh sb="1" eb="2">
      <t>カブ</t>
    </rPh>
    <rPh sb="3" eb="6">
      <t>マツバヤ</t>
    </rPh>
    <phoneticPr fontId="2"/>
  </si>
  <si>
    <t>ひとは</t>
    <phoneticPr fontId="2"/>
  </si>
  <si>
    <t>梅田３丁目１７４</t>
    <rPh sb="0" eb="2">
      <t>ウメダ</t>
    </rPh>
    <rPh sb="3" eb="5">
      <t>チョウメ</t>
    </rPh>
    <phoneticPr fontId="2"/>
  </si>
  <si>
    <t>048-812-7513</t>
    <phoneticPr fontId="2"/>
  </si>
  <si>
    <t>春日部駅徒歩２４分、北春日部駅徒歩７分</t>
    <rPh sb="0" eb="4">
      <t>カスカベエキ</t>
    </rPh>
    <rPh sb="4" eb="6">
      <t>トホ</t>
    </rPh>
    <rPh sb="8" eb="9">
      <t>フン</t>
    </rPh>
    <rPh sb="10" eb="14">
      <t>キタカスカベ</t>
    </rPh>
    <rPh sb="14" eb="15">
      <t>エキ</t>
    </rPh>
    <rPh sb="15" eb="17">
      <t>トホ</t>
    </rPh>
    <rPh sb="18" eb="19">
      <t>フン</t>
    </rPh>
    <phoneticPr fontId="2"/>
  </si>
  <si>
    <t>あいりす</t>
  </si>
  <si>
    <t>高久2-7-3</t>
    <rPh sb="0" eb="2">
      <t>タカヒサ</t>
    </rPh>
    <phoneticPr fontId="2"/>
  </si>
  <si>
    <t>048-984-3205</t>
  </si>
  <si>
    <t>048-984-3206</t>
  </si>
  <si>
    <t>武蔵野線吉川駅から徒歩12分</t>
    <rPh sb="0" eb="4">
      <t>ムサシノセン</t>
    </rPh>
    <rPh sb="4" eb="6">
      <t>ヨシカワ</t>
    </rPh>
    <rPh sb="6" eb="7">
      <t>エキ</t>
    </rPh>
    <rPh sb="9" eb="11">
      <t>トホ</t>
    </rPh>
    <rPh sb="13" eb="14">
      <t>フン</t>
    </rPh>
    <phoneticPr fontId="2"/>
  </si>
  <si>
    <t>小渕517-1</t>
    <rPh sb="0" eb="2">
      <t>コブチ</t>
    </rPh>
    <phoneticPr fontId="2"/>
  </si>
  <si>
    <t>344-0007</t>
    <phoneticPr fontId="2"/>
  </si>
  <si>
    <t>048-795-4777</t>
  </si>
  <si>
    <t>048-795-4778</t>
  </si>
  <si>
    <t>東部スカイツリーライン北春日部駅から徒歩20分</t>
    <rPh sb="0" eb="2">
      <t>トウブ</t>
    </rPh>
    <rPh sb="11" eb="16">
      <t>キタカスカベエキ</t>
    </rPh>
    <rPh sb="18" eb="20">
      <t>トホ</t>
    </rPh>
    <rPh sb="22" eb="23">
      <t>フン</t>
    </rPh>
    <phoneticPr fontId="2"/>
  </si>
  <si>
    <t>有限会社水風社</t>
    <rPh sb="0" eb="4">
      <t>ユウゲンガイシャ</t>
    </rPh>
    <rPh sb="4" eb="5">
      <t>スイ</t>
    </rPh>
    <rPh sb="5" eb="6">
      <t>カゼ</t>
    </rPh>
    <rPh sb="6" eb="7">
      <t>シャ</t>
    </rPh>
    <phoneticPr fontId="36"/>
  </si>
  <si>
    <t>アフターネオ浦和</t>
    <rPh sb="6" eb="8">
      <t>うらわ</t>
    </rPh>
    <phoneticPr fontId="36" type="Hiragana"/>
  </si>
  <si>
    <t>浦和区岸町７－５－２１　プリミエコート岸町６階６０１号室</t>
    <rPh sb="0" eb="2">
      <t>ウラワ</t>
    </rPh>
    <rPh sb="2" eb="3">
      <t>ク</t>
    </rPh>
    <rPh sb="3" eb="5">
      <t>キシマチ</t>
    </rPh>
    <rPh sb="19" eb="21">
      <t>キシマチ</t>
    </rPh>
    <rPh sb="22" eb="23">
      <t>カイ</t>
    </rPh>
    <rPh sb="26" eb="28">
      <t>ゴウシツ</t>
    </rPh>
    <phoneticPr fontId="36"/>
  </si>
  <si>
    <t>330-0064</t>
  </si>
  <si>
    <t>048-714-5455</t>
  </si>
  <si>
    <t>048-714-5456</t>
  </si>
  <si>
    <t>ＪＲ浦和駅から徒歩10分</t>
    <rPh sb="2" eb="5">
      <t>ウラワエキ</t>
    </rPh>
    <rPh sb="7" eb="9">
      <t>トホ</t>
    </rPh>
    <rPh sb="11" eb="12">
      <t>フン</t>
    </rPh>
    <phoneticPr fontId="37"/>
  </si>
  <si>
    <t>336-0965</t>
  </si>
  <si>
    <t>048-799-2357</t>
  </si>
  <si>
    <t>048-799-2259</t>
  </si>
  <si>
    <t>ＴＯＫＵＪＯＢ武蔵浦和</t>
    <rPh sb="7" eb="11">
      <t>むさしうらわ</t>
    </rPh>
    <phoneticPr fontId="36" type="Hiragana"/>
  </si>
  <si>
    <t>南区曲本５－８－２２</t>
  </si>
  <si>
    <t>336-0033</t>
  </si>
  <si>
    <t>048-626-6591</t>
  </si>
  <si>
    <t>048-626-6592</t>
  </si>
  <si>
    <t>ＪＲ武蔵浦和駅から徒歩18分</t>
    <rPh sb="2" eb="6">
      <t>ムサシウラワ</t>
    </rPh>
    <rPh sb="6" eb="7">
      <t>エキ</t>
    </rPh>
    <rPh sb="9" eb="11">
      <t>トホ</t>
    </rPh>
    <rPh sb="13" eb="14">
      <t>フン</t>
    </rPh>
    <phoneticPr fontId="37"/>
  </si>
  <si>
    <t>西区指扇２８５６－２５８</t>
  </si>
  <si>
    <t>048-607-4818</t>
    <phoneticPr fontId="37"/>
  </si>
  <si>
    <t>クリエイティブセンターsize</t>
  </si>
  <si>
    <t>浦和区上木崎４－４－１３　フジグリーンビュー２Ｆ</t>
  </si>
  <si>
    <t>330-0071</t>
  </si>
  <si>
    <t>048-762-7301</t>
  </si>
  <si>
    <t>048-762-7341</t>
  </si>
  <si>
    <t>ＪＲ与野駅から徒歩8分</t>
    <rPh sb="2" eb="4">
      <t>ヨノ</t>
    </rPh>
    <rPh sb="4" eb="5">
      <t>エキ</t>
    </rPh>
    <rPh sb="7" eb="9">
      <t>トホ</t>
    </rPh>
    <rPh sb="10" eb="11">
      <t>フン</t>
    </rPh>
    <phoneticPr fontId="37"/>
  </si>
  <si>
    <t>レシルフィード</t>
  </si>
  <si>
    <t>048-795-6099</t>
    <phoneticPr fontId="37"/>
  </si>
  <si>
    <t>ワンダフル宮原</t>
    <rPh sb="5" eb="7">
      <t>みやはら</t>
    </rPh>
    <phoneticPr fontId="36" type="Hiragana"/>
  </si>
  <si>
    <t>北区宮原町３－１６１　大井ビル３階</t>
    <phoneticPr fontId="37"/>
  </si>
  <si>
    <t>331-0812</t>
    <phoneticPr fontId="37"/>
  </si>
  <si>
    <t>048-788-1871</t>
  </si>
  <si>
    <t>JR宮原駅から徒歩8分</t>
    <rPh sb="2" eb="4">
      <t>ミヤハラ</t>
    </rPh>
    <rPh sb="4" eb="5">
      <t>エキ</t>
    </rPh>
    <rPh sb="7" eb="9">
      <t>トホ</t>
    </rPh>
    <rPh sb="10" eb="11">
      <t>フン</t>
    </rPh>
    <phoneticPr fontId="37"/>
  </si>
  <si>
    <t>リンクス川越事業所</t>
  </si>
  <si>
    <t>川越市</t>
    <rPh sb="0" eb="3">
      <t>カワゴエシ</t>
    </rPh>
    <phoneticPr fontId="2"/>
  </si>
  <si>
    <t>砂949-8　井上ビル2階</t>
  </si>
  <si>
    <t>350-1133</t>
  </si>
  <si>
    <t>○</t>
    <phoneticPr fontId="2"/>
  </si>
  <si>
    <t>東武東上線新河岸駅から徒歩２２分</t>
    <rPh sb="0" eb="5">
      <t>トウブトウジョウセン</t>
    </rPh>
    <rPh sb="5" eb="8">
      <t>シンガシ</t>
    </rPh>
    <rPh sb="8" eb="9">
      <t>エキ</t>
    </rPh>
    <rPh sb="11" eb="13">
      <t>トホ</t>
    </rPh>
    <rPh sb="15" eb="16">
      <t>フン</t>
    </rPh>
    <phoneticPr fontId="2"/>
  </si>
  <si>
    <t>川口市</t>
    <rPh sb="0" eb="2">
      <t>かわぐち</t>
    </rPh>
    <rPh sb="2" eb="3">
      <t>し</t>
    </rPh>
    <phoneticPr fontId="2" type="Hiragana"/>
  </si>
  <si>
    <t>333-0811</t>
    <phoneticPr fontId="2" type="Hiragana"/>
  </si>
  <si>
    <t>048-229-6380</t>
    <phoneticPr fontId="2" type="Hiragana"/>
  </si>
  <si>
    <t>048-229-6382</t>
    <phoneticPr fontId="2" type="Hiragana"/>
  </si>
  <si>
    <t>（電車）東川口駅から徒歩３分</t>
    <rPh sb="1" eb="3">
      <t>でんしゃ</t>
    </rPh>
    <rPh sb="4" eb="7">
      <t>ひがしかわぐち</t>
    </rPh>
    <rPh sb="7" eb="8">
      <t>えき</t>
    </rPh>
    <rPh sb="10" eb="12">
      <t>とほ</t>
    </rPh>
    <rPh sb="13" eb="14">
      <t>ふん</t>
    </rPh>
    <phoneticPr fontId="2" type="Hiragana"/>
  </si>
  <si>
    <t>Beesグループホーム</t>
    <phoneticPr fontId="2"/>
  </si>
  <si>
    <t>浅間台1-21-21</t>
    <rPh sb="0" eb="3">
      <t>アサマダイ</t>
    </rPh>
    <phoneticPr fontId="2"/>
  </si>
  <si>
    <t>362-0073</t>
    <phoneticPr fontId="2"/>
  </si>
  <si>
    <t>048-662-9182</t>
    <phoneticPr fontId="2"/>
  </si>
  <si>
    <t>048-662-9094</t>
    <phoneticPr fontId="2"/>
  </si>
  <si>
    <t>JR高崎線北上尾駅から徒歩６分</t>
    <rPh sb="2" eb="5">
      <t>タカサキセン</t>
    </rPh>
    <rPh sb="5" eb="9">
      <t>キタアゲオエキ</t>
    </rPh>
    <rPh sb="11" eb="13">
      <t>トホ</t>
    </rPh>
    <rPh sb="14" eb="15">
      <t>フン</t>
    </rPh>
    <phoneticPr fontId="2"/>
  </si>
  <si>
    <t>（特非）ＣＨＩＹＯ．ＳＵＮ</t>
    <rPh sb="1" eb="3">
      <t>トクヒ</t>
    </rPh>
    <phoneticPr fontId="2"/>
  </si>
  <si>
    <t>ＳＭＩＬＥ　ＪＡＭ</t>
    <phoneticPr fontId="2"/>
  </si>
  <si>
    <t>早俣４６４－４</t>
    <rPh sb="0" eb="2">
      <t>ハヤマタ</t>
    </rPh>
    <phoneticPr fontId="2"/>
  </si>
  <si>
    <t>355-0043</t>
    <phoneticPr fontId="2"/>
  </si>
  <si>
    <t>0493-77-1137</t>
    <phoneticPr fontId="2"/>
  </si>
  <si>
    <t>0493-77-1163</t>
    <phoneticPr fontId="2"/>
  </si>
  <si>
    <t>東武東上線高坂駅から徒歩３０分</t>
    <rPh sb="0" eb="5">
      <t>トウブトウジョウセン</t>
    </rPh>
    <rPh sb="5" eb="7">
      <t>タカサカ</t>
    </rPh>
    <rPh sb="7" eb="8">
      <t>エキ</t>
    </rPh>
    <rPh sb="10" eb="12">
      <t>トホ</t>
    </rPh>
    <rPh sb="14" eb="15">
      <t>フン</t>
    </rPh>
    <phoneticPr fontId="2"/>
  </si>
  <si>
    <t>ＡＲＫＳ（同）</t>
    <rPh sb="5" eb="6">
      <t>ドウ</t>
    </rPh>
    <phoneticPr fontId="2"/>
  </si>
  <si>
    <t>アークトゥルスマーリン</t>
    <phoneticPr fontId="2"/>
  </si>
  <si>
    <t>東2丁目4番18号
小倉ビル3階</t>
    <rPh sb="0" eb="1">
      <t>ヒガシ</t>
    </rPh>
    <rPh sb="2" eb="4">
      <t>チョウメ</t>
    </rPh>
    <rPh sb="5" eb="6">
      <t>バン</t>
    </rPh>
    <rPh sb="8" eb="9">
      <t>ゴウ</t>
    </rPh>
    <rPh sb="10" eb="12">
      <t>オグラ</t>
    </rPh>
    <rPh sb="15" eb="16">
      <t>カイ</t>
    </rPh>
    <phoneticPr fontId="2"/>
  </si>
  <si>
    <t>352-0002</t>
    <phoneticPr fontId="2"/>
  </si>
  <si>
    <t>048-487-7910</t>
    <phoneticPr fontId="2"/>
  </si>
  <si>
    <t>東武東上線志木駅/国際興業バス東一丁目から徒歩１分</t>
    <rPh sb="5" eb="8">
      <t>シキエキ</t>
    </rPh>
    <rPh sb="9" eb="13">
      <t>コクサイコウギョウ</t>
    </rPh>
    <rPh sb="15" eb="16">
      <t>ヒガシ</t>
    </rPh>
    <rPh sb="16" eb="19">
      <t>1チョウメ</t>
    </rPh>
    <rPh sb="21" eb="23">
      <t>トホ</t>
    </rPh>
    <rPh sb="24" eb="25">
      <t>フン</t>
    </rPh>
    <phoneticPr fontId="2"/>
  </si>
  <si>
    <t>（株）Ｋａｒｍａ</t>
    <rPh sb="0" eb="3">
      <t>カブ</t>
    </rPh>
    <phoneticPr fontId="2"/>
  </si>
  <si>
    <t>就労移行支援事業所COCOCARA 所沢オフィス</t>
    <rPh sb="0" eb="9">
      <t>シュウロウイコウシエンジギョウショ</t>
    </rPh>
    <rPh sb="18" eb="20">
      <t>トコロザワ</t>
    </rPh>
    <phoneticPr fontId="2"/>
  </si>
  <si>
    <t>くすのき台1-10-10 TOSHIビル ５F</t>
    <rPh sb="4" eb="5">
      <t>ダイ</t>
    </rPh>
    <phoneticPr fontId="2"/>
  </si>
  <si>
    <t>04-2941-4884</t>
    <phoneticPr fontId="2"/>
  </si>
  <si>
    <t>西武新宿線・西武池袋線所沢駅徒歩2分</t>
    <rPh sb="0" eb="5">
      <t>セイブシンジュクセン</t>
    </rPh>
    <rPh sb="6" eb="11">
      <t>セイブイケブクロセン</t>
    </rPh>
    <rPh sb="11" eb="13">
      <t>トコロザワ</t>
    </rPh>
    <rPh sb="13" eb="14">
      <t>エキ</t>
    </rPh>
    <rPh sb="14" eb="16">
      <t>トホ</t>
    </rPh>
    <rPh sb="17" eb="18">
      <t>フン</t>
    </rPh>
    <phoneticPr fontId="2"/>
  </si>
  <si>
    <t>アルエット</t>
    <phoneticPr fontId="2"/>
  </si>
  <si>
    <t>入間市</t>
    <rPh sb="0" eb="2">
      <t>イルマ</t>
    </rPh>
    <rPh sb="2" eb="3">
      <t>シ</t>
    </rPh>
    <phoneticPr fontId="2"/>
  </si>
  <si>
    <t>小谷田７０７番地１</t>
    <rPh sb="0" eb="3">
      <t>コヤタ</t>
    </rPh>
    <rPh sb="6" eb="8">
      <t>バンチ</t>
    </rPh>
    <phoneticPr fontId="2"/>
  </si>
  <si>
    <t>358-0026</t>
    <phoneticPr fontId="2"/>
  </si>
  <si>
    <t>袋山1347-5 森下ビル1階</t>
    <rPh sb="0" eb="2">
      <t>フクロヤマ</t>
    </rPh>
    <rPh sb="9" eb="11">
      <t>モリシタ</t>
    </rPh>
    <rPh sb="14" eb="15">
      <t>カイ</t>
    </rPh>
    <phoneticPr fontId="2"/>
  </si>
  <si>
    <t>048-972-4670</t>
    <phoneticPr fontId="2"/>
  </si>
  <si>
    <t>わらかどワークス</t>
  </si>
  <si>
    <t>大宮区三橋１－４０８</t>
    <rPh sb="0" eb="3">
      <t>オオミヤク</t>
    </rPh>
    <rPh sb="3" eb="5">
      <t>ミハシ</t>
    </rPh>
    <phoneticPr fontId="36"/>
  </si>
  <si>
    <t>048-658-9202</t>
  </si>
  <si>
    <t>048-778-8162</t>
  </si>
  <si>
    <t>大宮駅からバス乗車
櫛引南バス停下車徒歩6分</t>
    <rPh sb="0" eb="3">
      <t>オオミヤエキ</t>
    </rPh>
    <rPh sb="7" eb="9">
      <t>ジョウシャ</t>
    </rPh>
    <rPh sb="10" eb="12">
      <t>クシヒキ</t>
    </rPh>
    <rPh sb="12" eb="13">
      <t>ミナミ</t>
    </rPh>
    <rPh sb="15" eb="16">
      <t>テイ</t>
    </rPh>
    <rPh sb="16" eb="18">
      <t>ゲシャ</t>
    </rPh>
    <rPh sb="18" eb="20">
      <t>トホ</t>
    </rPh>
    <rPh sb="21" eb="22">
      <t>フン</t>
    </rPh>
    <phoneticPr fontId="37"/>
  </si>
  <si>
    <t>050-5240-3487</t>
  </si>
  <si>
    <t>048-610-8563</t>
  </si>
  <si>
    <t>大宮駅から徒歩7分</t>
    <rPh sb="0" eb="3">
      <t>オオミヤエキ</t>
    </rPh>
    <rPh sb="5" eb="7">
      <t>トホ</t>
    </rPh>
    <rPh sb="8" eb="9">
      <t>フン</t>
    </rPh>
    <phoneticPr fontId="37"/>
  </si>
  <si>
    <t>浦和区高砂３－１０－１　シンテイ浦和ビル２階</t>
    <phoneticPr fontId="36"/>
  </si>
  <si>
    <t>（株）フロー</t>
    <rPh sb="1" eb="2">
      <t>カブ</t>
    </rPh>
    <phoneticPr fontId="2"/>
  </si>
  <si>
    <t>中央１丁目９－１３　春日部Ｍ２ビル３階</t>
    <rPh sb="0" eb="2">
      <t>チュウオウ</t>
    </rPh>
    <rPh sb="3" eb="5">
      <t>チョウメ</t>
    </rPh>
    <rPh sb="10" eb="13">
      <t>カスカベ</t>
    </rPh>
    <rPh sb="18" eb="19">
      <t>カイ</t>
    </rPh>
    <phoneticPr fontId="2"/>
  </si>
  <si>
    <t>048-633-4694</t>
    <phoneticPr fontId="2"/>
  </si>
  <si>
    <t>050-4560-2267</t>
    <phoneticPr fontId="2"/>
  </si>
  <si>
    <t>東武スカイツリーライン春日部駅西口から徒歩2分</t>
    <rPh sb="0" eb="2">
      <t>トウブ</t>
    </rPh>
    <rPh sb="11" eb="14">
      <t>カスカベ</t>
    </rPh>
    <rPh sb="14" eb="15">
      <t>エキ</t>
    </rPh>
    <rPh sb="15" eb="16">
      <t>ニシ</t>
    </rPh>
    <rPh sb="19" eb="21">
      <t>トホ</t>
    </rPh>
    <rPh sb="22" eb="23">
      <t>フン</t>
    </rPh>
    <phoneticPr fontId="2"/>
  </si>
  <si>
    <t>ユースタイルラボラトリー（株）</t>
    <rPh sb="13" eb="14">
      <t>カブ</t>
    </rPh>
    <phoneticPr fontId="2"/>
  </si>
  <si>
    <t>ユースタイルホーム　久喜</t>
    <rPh sb="10" eb="12">
      <t>クキ</t>
    </rPh>
    <phoneticPr fontId="2"/>
  </si>
  <si>
    <t>下清久639－2</t>
    <rPh sb="0" eb="3">
      <t>シモキヨク</t>
    </rPh>
    <phoneticPr fontId="2"/>
  </si>
  <si>
    <t>050-1808-7118</t>
    <phoneticPr fontId="2"/>
  </si>
  <si>
    <t>050-6865-4357</t>
    <phoneticPr fontId="2"/>
  </si>
  <si>
    <t>JR久喜駅よりバス北陽高校入口下車徒歩５分
※共同生活援助との併設</t>
    <rPh sb="2" eb="5">
      <t>クキエキ</t>
    </rPh>
    <rPh sb="9" eb="13">
      <t>ホクヨウコウコウ</t>
    </rPh>
    <rPh sb="13" eb="14">
      <t>イ</t>
    </rPh>
    <rPh sb="14" eb="15">
      <t>グチ</t>
    </rPh>
    <rPh sb="15" eb="17">
      <t>ゲシャ</t>
    </rPh>
    <rPh sb="17" eb="19">
      <t>トホ</t>
    </rPh>
    <rPh sb="20" eb="21">
      <t>フン</t>
    </rPh>
    <phoneticPr fontId="2"/>
  </si>
  <si>
    <t>ユースタイルホーム　熊谷妻沼</t>
    <rPh sb="10" eb="12">
      <t>クマガヤ</t>
    </rPh>
    <rPh sb="12" eb="14">
      <t>メヌマ</t>
    </rPh>
    <phoneticPr fontId="2"/>
  </si>
  <si>
    <t>妻沼東4-140</t>
    <phoneticPr fontId="2"/>
  </si>
  <si>
    <t>050-1808-8202</t>
    <phoneticPr fontId="2"/>
  </si>
  <si>
    <t>050-6865-4219</t>
    <phoneticPr fontId="2"/>
  </si>
  <si>
    <t>JR熊谷駅よりバスハナミズキ通り下車徒歩3分
※共同生活援助との併設</t>
    <rPh sb="2" eb="4">
      <t>クマガヤ</t>
    </rPh>
    <rPh sb="4" eb="5">
      <t>エキ</t>
    </rPh>
    <rPh sb="14" eb="15">
      <t>トオ</t>
    </rPh>
    <rPh sb="16" eb="18">
      <t>ゲシャ</t>
    </rPh>
    <rPh sb="18" eb="20">
      <t>トホ</t>
    </rPh>
    <rPh sb="21" eb="22">
      <t>フン</t>
    </rPh>
    <phoneticPr fontId="2"/>
  </si>
  <si>
    <t>(有)タイヘイ建宅</t>
    <rPh sb="0" eb="3">
      <t>ユウ</t>
    </rPh>
    <rPh sb="7" eb="8">
      <t>タツル</t>
    </rPh>
    <rPh sb="8" eb="9">
      <t>タク</t>
    </rPh>
    <phoneticPr fontId="2"/>
  </si>
  <si>
    <t>就労継続支援いろり</t>
    <rPh sb="0" eb="2">
      <t>シュウロウ</t>
    </rPh>
    <rPh sb="2" eb="4">
      <t>ケイゾク</t>
    </rPh>
    <rPh sb="4" eb="6">
      <t>シエン</t>
    </rPh>
    <phoneticPr fontId="2"/>
  </si>
  <si>
    <t>大野原69番4</t>
    <rPh sb="0" eb="3">
      <t>オオノハラ</t>
    </rPh>
    <rPh sb="5" eb="6">
      <t>バン</t>
    </rPh>
    <phoneticPr fontId="2"/>
  </si>
  <si>
    <t>0494-26-5291</t>
    <phoneticPr fontId="2"/>
  </si>
  <si>
    <t>0494-26-5290</t>
    <phoneticPr fontId="2"/>
  </si>
  <si>
    <t>秩父鉄道大野原駅から徒歩18分</t>
    <rPh sb="0" eb="2">
      <t>チチブ</t>
    </rPh>
    <rPh sb="2" eb="4">
      <t>テツドウ</t>
    </rPh>
    <rPh sb="4" eb="7">
      <t>オオノハラ</t>
    </rPh>
    <rPh sb="7" eb="8">
      <t>エキ</t>
    </rPh>
    <rPh sb="10" eb="12">
      <t>トホ</t>
    </rPh>
    <rPh sb="14" eb="15">
      <t>フン</t>
    </rPh>
    <phoneticPr fontId="2"/>
  </si>
  <si>
    <t>（合）CO-COスマイル</t>
    <rPh sb="1" eb="2">
      <t>ゴウ</t>
    </rPh>
    <phoneticPr fontId="2"/>
  </si>
  <si>
    <t>自立訓練てんとうむし北本</t>
    <rPh sb="0" eb="4">
      <t>ジリツクンレン</t>
    </rPh>
    <rPh sb="10" eb="12">
      <t>キタモト</t>
    </rPh>
    <phoneticPr fontId="2"/>
  </si>
  <si>
    <t>北本1-102-2F</t>
    <rPh sb="0" eb="2">
      <t>キタモト</t>
    </rPh>
    <phoneticPr fontId="2"/>
  </si>
  <si>
    <t>048-577-7552</t>
    <phoneticPr fontId="2"/>
  </si>
  <si>
    <t>048-577-7553</t>
    <phoneticPr fontId="2"/>
  </si>
  <si>
    <t>JR高崎線北本駅から徒歩１分</t>
    <rPh sb="2" eb="4">
      <t>タカサキ</t>
    </rPh>
    <rPh sb="4" eb="5">
      <t>セン</t>
    </rPh>
    <rPh sb="5" eb="8">
      <t>キタモトエキ</t>
    </rPh>
    <rPh sb="10" eb="12">
      <t>トホ</t>
    </rPh>
    <rPh sb="13" eb="14">
      <t>フン</t>
    </rPh>
    <phoneticPr fontId="2"/>
  </si>
  <si>
    <t>ビーハック日中支援型障がい者グループホーム行田</t>
    <rPh sb="5" eb="7">
      <t>ニッチュウ</t>
    </rPh>
    <rPh sb="7" eb="9">
      <t>シエン</t>
    </rPh>
    <rPh sb="9" eb="10">
      <t>ガタ</t>
    </rPh>
    <rPh sb="10" eb="11">
      <t>ショウ</t>
    </rPh>
    <rPh sb="13" eb="14">
      <t>シャ</t>
    </rPh>
    <rPh sb="21" eb="23">
      <t>ギョウダ</t>
    </rPh>
    <phoneticPr fontId="2"/>
  </si>
  <si>
    <t>長野1-40-2</t>
    <rPh sb="0" eb="2">
      <t>ナガノ</t>
    </rPh>
    <phoneticPr fontId="2"/>
  </si>
  <si>
    <t>048-578-8096</t>
    <phoneticPr fontId="2"/>
  </si>
  <si>
    <t>ユースタイルホーム　伊奈</t>
    <rPh sb="10" eb="12">
      <t>イナ</t>
    </rPh>
    <phoneticPr fontId="2"/>
  </si>
  <si>
    <t>伊奈町</t>
    <rPh sb="0" eb="3">
      <t>イナマチ</t>
    </rPh>
    <phoneticPr fontId="2"/>
  </si>
  <si>
    <t>本町1-387-2</t>
    <rPh sb="0" eb="2">
      <t>ホンチョウ</t>
    </rPh>
    <phoneticPr fontId="2"/>
  </si>
  <si>
    <t>362-0804</t>
    <phoneticPr fontId="2"/>
  </si>
  <si>
    <t>050-6865-4306</t>
    <phoneticPr fontId="2"/>
  </si>
  <si>
    <t>JR志久駅から徒歩16分
※共同生活援助との併設</t>
    <rPh sb="2" eb="4">
      <t>シク</t>
    </rPh>
    <rPh sb="4" eb="5">
      <t>エキ</t>
    </rPh>
    <rPh sb="7" eb="9">
      <t>トホ</t>
    </rPh>
    <rPh sb="11" eb="12">
      <t>フン</t>
    </rPh>
    <rPh sb="14" eb="20">
      <t>キョウドウセイカツエンジョ</t>
    </rPh>
    <rPh sb="22" eb="24">
      <t>ヘイセツ</t>
    </rPh>
    <phoneticPr fontId="2"/>
  </si>
  <si>
    <t>秩父鉄道東行田駅から徒歩１３分
※共同生活援助との併設</t>
    <rPh sb="0" eb="4">
      <t>チチブテツドウ</t>
    </rPh>
    <rPh sb="4" eb="8">
      <t>ヒガシギョウダエキ</t>
    </rPh>
    <rPh sb="10" eb="12">
      <t>トホ</t>
    </rPh>
    <rPh sb="14" eb="15">
      <t>フン</t>
    </rPh>
    <rPh sb="17" eb="23">
      <t>キョウドウセイカツエンジョ</t>
    </rPh>
    <rPh sb="25" eb="27">
      <t>ヘイセツ</t>
    </rPh>
    <phoneticPr fontId="2"/>
  </si>
  <si>
    <t>大場1383-1</t>
    <rPh sb="0" eb="2">
      <t>オオバ</t>
    </rPh>
    <phoneticPr fontId="2"/>
  </si>
  <si>
    <t>東武スカイツリーライン武里駅から徒歩6分
※共同生活援助との併設</t>
    <rPh sb="0" eb="2">
      <t>トウブ</t>
    </rPh>
    <rPh sb="11" eb="13">
      <t>タケサト</t>
    </rPh>
    <rPh sb="13" eb="14">
      <t>エキ</t>
    </rPh>
    <rPh sb="16" eb="18">
      <t>トホ</t>
    </rPh>
    <rPh sb="19" eb="20">
      <t>フン</t>
    </rPh>
    <phoneticPr fontId="2"/>
  </si>
  <si>
    <t>東武東上線坂戸駅南口から車で約8分</t>
    <phoneticPr fontId="37"/>
  </si>
  <si>
    <t>大泉学園駅から西武バス朝霞駅行「天沼マーケット」下車徒歩15分</t>
  </si>
  <si>
    <t>048-721-8707</t>
    <phoneticPr fontId="2"/>
  </si>
  <si>
    <t>リウェル大宮センター</t>
    <rPh sb="4" eb="6">
      <t>おおみや</t>
    </rPh>
    <phoneticPr fontId="5" type="Hiragana"/>
  </si>
  <si>
    <t>大宮区仲町２－６５－２　Ｖスクエア大宮４Ｆ</t>
    <rPh sb="0" eb="3">
      <t>オオミヤク</t>
    </rPh>
    <rPh sb="3" eb="5">
      <t>ナカマチ</t>
    </rPh>
    <rPh sb="17" eb="19">
      <t>オオミヤ</t>
    </rPh>
    <phoneticPr fontId="3"/>
  </si>
  <si>
    <t>048-614-7120</t>
  </si>
  <si>
    <t>ＪＲ大宮駅から徒歩5分</t>
    <rPh sb="2" eb="5">
      <t>オオミヤエキ</t>
    </rPh>
    <rPh sb="7" eb="9">
      <t>トホ</t>
    </rPh>
    <rPh sb="10" eb="11">
      <t>フン</t>
    </rPh>
    <phoneticPr fontId="2"/>
  </si>
  <si>
    <t>(株)学研スマイルハートフルＡ</t>
    <phoneticPr fontId="5"/>
  </si>
  <si>
    <t>ウェルビーチャレンジ南越谷駅前センター</t>
    <rPh sb="10" eb="15">
      <t>ミナミコシガヤエキマエ</t>
    </rPh>
    <phoneticPr fontId="2"/>
  </si>
  <si>
    <t>南越谷1-12-11 イーストサンビル2　3階</t>
    <rPh sb="0" eb="3">
      <t>ミナミコシガヤ</t>
    </rPh>
    <rPh sb="22" eb="23">
      <t>カイ</t>
    </rPh>
    <phoneticPr fontId="2"/>
  </si>
  <si>
    <t>048-990-5533</t>
    <phoneticPr fontId="2"/>
  </si>
  <si>
    <t>048-990-5534</t>
    <phoneticPr fontId="2"/>
  </si>
  <si>
    <t>東部スカイツリーライン新越谷駅徒歩1分</t>
    <rPh sb="0" eb="2">
      <t>トウブ</t>
    </rPh>
    <rPh sb="11" eb="15">
      <t>シンコシガヤエキ</t>
    </rPh>
    <rPh sb="15" eb="17">
      <t>トホ</t>
    </rPh>
    <rPh sb="18" eb="19">
      <t>プン</t>
    </rPh>
    <phoneticPr fontId="2"/>
  </si>
  <si>
    <t>テイクオフ</t>
    <phoneticPr fontId="2"/>
  </si>
  <si>
    <t>東大沢2-3-39</t>
    <rPh sb="0" eb="3">
      <t>ヒガシオオサワ</t>
    </rPh>
    <phoneticPr fontId="2"/>
  </si>
  <si>
    <t>048-971-5558</t>
    <phoneticPr fontId="2"/>
  </si>
  <si>
    <t>048-972-4786</t>
    <phoneticPr fontId="2"/>
  </si>
  <si>
    <t>東部スカイツリーライン北越谷駅から老人福祉センター行バス
鷺後小入口バス停徒歩1分</t>
    <rPh sb="0" eb="2">
      <t>トウブ</t>
    </rPh>
    <rPh sb="11" eb="15">
      <t>キタコシガヤエキ</t>
    </rPh>
    <rPh sb="17" eb="21">
      <t>ロウジンフクシ</t>
    </rPh>
    <rPh sb="25" eb="26">
      <t>イキ</t>
    </rPh>
    <rPh sb="29" eb="30">
      <t>サギ</t>
    </rPh>
    <rPh sb="30" eb="31">
      <t>ウシ</t>
    </rPh>
    <rPh sb="31" eb="32">
      <t>ショウ</t>
    </rPh>
    <rPh sb="32" eb="34">
      <t>イリグチ</t>
    </rPh>
    <rPh sb="36" eb="37">
      <t>テイ</t>
    </rPh>
    <rPh sb="37" eb="39">
      <t>トホ</t>
    </rPh>
    <rPh sb="40" eb="41">
      <t>プン</t>
    </rPh>
    <phoneticPr fontId="2"/>
  </si>
  <si>
    <t>就労継続支援Ｂ型　みらい</t>
    <rPh sb="0" eb="6">
      <t>しゅうろうけいぞくしえん</t>
    </rPh>
    <rPh sb="7" eb="8">
      <t>がた</t>
    </rPh>
    <phoneticPr fontId="2" type="Hiragana"/>
  </si>
  <si>
    <t>川口市</t>
    <rPh sb="0" eb="3">
      <t>かわぐちし</t>
    </rPh>
    <phoneticPr fontId="2" type="Hiragana"/>
  </si>
  <si>
    <t>333-0821</t>
    <phoneticPr fontId="2" type="Hiragana"/>
  </si>
  <si>
    <t>048-298-5555</t>
    <phoneticPr fontId="2" type="Hiragana"/>
  </si>
  <si>
    <t>（バス）川口駅東口から東川口駅南口行き「木曽呂」下車、徒歩８分</t>
    <rPh sb="4" eb="7">
      <t>かわぐちえき</t>
    </rPh>
    <rPh sb="7" eb="9">
      <t>ひがしぐち</t>
    </rPh>
    <rPh sb="11" eb="12">
      <t>ひがし</t>
    </rPh>
    <rPh sb="12" eb="14">
      <t>かわぐち</t>
    </rPh>
    <rPh sb="14" eb="15">
      <t>えき</t>
    </rPh>
    <rPh sb="15" eb="17">
      <t>みなみぐち</t>
    </rPh>
    <rPh sb="17" eb="18">
      <t>い</t>
    </rPh>
    <rPh sb="20" eb="23">
      <t>きぞろ</t>
    </rPh>
    <rPh sb="24" eb="26">
      <t>げしゃ</t>
    </rPh>
    <rPh sb="27" eb="29">
      <t>とほ</t>
    </rPh>
    <rPh sb="30" eb="31">
      <t>ふん</t>
    </rPh>
    <phoneticPr fontId="2" type="Hiragana"/>
  </si>
  <si>
    <t>美南5-10-4</t>
    <rPh sb="0" eb="2">
      <t>ミナミ</t>
    </rPh>
    <phoneticPr fontId="2"/>
  </si>
  <si>
    <t>JR吉川美南駅西口より東武バス　吉川きよみ野行き「美南一丁目」下車徒歩７分　※共同生活援助との併設</t>
    <rPh sb="2" eb="6">
      <t>ヨシカワミナミ</t>
    </rPh>
    <rPh sb="6" eb="7">
      <t>エキ</t>
    </rPh>
    <rPh sb="7" eb="9">
      <t>ニシグチ</t>
    </rPh>
    <rPh sb="11" eb="13">
      <t>トウブ</t>
    </rPh>
    <rPh sb="16" eb="18">
      <t>ヨシカワ</t>
    </rPh>
    <rPh sb="21" eb="22">
      <t>ノ</t>
    </rPh>
    <rPh sb="22" eb="23">
      <t>ユ</t>
    </rPh>
    <rPh sb="25" eb="30">
      <t>ミナミイッチョウメ</t>
    </rPh>
    <rPh sb="31" eb="33">
      <t>ゲシャ</t>
    </rPh>
    <rPh sb="33" eb="35">
      <t>トホ</t>
    </rPh>
    <rPh sb="36" eb="37">
      <t>フン</t>
    </rPh>
    <phoneticPr fontId="2"/>
  </si>
  <si>
    <t>ＤＲＥＡＭＩＮ（株）</t>
    <rPh sb="8" eb="9">
      <t>カブ</t>
    </rPh>
    <phoneticPr fontId="2"/>
  </si>
  <si>
    <t>ＤＲＥＡＭＩＮ</t>
    <phoneticPr fontId="2"/>
  </si>
  <si>
    <t>氷川町２１４４－１１　アークプラザⅡ　２階</t>
    <rPh sb="0" eb="3">
      <t>ヒカワチョウ</t>
    </rPh>
    <rPh sb="20" eb="21">
      <t>カイ</t>
    </rPh>
    <phoneticPr fontId="2"/>
  </si>
  <si>
    <t>048-951-0028</t>
    <phoneticPr fontId="2"/>
  </si>
  <si>
    <t>048-951-0029</t>
    <phoneticPr fontId="2"/>
  </si>
  <si>
    <t>東武スカイツリーライン草加駅西口より徒歩5分</t>
    <rPh sb="0" eb="2">
      <t>トウブ</t>
    </rPh>
    <rPh sb="11" eb="14">
      <t>ソウカエキ</t>
    </rPh>
    <rPh sb="14" eb="16">
      <t>ニシグチ</t>
    </rPh>
    <rPh sb="18" eb="20">
      <t>トホ</t>
    </rPh>
    <rPh sb="21" eb="22">
      <t>フン</t>
    </rPh>
    <phoneticPr fontId="2"/>
  </si>
  <si>
    <t>04-2943-6110</t>
    <phoneticPr fontId="2"/>
  </si>
  <si>
    <t>04-2943-6118</t>
    <phoneticPr fontId="2"/>
  </si>
  <si>
    <t>04-2922-8137</t>
    <phoneticPr fontId="2"/>
  </si>
  <si>
    <t>東武伊勢崎線東武動物公園駅東口から朝日バス「木野川」下車徒歩10分※共同生活援助との併設</t>
    <rPh sb="0" eb="2">
      <t>トウブ</t>
    </rPh>
    <rPh sb="2" eb="6">
      <t>イセサキセン</t>
    </rPh>
    <rPh sb="6" eb="13">
      <t>トウブドウブツコウエンエキ</t>
    </rPh>
    <rPh sb="13" eb="15">
      <t>ヒガシグチ</t>
    </rPh>
    <rPh sb="17" eb="19">
      <t>アサヒ</t>
    </rPh>
    <rPh sb="22" eb="25">
      <t>キノカワ</t>
    </rPh>
    <rPh sb="26" eb="28">
      <t>ゲシャ</t>
    </rPh>
    <rPh sb="28" eb="30">
      <t>トホ</t>
    </rPh>
    <rPh sb="32" eb="33">
      <t>フン</t>
    </rPh>
    <rPh sb="34" eb="36">
      <t>キョウドウ</t>
    </rPh>
    <rPh sb="36" eb="38">
      <t>セイカツ</t>
    </rPh>
    <rPh sb="38" eb="40">
      <t>エンジョ</t>
    </rPh>
    <rPh sb="42" eb="44">
      <t>ヘイセツ</t>
    </rPh>
    <phoneticPr fontId="2"/>
  </si>
  <si>
    <t>宇都宮線久喜駅西口から朝日バス菖蒲仲橋行き「高木病院」下車徒歩15分※共同生活援助との併設</t>
    <rPh sb="0" eb="3">
      <t>ウツノミヤ</t>
    </rPh>
    <rPh sb="3" eb="4">
      <t>セン</t>
    </rPh>
    <rPh sb="4" eb="6">
      <t>クキ</t>
    </rPh>
    <rPh sb="6" eb="7">
      <t>エキ</t>
    </rPh>
    <rPh sb="7" eb="9">
      <t>ニシグチ</t>
    </rPh>
    <rPh sb="11" eb="13">
      <t>アサヒ</t>
    </rPh>
    <rPh sb="15" eb="17">
      <t>ショウブ</t>
    </rPh>
    <rPh sb="17" eb="18">
      <t>ナカ</t>
    </rPh>
    <rPh sb="18" eb="19">
      <t>バシ</t>
    </rPh>
    <rPh sb="19" eb="20">
      <t>ユ</t>
    </rPh>
    <rPh sb="22" eb="24">
      <t>タカギ</t>
    </rPh>
    <rPh sb="24" eb="26">
      <t>ビョウイン</t>
    </rPh>
    <rPh sb="27" eb="29">
      <t>ゲシャ</t>
    </rPh>
    <rPh sb="29" eb="31">
      <t>トホ</t>
    </rPh>
    <rPh sb="33" eb="34">
      <t>フン</t>
    </rPh>
    <rPh sb="43" eb="45">
      <t>ヘイセツ</t>
    </rPh>
    <phoneticPr fontId="2"/>
  </si>
  <si>
    <t>aloha新狭山駅前</t>
    <rPh sb="5" eb="8">
      <t>シンサヤマ</t>
    </rPh>
    <rPh sb="8" eb="10">
      <t>エキマエ</t>
    </rPh>
    <phoneticPr fontId="2"/>
  </si>
  <si>
    <t>新狭山二丁目14番10
新狭山昭和ビル1階</t>
    <rPh sb="0" eb="3">
      <t>シンサヤマ</t>
    </rPh>
    <rPh sb="3" eb="4">
      <t>ニ</t>
    </rPh>
    <rPh sb="4" eb="6">
      <t>チョウメ</t>
    </rPh>
    <rPh sb="8" eb="9">
      <t>バン</t>
    </rPh>
    <rPh sb="12" eb="13">
      <t>シン</t>
    </rPh>
    <rPh sb="13" eb="15">
      <t>サヤマ</t>
    </rPh>
    <rPh sb="15" eb="17">
      <t>ショウワ</t>
    </rPh>
    <rPh sb="20" eb="21">
      <t>カイ</t>
    </rPh>
    <phoneticPr fontId="2"/>
  </si>
  <si>
    <t>04-2997-9200</t>
    <phoneticPr fontId="2"/>
  </si>
  <si>
    <t>04-2997-9201</t>
    <phoneticPr fontId="2"/>
  </si>
  <si>
    <t>西武新宿線新狭山駅徒歩1分</t>
    <rPh sb="0" eb="2">
      <t>セイブ</t>
    </rPh>
    <rPh sb="2" eb="3">
      <t>シン</t>
    </rPh>
    <rPh sb="5" eb="9">
      <t>シンサヤマエキ</t>
    </rPh>
    <rPh sb="9" eb="11">
      <t>トホ</t>
    </rPh>
    <rPh sb="12" eb="13">
      <t>フン</t>
    </rPh>
    <phoneticPr fontId="2"/>
  </si>
  <si>
    <t>（一社）侑和会</t>
    <rPh sb="1" eb="3">
      <t>イッシャ</t>
    </rPh>
    <rPh sb="4" eb="5">
      <t>ユウ</t>
    </rPh>
    <rPh sb="5" eb="6">
      <t>ワ</t>
    </rPh>
    <rPh sb="6" eb="7">
      <t>カイ</t>
    </rPh>
    <phoneticPr fontId="2"/>
  </si>
  <si>
    <t>多機能型事業所　侑和</t>
    <phoneticPr fontId="2"/>
  </si>
  <si>
    <t>にっさい花みず木4-8-1 SONNE BLD Ⅵ 3階</t>
    <rPh sb="4" eb="5">
      <t>ハナ</t>
    </rPh>
    <rPh sb="7" eb="8">
      <t>キ</t>
    </rPh>
    <rPh sb="27" eb="28">
      <t>カイ</t>
    </rPh>
    <phoneticPr fontId="2"/>
  </si>
  <si>
    <t>350-0269</t>
    <phoneticPr fontId="2"/>
  </si>
  <si>
    <t>049-210-4910</t>
    <phoneticPr fontId="2"/>
  </si>
  <si>
    <t>東武東上線北坂戸駅から坂戸ニューシティにっさい循環線バス「花みず木四丁目」下車徒歩1分</t>
    <rPh sb="0" eb="5">
      <t>トウブトウジョウセン</t>
    </rPh>
    <rPh sb="5" eb="8">
      <t>キタサカド</t>
    </rPh>
    <rPh sb="8" eb="9">
      <t>エキ</t>
    </rPh>
    <rPh sb="11" eb="13">
      <t>サカト</t>
    </rPh>
    <rPh sb="23" eb="26">
      <t>ジュンカンセン</t>
    </rPh>
    <rPh sb="29" eb="30">
      <t>ハナ</t>
    </rPh>
    <rPh sb="32" eb="33">
      <t>キ</t>
    </rPh>
    <rPh sb="33" eb="36">
      <t>ヨンチョウメ</t>
    </rPh>
    <rPh sb="37" eb="39">
      <t>ゲシャ</t>
    </rPh>
    <rPh sb="39" eb="41">
      <t>トホ</t>
    </rPh>
    <rPh sb="42" eb="43">
      <t>フン</t>
    </rPh>
    <phoneticPr fontId="2"/>
  </si>
  <si>
    <t>（同）小林</t>
    <rPh sb="1" eb="2">
      <t>ドウ</t>
    </rPh>
    <rPh sb="3" eb="5">
      <t>コバヤシ</t>
    </rPh>
    <phoneticPr fontId="2"/>
  </si>
  <si>
    <t>ひなたぼっこ</t>
    <phoneticPr fontId="2"/>
  </si>
  <si>
    <t>松葉町5-2</t>
    <rPh sb="0" eb="3">
      <t>マツバマチ</t>
    </rPh>
    <phoneticPr fontId="2"/>
  </si>
  <si>
    <t>050-1379-3753</t>
    <phoneticPr fontId="2"/>
  </si>
  <si>
    <t>04-2963-7305</t>
    <phoneticPr fontId="2"/>
  </si>
  <si>
    <t>西武新宿線新所沢駅　徒歩4分</t>
    <rPh sb="0" eb="5">
      <t>セイブシンジュクセン</t>
    </rPh>
    <rPh sb="5" eb="8">
      <t>シントコロザワ</t>
    </rPh>
    <rPh sb="8" eb="9">
      <t>エキ</t>
    </rPh>
    <rPh sb="10" eb="12">
      <t>トホ</t>
    </rPh>
    <rPh sb="13" eb="14">
      <t>フン</t>
    </rPh>
    <phoneticPr fontId="2"/>
  </si>
  <si>
    <t>（株）千笑</t>
    <rPh sb="0" eb="3">
      <t>カブ</t>
    </rPh>
    <rPh sb="3" eb="4">
      <t>セン</t>
    </rPh>
    <rPh sb="4" eb="5">
      <t>ショウ</t>
    </rPh>
    <phoneticPr fontId="2"/>
  </si>
  <si>
    <t>ワクワーク千笑</t>
    <rPh sb="5" eb="6">
      <t>セン</t>
    </rPh>
    <rPh sb="6" eb="7">
      <t>ショウ</t>
    </rPh>
    <phoneticPr fontId="2"/>
  </si>
  <si>
    <t>上柴町西2-22-12ネルダムビル2-Ａ</t>
    <rPh sb="0" eb="1">
      <t>カミ</t>
    </rPh>
    <rPh sb="1" eb="2">
      <t>シバ</t>
    </rPh>
    <rPh sb="2" eb="3">
      <t>マチ</t>
    </rPh>
    <rPh sb="3" eb="4">
      <t>ニシ</t>
    </rPh>
    <phoneticPr fontId="2"/>
  </si>
  <si>
    <t>048-572-8005</t>
    <phoneticPr fontId="2"/>
  </si>
  <si>
    <t>048-572-8006</t>
    <phoneticPr fontId="2"/>
  </si>
  <si>
    <t>JR高崎線深谷駅から徒歩20分　深谷市コミュニティバスくるりん　
東部シャトル便深谷赤十字病院から徒歩3分</t>
    <rPh sb="2" eb="5">
      <t>タカサキセン</t>
    </rPh>
    <rPh sb="5" eb="7">
      <t>フカヤ</t>
    </rPh>
    <rPh sb="7" eb="8">
      <t>エキ</t>
    </rPh>
    <rPh sb="10" eb="12">
      <t>トホ</t>
    </rPh>
    <rPh sb="14" eb="15">
      <t>フン</t>
    </rPh>
    <rPh sb="16" eb="18">
      <t>フカヤ</t>
    </rPh>
    <rPh sb="18" eb="19">
      <t>シ</t>
    </rPh>
    <rPh sb="33" eb="35">
      <t>トウブ</t>
    </rPh>
    <rPh sb="39" eb="40">
      <t>ビン</t>
    </rPh>
    <rPh sb="40" eb="42">
      <t>フカヤ</t>
    </rPh>
    <rPh sb="42" eb="45">
      <t>セキジュウジ</t>
    </rPh>
    <rPh sb="45" eb="47">
      <t>ビョウイン</t>
    </rPh>
    <rPh sb="49" eb="51">
      <t>トホ</t>
    </rPh>
    <rPh sb="52" eb="53">
      <t>フン</t>
    </rPh>
    <phoneticPr fontId="2"/>
  </si>
  <si>
    <t>宇都宮線蓮田駅東口から東埼玉病院行バス終点下車</t>
    <rPh sb="0" eb="3">
      <t>ウツノミヤ</t>
    </rPh>
    <rPh sb="3" eb="4">
      <t>セン</t>
    </rPh>
    <rPh sb="4" eb="6">
      <t>ハスダ</t>
    </rPh>
    <rPh sb="6" eb="7">
      <t>エキ</t>
    </rPh>
    <rPh sb="7" eb="9">
      <t>ヒガシグチ</t>
    </rPh>
    <rPh sb="11" eb="12">
      <t>ヒガシ</t>
    </rPh>
    <rPh sb="12" eb="14">
      <t>サイタマ</t>
    </rPh>
    <rPh sb="14" eb="16">
      <t>ビョウイン</t>
    </rPh>
    <rPh sb="16" eb="17">
      <t>イ</t>
    </rPh>
    <rPh sb="19" eb="21">
      <t>シュウテン</t>
    </rPh>
    <rPh sb="21" eb="23">
      <t>ゲシャ</t>
    </rPh>
    <phoneticPr fontId="2"/>
  </si>
  <si>
    <t>児</t>
    <rPh sb="0" eb="1">
      <t>ジ</t>
    </rPh>
    <phoneticPr fontId="37"/>
  </si>
  <si>
    <t>就労移行支援事業所Ｋｉｒａｃｕ南浦和</t>
    <rPh sb="0" eb="2">
      <t>しゅうろう</t>
    </rPh>
    <rPh sb="2" eb="4">
      <t>いこう</t>
    </rPh>
    <rPh sb="4" eb="6">
      <t>しえん</t>
    </rPh>
    <rPh sb="6" eb="9">
      <t>じぎょうしょ</t>
    </rPh>
    <rPh sb="15" eb="18">
      <t>みなみうらわ</t>
    </rPh>
    <phoneticPr fontId="36" type="Hiragana"/>
  </si>
  <si>
    <t>南区根岸１－６－１２　サンセピア３Ｅ号室</t>
    <rPh sb="0" eb="2">
      <t>ミナミク</t>
    </rPh>
    <rPh sb="2" eb="4">
      <t>ネギシ</t>
    </rPh>
    <rPh sb="18" eb="20">
      <t>ゴウシツ</t>
    </rPh>
    <phoneticPr fontId="36"/>
  </si>
  <si>
    <t>336-0024</t>
  </si>
  <si>
    <t>048-749-6077</t>
  </si>
  <si>
    <t>048-749-6088</t>
  </si>
  <si>
    <t>ＪＲ南浦和駅から徒歩9分</t>
    <rPh sb="2" eb="6">
      <t>ミナミウラワエキ</t>
    </rPh>
    <rPh sb="8" eb="10">
      <t>トホ</t>
    </rPh>
    <rPh sb="11" eb="12">
      <t>フン</t>
    </rPh>
    <phoneticPr fontId="37"/>
  </si>
  <si>
    <t>緑区東浦和７－２２－１</t>
    <phoneticPr fontId="36"/>
  </si>
  <si>
    <t>048-829-7642</t>
    <phoneticPr fontId="37"/>
  </si>
  <si>
    <t>048-829-7643</t>
    <phoneticPr fontId="37"/>
  </si>
  <si>
    <t>JR東浦和駅から徒歩１３分</t>
    <rPh sb="2" eb="5">
      <t>ヒガシウラワ</t>
    </rPh>
    <rPh sb="5" eb="6">
      <t>エキ</t>
    </rPh>
    <rPh sb="8" eb="10">
      <t>トホ</t>
    </rPh>
    <rPh sb="12" eb="13">
      <t>フン</t>
    </rPh>
    <phoneticPr fontId="37"/>
  </si>
  <si>
    <t>杉の子マート吉野町店</t>
    <rPh sb="0" eb="1">
      <t>スギノ</t>
    </rPh>
    <rPh sb="2" eb="3">
      <t>ホン</t>
    </rPh>
    <rPh sb="6" eb="9">
      <t>ヨシノチョウ</t>
    </rPh>
    <rPh sb="9" eb="10">
      <t>テン</t>
    </rPh>
    <phoneticPr fontId="40"/>
  </si>
  <si>
    <t>北区吉野町２－２０８－４１</t>
    <rPh sb="0" eb="2">
      <t>キタク</t>
    </rPh>
    <rPh sb="2" eb="5">
      <t>ヨシノチョウ</t>
    </rPh>
    <phoneticPr fontId="36"/>
  </si>
  <si>
    <t>331-0811</t>
  </si>
  <si>
    <t>JR宮原駅から東武バス上尾東口行「鈴木」停留所から徒歩4分</t>
    <rPh sb="2" eb="5">
      <t>ミヤハラエキ</t>
    </rPh>
    <rPh sb="7" eb="9">
      <t>トウブ</t>
    </rPh>
    <rPh sb="11" eb="13">
      <t>アゲオ</t>
    </rPh>
    <rPh sb="13" eb="15">
      <t>ヒガシグチ</t>
    </rPh>
    <rPh sb="15" eb="16">
      <t>ユ</t>
    </rPh>
    <rPh sb="17" eb="19">
      <t>スズキ</t>
    </rPh>
    <rPh sb="20" eb="23">
      <t>テイリュウジョ</t>
    </rPh>
    <rPh sb="25" eb="27">
      <t>トホ</t>
    </rPh>
    <rPh sb="28" eb="29">
      <t>フン</t>
    </rPh>
    <phoneticPr fontId="37"/>
  </si>
  <si>
    <t>デイサービスりあん</t>
    <phoneticPr fontId="36"/>
  </si>
  <si>
    <t>緑区大間木１６０４－２</t>
    <phoneticPr fontId="36"/>
  </si>
  <si>
    <t>048-767-5747</t>
  </si>
  <si>
    <t>048-767-5748</t>
  </si>
  <si>
    <t>(福)白岡白寿会</t>
  </si>
  <si>
    <t>千駄野663-1</t>
  </si>
  <si>
    <t>0480-90-5557</t>
  </si>
  <si>
    <t>0480-90-5556</t>
  </si>
  <si>
    <t>白岡駅東口から徒歩９分
R6.3～　休止中</t>
    <rPh sb="0" eb="2">
      <t>シラオカ</t>
    </rPh>
    <rPh sb="2" eb="3">
      <t>エキ</t>
    </rPh>
    <rPh sb="3" eb="5">
      <t>ヒガシグチ</t>
    </rPh>
    <rPh sb="7" eb="9">
      <t>トホ</t>
    </rPh>
    <rPh sb="10" eb="11">
      <t>フン</t>
    </rPh>
    <rPh sb="18" eb="21">
      <t>キュウシチュウ</t>
    </rPh>
    <phoneticPr fontId="2"/>
  </si>
  <si>
    <t>東大輪菱田1004-2</t>
    <rPh sb="0" eb="1">
      <t>ヒガシ</t>
    </rPh>
    <rPh sb="1" eb="2">
      <t>ダイ</t>
    </rPh>
    <rPh sb="2" eb="3">
      <t>ワ</t>
    </rPh>
    <rPh sb="3" eb="5">
      <t>ヒシダ</t>
    </rPh>
    <phoneticPr fontId="2"/>
  </si>
  <si>
    <t>0480-53-7514</t>
  </si>
  <si>
    <t>0480-53-7515</t>
  </si>
  <si>
    <t>ビーハック日中支援型障がい者グループホーム久喜</t>
    <rPh sb="20" eb="22">
      <t>クキ</t>
    </rPh>
    <phoneticPr fontId="2"/>
  </si>
  <si>
    <t>野久喜７３５－１０</t>
  </si>
  <si>
    <t>どすこい就労支援</t>
    <rPh sb="4" eb="8">
      <t>シュウロウシエン</t>
    </rPh>
    <phoneticPr fontId="2"/>
  </si>
  <si>
    <t>八潮三丁目１７－２７</t>
    <rPh sb="0" eb="2">
      <t>ヤシオ</t>
    </rPh>
    <rPh sb="2" eb="3">
      <t>サン</t>
    </rPh>
    <rPh sb="3" eb="5">
      <t>チョウメ</t>
    </rPh>
    <phoneticPr fontId="2"/>
  </si>
  <si>
    <t>340-0815</t>
  </si>
  <si>
    <t>048-951-7100</t>
  </si>
  <si>
    <t>つくばエクスプレス八潮駅からバス八潮駅北口より綾瀬駅行き「円照寺」下車徒歩３分</t>
    <rPh sb="9" eb="11">
      <t>ヤシオ</t>
    </rPh>
    <rPh sb="11" eb="12">
      <t>エキ</t>
    </rPh>
    <rPh sb="16" eb="19">
      <t>ヤシオエキ</t>
    </rPh>
    <rPh sb="19" eb="21">
      <t>キタグチ</t>
    </rPh>
    <rPh sb="23" eb="27">
      <t>アヤセエキユ</t>
    </rPh>
    <rPh sb="29" eb="32">
      <t>エンショウジ</t>
    </rPh>
    <rPh sb="33" eb="35">
      <t>ゲシャ</t>
    </rPh>
    <rPh sb="35" eb="37">
      <t>トホ</t>
    </rPh>
    <rPh sb="38" eb="39">
      <t>フン</t>
    </rPh>
    <phoneticPr fontId="2"/>
  </si>
  <si>
    <t>アバンティ</t>
  </si>
  <si>
    <t>0480-53-4571</t>
  </si>
  <si>
    <t>0480-53-4572</t>
  </si>
  <si>
    <t>東武動物公園駅西口下車徒歩3分
従たる事業所（アバンティ蓮田)　蓮田駅徒歩7分</t>
    <rPh sb="0" eb="2">
      <t>トウブ</t>
    </rPh>
    <rPh sb="2" eb="4">
      <t>ドウブツ</t>
    </rPh>
    <rPh sb="4" eb="6">
      <t>コウエン</t>
    </rPh>
    <rPh sb="6" eb="7">
      <t>エキ</t>
    </rPh>
    <rPh sb="7" eb="9">
      <t>ニシグチ</t>
    </rPh>
    <rPh sb="9" eb="11">
      <t>ゲシャ</t>
    </rPh>
    <rPh sb="11" eb="13">
      <t>トホ</t>
    </rPh>
    <rPh sb="14" eb="15">
      <t>プン</t>
    </rPh>
    <rPh sb="16" eb="17">
      <t>ジュウ</t>
    </rPh>
    <rPh sb="19" eb="22">
      <t>ジギョウショ</t>
    </rPh>
    <rPh sb="28" eb="30">
      <t>ハスダ</t>
    </rPh>
    <rPh sb="32" eb="35">
      <t>ハスダエキ</t>
    </rPh>
    <rPh sb="35" eb="37">
      <t>トホ</t>
    </rPh>
    <rPh sb="38" eb="39">
      <t>フン</t>
    </rPh>
    <phoneticPr fontId="2"/>
  </si>
  <si>
    <t>04-2937-7308</t>
  </si>
  <si>
    <t>（株）アークリ</t>
    <rPh sb="0" eb="3">
      <t>カブ</t>
    </rPh>
    <phoneticPr fontId="2"/>
  </si>
  <si>
    <t>みどりの郷あすか鶴ヶ島デイセンター</t>
    <rPh sb="4" eb="5">
      <t>サト</t>
    </rPh>
    <rPh sb="8" eb="11">
      <t>ツルガシマ</t>
    </rPh>
    <phoneticPr fontId="2"/>
  </si>
  <si>
    <t>脚折1468-1</t>
    <rPh sb="0" eb="2">
      <t>スネオリ</t>
    </rPh>
    <phoneticPr fontId="2"/>
  </si>
  <si>
    <t>049-298-3485</t>
    <phoneticPr fontId="2"/>
  </si>
  <si>
    <t>049-298-3486</t>
    <phoneticPr fontId="2"/>
  </si>
  <si>
    <t>東武東上線若葉駅から徒歩23分
※共生型</t>
    <rPh sb="0" eb="5">
      <t>トウブトウジョウセン</t>
    </rPh>
    <rPh sb="5" eb="7">
      <t>ワカバ</t>
    </rPh>
    <rPh sb="7" eb="8">
      <t>エキ</t>
    </rPh>
    <rPh sb="10" eb="12">
      <t>トホ</t>
    </rPh>
    <rPh sb="14" eb="15">
      <t>フン</t>
    </rPh>
    <rPh sb="17" eb="20">
      <t>キョウセイガタ</t>
    </rPh>
    <phoneticPr fontId="2"/>
  </si>
  <si>
    <t>（株）ＧＲＡＣＥ</t>
    <rPh sb="0" eb="3">
      <t>カブ</t>
    </rPh>
    <phoneticPr fontId="2"/>
  </si>
  <si>
    <t>ＧＲＡＣＥ</t>
    <phoneticPr fontId="2"/>
  </si>
  <si>
    <t>関沢二丁目２５番４６号ベルメゾン２４３－２０３号室</t>
    <rPh sb="0" eb="2">
      <t>セキザワ</t>
    </rPh>
    <rPh sb="2" eb="5">
      <t>ニチョウメ</t>
    </rPh>
    <rPh sb="7" eb="8">
      <t>バン</t>
    </rPh>
    <rPh sb="10" eb="11">
      <t>ゴウ</t>
    </rPh>
    <rPh sb="23" eb="25">
      <t>ゴウシツ</t>
    </rPh>
    <phoneticPr fontId="2"/>
  </si>
  <si>
    <t>東武東上線鶴瀬駅から徒歩10分</t>
    <rPh sb="0" eb="5">
      <t>トウブトウジョウセン</t>
    </rPh>
    <rPh sb="5" eb="8">
      <t>ツルセエキ</t>
    </rPh>
    <rPh sb="10" eb="12">
      <t>トホ</t>
    </rPh>
    <rPh sb="14" eb="15">
      <t>フン</t>
    </rPh>
    <phoneticPr fontId="2"/>
  </si>
  <si>
    <t>ウーリー伊奈</t>
    <rPh sb="4" eb="6">
      <t>イナ</t>
    </rPh>
    <phoneticPr fontId="2"/>
  </si>
  <si>
    <t>寿2-89
カンエツビル2F</t>
    <rPh sb="0" eb="1">
      <t>コトブキ</t>
    </rPh>
    <phoneticPr fontId="2"/>
  </si>
  <si>
    <t>362-0807</t>
    <phoneticPr fontId="2"/>
  </si>
  <si>
    <t>048-728-3610</t>
    <phoneticPr fontId="2"/>
  </si>
  <si>
    <t>埼玉新都市交通伊奈線（ニューシャトル）羽貫駅徒歩７分</t>
    <rPh sb="19" eb="22">
      <t>ハヌキエキ</t>
    </rPh>
    <rPh sb="22" eb="24">
      <t>トホ</t>
    </rPh>
    <rPh sb="25" eb="26">
      <t>フン</t>
    </rPh>
    <phoneticPr fontId="2"/>
  </si>
  <si>
    <t>（株）デジタルヘルス</t>
    <rPh sb="0" eb="3">
      <t>カブ</t>
    </rPh>
    <phoneticPr fontId="5"/>
  </si>
  <si>
    <t>340-0206</t>
  </si>
  <si>
    <t>0480-57-0808</t>
  </si>
  <si>
    <t>0480-57-0809</t>
  </si>
  <si>
    <t>どっぽ生活介護</t>
    <rPh sb="3" eb="5">
      <t>せいかつ</t>
    </rPh>
    <rPh sb="5" eb="7">
      <t>かいご</t>
    </rPh>
    <phoneticPr fontId="36" type="Hiragana"/>
  </si>
  <si>
    <t>西区高木３３６－１</t>
    <rPh sb="0" eb="2">
      <t>ニシク</t>
    </rPh>
    <rPh sb="2" eb="4">
      <t>タカギ</t>
    </rPh>
    <phoneticPr fontId="36"/>
  </si>
  <si>
    <t>331-0071</t>
  </si>
  <si>
    <t>048-788-5830</t>
  </si>
  <si>
    <t>048-788-5831</t>
  </si>
  <si>
    <t>JR西大宮駅から徒歩16分</t>
    <rPh sb="2" eb="3">
      <t>ニシ</t>
    </rPh>
    <rPh sb="3" eb="5">
      <t>オオミヤ</t>
    </rPh>
    <rPh sb="5" eb="6">
      <t>エキ</t>
    </rPh>
    <rPh sb="8" eb="10">
      <t>トホ</t>
    </rPh>
    <rPh sb="12" eb="13">
      <t>フン</t>
    </rPh>
    <phoneticPr fontId="37"/>
  </si>
  <si>
    <t>かたく里</t>
    <rPh sb="3" eb="4">
      <t>リ</t>
    </rPh>
    <phoneticPr fontId="42"/>
  </si>
  <si>
    <t>浦和区常盤４－１６－９　ＮＹＹ浦和ビル２０２</t>
  </si>
  <si>
    <t>070-8943-3454</t>
  </si>
  <si>
    <t>JR浦和駅から国際興業バス大久保浄水場行「六間道路」停留所下車徒歩1分</t>
    <rPh sb="2" eb="4">
      <t>ウラワ</t>
    </rPh>
    <rPh sb="4" eb="5">
      <t>エキ</t>
    </rPh>
    <rPh sb="7" eb="11">
      <t>コクサイコウギョウ</t>
    </rPh>
    <rPh sb="13" eb="19">
      <t>オオクボジョウスイジョウ</t>
    </rPh>
    <rPh sb="19" eb="20">
      <t>ユ</t>
    </rPh>
    <rPh sb="21" eb="23">
      <t>ロッケン</t>
    </rPh>
    <rPh sb="23" eb="25">
      <t>ドウロ</t>
    </rPh>
    <rPh sb="26" eb="29">
      <t>テイリュウジョ</t>
    </rPh>
    <rPh sb="29" eb="31">
      <t>ゲシャ</t>
    </rPh>
    <rPh sb="31" eb="33">
      <t>トホ</t>
    </rPh>
    <rPh sb="34" eb="35">
      <t>フン</t>
    </rPh>
    <phoneticPr fontId="37"/>
  </si>
  <si>
    <t>ＣｏｃｏｒｐｏｒｔＣｏｌｌｅｇｅ　武蔵浦和キャンパス</t>
    <rPh sb="17" eb="21">
      <t>むさしうらわ</t>
    </rPh>
    <phoneticPr fontId="36" type="Hiragana"/>
  </si>
  <si>
    <t>南区別所６－１３－２０　プレシャスコア武蔵浦和１階</t>
    <rPh sb="0" eb="2">
      <t>ミナミク</t>
    </rPh>
    <rPh sb="2" eb="4">
      <t>ベッショ</t>
    </rPh>
    <rPh sb="19" eb="23">
      <t>ムサシウラワ</t>
    </rPh>
    <rPh sb="24" eb="25">
      <t>カイ</t>
    </rPh>
    <phoneticPr fontId="38"/>
  </si>
  <si>
    <t>048-626-6545</t>
  </si>
  <si>
    <t>048-626-6548</t>
  </si>
  <si>
    <t>JR武蔵浦和駅から徒歩7分</t>
    <rPh sb="2" eb="6">
      <t>ムサシウラワ</t>
    </rPh>
    <rPh sb="6" eb="7">
      <t>エキ</t>
    </rPh>
    <rPh sb="9" eb="11">
      <t>トホ</t>
    </rPh>
    <rPh sb="12" eb="13">
      <t>フン</t>
    </rPh>
    <phoneticPr fontId="37"/>
  </si>
  <si>
    <t>桜区道場１－１０－２</t>
    <phoneticPr fontId="36"/>
  </si>
  <si>
    <t>338-0835</t>
    <phoneticPr fontId="37"/>
  </si>
  <si>
    <t>048-767-5933</t>
    <phoneticPr fontId="37"/>
  </si>
  <si>
    <t>048-767-5953</t>
    <phoneticPr fontId="37"/>
  </si>
  <si>
    <t>ニューロリワーク　大宮南センター</t>
    <rPh sb="9" eb="11">
      <t>おおみや</t>
    </rPh>
    <rPh sb="11" eb="12">
      <t>みなみ</t>
    </rPh>
    <phoneticPr fontId="36" type="Hiragana"/>
  </si>
  <si>
    <t>JR北浦和駅から国際興業バスさいたま新都心駅行「本太中学校」停留所から徒歩1分</t>
    <phoneticPr fontId="37"/>
  </si>
  <si>
    <t>ライフベースはとがや</t>
    <phoneticPr fontId="2" type="Hiragana"/>
  </si>
  <si>
    <t>川口市</t>
    <rPh sb="0" eb="2">
      <t>かわぐち</t>
    </rPh>
    <rPh sb="2" eb="3">
      <t>し</t>
    </rPh>
    <phoneticPr fontId="2" type="Hiragana"/>
  </si>
  <si>
    <t>334-0012</t>
    <phoneticPr fontId="2" type="Hiragana"/>
  </si>
  <si>
    <t>048-229-5402</t>
    <phoneticPr fontId="2" type="Hiragana"/>
  </si>
  <si>
    <t>048-229-5403</t>
    <phoneticPr fontId="2" type="Hiragana"/>
  </si>
  <si>
    <t>（バス）川口駅東口から峯八幡行き「八幡木」徒歩３分</t>
    <rPh sb="4" eb="6">
      <t>かわぐち</t>
    </rPh>
    <rPh sb="6" eb="7">
      <t>えき</t>
    </rPh>
    <rPh sb="7" eb="9">
      <t>ひがしぐち</t>
    </rPh>
    <rPh sb="11" eb="12">
      <t>みね</t>
    </rPh>
    <rPh sb="12" eb="14">
      <t>はちまん</t>
    </rPh>
    <rPh sb="14" eb="15">
      <t>い</t>
    </rPh>
    <rPh sb="17" eb="20">
      <t>はちまんぎ</t>
    </rPh>
    <rPh sb="21" eb="23">
      <t>とほ</t>
    </rPh>
    <rPh sb="24" eb="25">
      <t>ふん</t>
    </rPh>
    <phoneticPr fontId="2" type="Hiragana"/>
  </si>
  <si>
    <t>リズム安行出羽</t>
    <rPh sb="3" eb="7">
      <t>あんぎょうでわ</t>
    </rPh>
    <phoneticPr fontId="2" type="Hiragana"/>
  </si>
  <si>
    <t>334-0052</t>
    <phoneticPr fontId="2" type="Hiragana"/>
  </si>
  <si>
    <t>048-446-6401</t>
    <phoneticPr fontId="2" type="Hiragana"/>
  </si>
  <si>
    <t>048-446-6403</t>
    <phoneticPr fontId="2" type="Hiragana"/>
  </si>
  <si>
    <t>（バス）東川口駅南口から西川口駅東口行き「安行」徒歩５分</t>
    <rPh sb="4" eb="5">
      <t>ひがし</t>
    </rPh>
    <rPh sb="5" eb="7">
      <t>かわぐち</t>
    </rPh>
    <rPh sb="7" eb="8">
      <t>えき</t>
    </rPh>
    <rPh sb="8" eb="10">
      <t>みなみぐち</t>
    </rPh>
    <rPh sb="12" eb="16">
      <t>にしかわぐちえき</t>
    </rPh>
    <rPh sb="16" eb="17">
      <t>ひがし</t>
    </rPh>
    <rPh sb="17" eb="18">
      <t>くち</t>
    </rPh>
    <rPh sb="18" eb="19">
      <t>い</t>
    </rPh>
    <rPh sb="21" eb="23">
      <t>あんぎょう</t>
    </rPh>
    <rPh sb="24" eb="26">
      <t>とほ</t>
    </rPh>
    <rPh sb="27" eb="28">
      <t>ふん</t>
    </rPh>
    <phoneticPr fontId="2" type="Hiragana"/>
  </si>
  <si>
    <t>(一社）武州山谷会</t>
    <rPh sb="1" eb="3">
      <t>イッシャ</t>
    </rPh>
    <rPh sb="4" eb="9">
      <t>ブシュウヤマタニカイ</t>
    </rPh>
    <phoneticPr fontId="2"/>
  </si>
  <si>
    <t>Mountain &amp; Valley春日部店</t>
    <rPh sb="17" eb="21">
      <t>カスカベテン</t>
    </rPh>
    <phoneticPr fontId="2"/>
  </si>
  <si>
    <t>一ノ割1069-1</t>
    <rPh sb="0" eb="1">
      <t>イチ</t>
    </rPh>
    <rPh sb="2" eb="3">
      <t>ワリ</t>
    </rPh>
    <phoneticPr fontId="2"/>
  </si>
  <si>
    <t>344-0031</t>
    <phoneticPr fontId="2"/>
  </si>
  <si>
    <t>048-876-9212</t>
    <phoneticPr fontId="2"/>
  </si>
  <si>
    <t>050-1490-0561</t>
    <phoneticPr fontId="2"/>
  </si>
  <si>
    <t>東武スカイツリーライン一ノ割駅徒歩18分</t>
    <rPh sb="0" eb="2">
      <t>トウブ</t>
    </rPh>
    <rPh sb="11" eb="12">
      <t>イチ</t>
    </rPh>
    <rPh sb="13" eb="15">
      <t>ワリエキ</t>
    </rPh>
    <rPh sb="15" eb="17">
      <t>トホ</t>
    </rPh>
    <rPh sb="19" eb="20">
      <t>プン</t>
    </rPh>
    <phoneticPr fontId="2"/>
  </si>
  <si>
    <t>（株）ツナガリ</t>
    <rPh sb="0" eb="3">
      <t>カブ</t>
    </rPh>
    <phoneticPr fontId="2"/>
  </si>
  <si>
    <t>かすかべさくらカルディア</t>
    <phoneticPr fontId="2"/>
  </si>
  <si>
    <t>中央1-10-3　春日部三樹ビル２階</t>
    <rPh sb="0" eb="2">
      <t>チュウオウ</t>
    </rPh>
    <rPh sb="9" eb="12">
      <t>カスカベ</t>
    </rPh>
    <rPh sb="12" eb="14">
      <t>ミキ</t>
    </rPh>
    <rPh sb="17" eb="18">
      <t>カイ</t>
    </rPh>
    <phoneticPr fontId="2"/>
  </si>
  <si>
    <t>048-795-9001</t>
    <phoneticPr fontId="2"/>
  </si>
  <si>
    <t>048-795-9007</t>
    <phoneticPr fontId="2"/>
  </si>
  <si>
    <t>東武スカイツリーライン春日部駅西口徒歩1分</t>
    <rPh sb="0" eb="2">
      <t>トウブ</t>
    </rPh>
    <rPh sb="11" eb="14">
      <t>カスカベ</t>
    </rPh>
    <rPh sb="14" eb="15">
      <t>エキ</t>
    </rPh>
    <rPh sb="15" eb="17">
      <t>ニシグチ</t>
    </rPh>
    <rPh sb="17" eb="19">
      <t>トホ</t>
    </rPh>
    <rPh sb="20" eb="21">
      <t>プン</t>
    </rPh>
    <phoneticPr fontId="2"/>
  </si>
  <si>
    <t>（同）MIYATA</t>
    <rPh sb="1" eb="2">
      <t>ドウ</t>
    </rPh>
    <phoneticPr fontId="2"/>
  </si>
  <si>
    <t>栗橋中央1-14-12</t>
    <rPh sb="0" eb="4">
      <t>クリハシチュウオウ</t>
    </rPh>
    <phoneticPr fontId="2"/>
  </si>
  <si>
    <t>349-1102</t>
    <phoneticPr fontId="2"/>
  </si>
  <si>
    <t>0480-53-8558</t>
    <phoneticPr fontId="2"/>
  </si>
  <si>
    <t>0480-53-8559</t>
    <phoneticPr fontId="2"/>
  </si>
  <si>
    <t>栗橋駅下車徒歩4分</t>
    <rPh sb="0" eb="2">
      <t>クリハシ</t>
    </rPh>
    <rPh sb="2" eb="3">
      <t>エキ</t>
    </rPh>
    <rPh sb="3" eb="5">
      <t>ゲシャ</t>
    </rPh>
    <rPh sb="5" eb="7">
      <t>トホ</t>
    </rPh>
    <rPh sb="8" eb="9">
      <t>フン</t>
    </rPh>
    <phoneticPr fontId="2"/>
  </si>
  <si>
    <t>医療生協さいたま生活協同組合</t>
    <rPh sb="0" eb="4">
      <t>イリョウセイキョウ</t>
    </rPh>
    <rPh sb="8" eb="14">
      <t>セイカツキョウドウクミアイ</t>
    </rPh>
    <phoneticPr fontId="2"/>
  </si>
  <si>
    <t>ケアホームかしの木</t>
    <rPh sb="8" eb="9">
      <t>キ</t>
    </rPh>
    <phoneticPr fontId="2"/>
  </si>
  <si>
    <t>草加１－８－１３</t>
    <rPh sb="0" eb="2">
      <t>ソウカ</t>
    </rPh>
    <phoneticPr fontId="2"/>
  </si>
  <si>
    <t>340-0043</t>
    <phoneticPr fontId="2"/>
  </si>
  <si>
    <t>048-954-7601</t>
    <phoneticPr fontId="2"/>
  </si>
  <si>
    <t>048-942-7582</t>
    <phoneticPr fontId="2"/>
  </si>
  <si>
    <t>草加駅西口から安行出羽行きバス「草加二丁目」下車徒歩４分
共生型生活介護･共生型短期入所</t>
    <rPh sb="0" eb="2">
      <t>ソウカ</t>
    </rPh>
    <rPh sb="2" eb="3">
      <t>エキ</t>
    </rPh>
    <rPh sb="3" eb="4">
      <t>ニシ</t>
    </rPh>
    <rPh sb="4" eb="5">
      <t>クチ</t>
    </rPh>
    <rPh sb="7" eb="9">
      <t>アンギョウ</t>
    </rPh>
    <rPh sb="9" eb="11">
      <t>デワ</t>
    </rPh>
    <rPh sb="11" eb="12">
      <t>ユ</t>
    </rPh>
    <rPh sb="16" eb="18">
      <t>ソウカ</t>
    </rPh>
    <rPh sb="18" eb="21">
      <t>ニチョウメ</t>
    </rPh>
    <rPh sb="22" eb="24">
      <t>ゲシャ</t>
    </rPh>
    <rPh sb="24" eb="26">
      <t>トホ</t>
    </rPh>
    <rPh sb="27" eb="28">
      <t>フン</t>
    </rPh>
    <rPh sb="29" eb="32">
      <t>キョウセイガタ</t>
    </rPh>
    <rPh sb="32" eb="36">
      <t>セイカツカイゴ</t>
    </rPh>
    <rPh sb="37" eb="40">
      <t>キョウセイガタ</t>
    </rPh>
    <rPh sb="40" eb="44">
      <t>タンキニュウショ</t>
    </rPh>
    <phoneticPr fontId="2"/>
  </si>
  <si>
    <t>048-731-7014</t>
    <phoneticPr fontId="2"/>
  </si>
  <si>
    <t>048-731-7015</t>
    <phoneticPr fontId="2"/>
  </si>
  <si>
    <t>(一社）仁誠会</t>
    <rPh sb="1" eb="3">
      <t>イッシャ</t>
    </rPh>
    <rPh sb="4" eb="7">
      <t>ジンセイカイ</t>
    </rPh>
    <phoneticPr fontId="5"/>
  </si>
  <si>
    <t>グループホーム　ふれーず</t>
    <phoneticPr fontId="5"/>
  </si>
  <si>
    <t>稲荷３丁目２６番６号</t>
    <rPh sb="0" eb="2">
      <t>イナリ</t>
    </rPh>
    <rPh sb="3" eb="5">
      <t>チョウメ</t>
    </rPh>
    <rPh sb="7" eb="8">
      <t>バン</t>
    </rPh>
    <rPh sb="9" eb="10">
      <t>ゴウ</t>
    </rPh>
    <phoneticPr fontId="1"/>
  </si>
  <si>
    <t>340-0003</t>
    <phoneticPr fontId="2"/>
  </si>
  <si>
    <t>048-960-0226</t>
    <phoneticPr fontId="2"/>
  </si>
  <si>
    <t>048-960-0223</t>
    <phoneticPr fontId="2"/>
  </si>
  <si>
    <t>東武スカイツリーライン草加駅東口から東武バス八潮団地行「稲荷三丁目」下車徒歩３分　※共同生活援助との併設</t>
    <rPh sb="0" eb="2">
      <t>トウブ</t>
    </rPh>
    <rPh sb="11" eb="13">
      <t>ソウカ</t>
    </rPh>
    <rPh sb="13" eb="14">
      <t>エキ</t>
    </rPh>
    <rPh sb="14" eb="16">
      <t>ヒガシグチ</t>
    </rPh>
    <rPh sb="18" eb="20">
      <t>トウブ</t>
    </rPh>
    <rPh sb="22" eb="27">
      <t>ヤシオダンチユ</t>
    </rPh>
    <rPh sb="28" eb="33">
      <t>イナリサンチョウメ</t>
    </rPh>
    <rPh sb="34" eb="36">
      <t>ゲシャ</t>
    </rPh>
    <rPh sb="36" eb="38">
      <t>トホ</t>
    </rPh>
    <rPh sb="39" eb="40">
      <t>プン</t>
    </rPh>
    <rPh sb="42" eb="48">
      <t>キョウドウセイカツエンジョ</t>
    </rPh>
    <rPh sb="50" eb="52">
      <t>ヘイセツ</t>
    </rPh>
    <phoneticPr fontId="2"/>
  </si>
  <si>
    <t>ニューロリワーク　春日部センター</t>
    <rPh sb="9" eb="12">
      <t>カスカベ</t>
    </rPh>
    <phoneticPr fontId="2"/>
  </si>
  <si>
    <t>ニューロリワーク　久喜センター</t>
    <rPh sb="9" eb="11">
      <t>クキ</t>
    </rPh>
    <phoneticPr fontId="2"/>
  </si>
  <si>
    <t>（合）こころ</t>
    <rPh sb="1" eb="2">
      <t>ゴウ</t>
    </rPh>
    <phoneticPr fontId="2"/>
  </si>
  <si>
    <t>まごころ</t>
    <phoneticPr fontId="2"/>
  </si>
  <si>
    <t>久下1-1-15</t>
    <rPh sb="0" eb="2">
      <t>クゲ</t>
    </rPh>
    <phoneticPr fontId="2"/>
  </si>
  <si>
    <t>347-0063</t>
    <phoneticPr fontId="2"/>
  </si>
  <si>
    <t>0480-77-5432</t>
    <phoneticPr fontId="2"/>
  </si>
  <si>
    <t>東武伊勢崎線加須駅より徒歩１４分</t>
    <rPh sb="0" eb="6">
      <t>トウブイセザキセン</t>
    </rPh>
    <rPh sb="6" eb="9">
      <t>カゾエキ</t>
    </rPh>
    <rPh sb="11" eb="13">
      <t>トホ</t>
    </rPh>
    <rPh sb="15" eb="16">
      <t>フン</t>
    </rPh>
    <phoneticPr fontId="2"/>
  </si>
  <si>
    <t>（特非）サイシップ</t>
    <rPh sb="1" eb="3">
      <t>トクヒ</t>
    </rPh>
    <phoneticPr fontId="2"/>
  </si>
  <si>
    <t>夢知無恥第二作業所</t>
    <rPh sb="0" eb="9">
      <t>ユメチムチダイ2サギョウショ</t>
    </rPh>
    <phoneticPr fontId="2"/>
  </si>
  <si>
    <t>荒木1970-1</t>
    <rPh sb="0" eb="2">
      <t>アラキ</t>
    </rPh>
    <phoneticPr fontId="2"/>
  </si>
  <si>
    <t>361-0011</t>
    <phoneticPr fontId="2"/>
  </si>
  <si>
    <t>048-598-8783</t>
    <phoneticPr fontId="2"/>
  </si>
  <si>
    <t>048-598-8785</t>
    <phoneticPr fontId="2"/>
  </si>
  <si>
    <t>秩父鉄道東行田駅から徒歩４２分</t>
    <rPh sb="0" eb="4">
      <t>チチブテツドウ</t>
    </rPh>
    <rPh sb="4" eb="8">
      <t>ヒガシギョウダエキ</t>
    </rPh>
    <rPh sb="10" eb="12">
      <t>トホ</t>
    </rPh>
    <rPh sb="14" eb="15">
      <t>フン</t>
    </rPh>
    <phoneticPr fontId="2"/>
  </si>
  <si>
    <t>ふぉれすと伊奈</t>
    <rPh sb="5" eb="7">
      <t>イナ</t>
    </rPh>
    <phoneticPr fontId="2"/>
  </si>
  <si>
    <t>大針656-1</t>
    <rPh sb="0" eb="2">
      <t>オオハリ</t>
    </rPh>
    <phoneticPr fontId="2"/>
  </si>
  <si>
    <t>362-0813</t>
    <phoneticPr fontId="2"/>
  </si>
  <si>
    <t>048-796-8801</t>
    <phoneticPr fontId="2"/>
  </si>
  <si>
    <t>048-884-8133</t>
    <phoneticPr fontId="2"/>
  </si>
  <si>
    <t>埼玉新都市交通伊奈線羽貫駅から徒歩15分
※共生型生活介護・共生型短期入所</t>
    <rPh sb="0" eb="2">
      <t>サイタマ</t>
    </rPh>
    <rPh sb="2" eb="3">
      <t>アラタ</t>
    </rPh>
    <rPh sb="3" eb="5">
      <t>トシ</t>
    </rPh>
    <rPh sb="5" eb="7">
      <t>コウツウ</t>
    </rPh>
    <rPh sb="7" eb="10">
      <t>イナセン</t>
    </rPh>
    <rPh sb="10" eb="12">
      <t>ハヌキ</t>
    </rPh>
    <rPh sb="12" eb="13">
      <t>エキ</t>
    </rPh>
    <rPh sb="15" eb="17">
      <t>トホ</t>
    </rPh>
    <rPh sb="19" eb="20">
      <t>フン</t>
    </rPh>
    <rPh sb="22" eb="25">
      <t>キョウセイガタ</t>
    </rPh>
    <rPh sb="25" eb="29">
      <t>セイカツカイゴ</t>
    </rPh>
    <rPh sb="30" eb="33">
      <t>キョウセイガタ</t>
    </rPh>
    <rPh sb="33" eb="37">
      <t>タンキニュウショ</t>
    </rPh>
    <phoneticPr fontId="2"/>
  </si>
  <si>
    <t>JR上尾駅西口から循環バスぐるっとくん　大石循環「ふじ学園入口」
下車徒歩５分</t>
    <rPh sb="2" eb="5">
      <t>アゲオエキ</t>
    </rPh>
    <rPh sb="5" eb="7">
      <t>ニシグチ</t>
    </rPh>
    <rPh sb="9" eb="11">
      <t>ジュンカン</t>
    </rPh>
    <rPh sb="20" eb="24">
      <t>オオイシジュンカン</t>
    </rPh>
    <rPh sb="27" eb="29">
      <t>ガクエン</t>
    </rPh>
    <rPh sb="29" eb="31">
      <t>イリグチ</t>
    </rPh>
    <rPh sb="33" eb="35">
      <t>ゲシャ</t>
    </rPh>
    <rPh sb="35" eb="37">
      <t>トホ</t>
    </rPh>
    <rPh sb="38" eb="39">
      <t>フン</t>
    </rPh>
    <phoneticPr fontId="2"/>
  </si>
  <si>
    <t>鴻巣市あしたばポプラ作業所</t>
    <rPh sb="0" eb="3">
      <t>コウノスシ</t>
    </rPh>
    <rPh sb="10" eb="13">
      <t>サギョウショ</t>
    </rPh>
    <phoneticPr fontId="2"/>
  </si>
  <si>
    <t>箕田4211-1</t>
    <rPh sb="0" eb="1">
      <t>ミノ</t>
    </rPh>
    <rPh sb="1" eb="2">
      <t>タ</t>
    </rPh>
    <phoneticPr fontId="2"/>
  </si>
  <si>
    <t>高崎線鴻巣駅から車で７分</t>
    <rPh sb="0" eb="2">
      <t>タカサキ</t>
    </rPh>
    <rPh sb="2" eb="3">
      <t>セン</t>
    </rPh>
    <rPh sb="3" eb="5">
      <t>コウノス</t>
    </rPh>
    <rPh sb="5" eb="6">
      <t>エキ</t>
    </rPh>
    <rPh sb="8" eb="9">
      <t>クルマ</t>
    </rPh>
    <rPh sb="11" eb="12">
      <t>フン</t>
    </rPh>
    <phoneticPr fontId="2"/>
  </si>
  <si>
    <t>めぐホーム加須</t>
    <rPh sb="5" eb="7">
      <t>カゾ</t>
    </rPh>
    <phoneticPr fontId="2"/>
  </si>
  <si>
    <t>北下新井字下堤外１８１３－２</t>
    <rPh sb="0" eb="1">
      <t>キタ</t>
    </rPh>
    <rPh sb="1" eb="2">
      <t>シタ</t>
    </rPh>
    <rPh sb="2" eb="4">
      <t>アライ</t>
    </rPh>
    <rPh sb="4" eb="5">
      <t>アザ</t>
    </rPh>
    <rPh sb="5" eb="6">
      <t>シタ</t>
    </rPh>
    <rPh sb="6" eb="7">
      <t>ツツミ</t>
    </rPh>
    <rPh sb="7" eb="8">
      <t>ソト</t>
    </rPh>
    <phoneticPr fontId="2"/>
  </si>
  <si>
    <t>349-1134</t>
    <phoneticPr fontId="2"/>
  </si>
  <si>
    <t>03-5830-9050</t>
    <phoneticPr fontId="2"/>
  </si>
  <si>
    <t>03-5830-9051</t>
    <phoneticPr fontId="2"/>
  </si>
  <si>
    <t>JR栗橋駅より徒歩２４分
※共同生活援助との併設</t>
    <rPh sb="2" eb="4">
      <t>クリハシ</t>
    </rPh>
    <rPh sb="4" eb="5">
      <t>エキ</t>
    </rPh>
    <rPh sb="7" eb="9">
      <t>トホ</t>
    </rPh>
    <rPh sb="11" eb="12">
      <t>フン</t>
    </rPh>
    <phoneticPr fontId="2"/>
  </si>
  <si>
    <t>(株)ココルポート</t>
    <rPh sb="0" eb="3">
      <t>カブシキガイシャ</t>
    </rPh>
    <phoneticPr fontId="2"/>
  </si>
  <si>
    <t>東住吉15-21 LeSoleil紫峰 1階A号室</t>
    <rPh sb="0" eb="1">
      <t>ヒガシ</t>
    </rPh>
    <rPh sb="1" eb="3">
      <t>スミヨシ</t>
    </rPh>
    <rPh sb="17" eb="19">
      <t>シホウ</t>
    </rPh>
    <rPh sb="21" eb="22">
      <t>カイ</t>
    </rPh>
    <rPh sb="23" eb="25">
      <t>ゴウシツ</t>
    </rPh>
    <phoneticPr fontId="2"/>
  </si>
  <si>
    <t>359-1124</t>
    <phoneticPr fontId="2"/>
  </si>
  <si>
    <t>04-2997-8515</t>
    <phoneticPr fontId="2"/>
  </si>
  <si>
    <t>04-2997-8516</t>
    <phoneticPr fontId="2"/>
  </si>
  <si>
    <t>西武線所沢駅西口徒歩５分</t>
    <rPh sb="0" eb="3">
      <t>セイブセン</t>
    </rPh>
    <rPh sb="3" eb="5">
      <t>トコロザワ</t>
    </rPh>
    <rPh sb="5" eb="6">
      <t>エキ</t>
    </rPh>
    <rPh sb="6" eb="8">
      <t>ニシグチ</t>
    </rPh>
    <rPh sb="8" eb="10">
      <t>トホ</t>
    </rPh>
    <rPh sb="11" eb="12">
      <t>フン</t>
    </rPh>
    <phoneticPr fontId="2"/>
  </si>
  <si>
    <t>049-215-3132</t>
    <phoneticPr fontId="2"/>
  </si>
  <si>
    <t>mina lab.</t>
    <phoneticPr fontId="2"/>
  </si>
  <si>
    <t>越ケ谷2-8-9</t>
    <rPh sb="0" eb="3">
      <t>コシガヤ</t>
    </rPh>
    <phoneticPr fontId="2"/>
  </si>
  <si>
    <t>080-4364-5451</t>
    <phoneticPr fontId="2"/>
  </si>
  <si>
    <t>東部スカイツリーライン越谷駅徒歩１０分</t>
    <rPh sb="0" eb="2">
      <t>トウブ</t>
    </rPh>
    <rPh sb="11" eb="14">
      <t>コシガヤエキ</t>
    </rPh>
    <rPh sb="14" eb="16">
      <t>トホ</t>
    </rPh>
    <rPh sb="18" eb="19">
      <t>プン</t>
    </rPh>
    <phoneticPr fontId="2"/>
  </si>
  <si>
    <t>Ｃｏｃｏｒｐｏｒｔ南浦和駅前Ｏｆｆｉｃｅ</t>
    <rPh sb="9" eb="12">
      <t>みなみうらわ</t>
    </rPh>
    <rPh sb="12" eb="13">
      <t>えき</t>
    </rPh>
    <rPh sb="13" eb="14">
      <t>まえ</t>
    </rPh>
    <phoneticPr fontId="36" type="Hiragana"/>
  </si>
  <si>
    <t>南区南浦和２－４４－９　榎本第３ビル４階</t>
    <rPh sb="0" eb="2">
      <t>ミナミク</t>
    </rPh>
    <rPh sb="2" eb="5">
      <t>ミナミウラワ</t>
    </rPh>
    <rPh sb="12" eb="14">
      <t>エノモト</t>
    </rPh>
    <rPh sb="14" eb="15">
      <t>ダイ</t>
    </rPh>
    <rPh sb="19" eb="20">
      <t>カイ</t>
    </rPh>
    <phoneticPr fontId="36"/>
  </si>
  <si>
    <t>048-714-5418</t>
  </si>
  <si>
    <t>048-714-5419</t>
  </si>
  <si>
    <t>ＪＲ南浦和駅から徒歩3分</t>
    <rPh sb="2" eb="6">
      <t>ミナミウラワエキ</t>
    </rPh>
    <rPh sb="8" eb="10">
      <t>トホ</t>
    </rPh>
    <rPh sb="11" eb="12">
      <t>フン</t>
    </rPh>
    <phoneticPr fontId="37"/>
  </si>
  <si>
    <t>ゆい</t>
  </si>
  <si>
    <t>緑区大間木７４６</t>
  </si>
  <si>
    <t>048-712-2525</t>
  </si>
  <si>
    <t>048-712-2526</t>
  </si>
  <si>
    <t>ＪＲ東浦和駅から国際興業バス乗車
尾間木バス停下車徒歩5分</t>
    <rPh sb="2" eb="5">
      <t>ヒガシウラワ</t>
    </rPh>
    <rPh sb="5" eb="6">
      <t>エキ</t>
    </rPh>
    <rPh sb="8" eb="10">
      <t>コクサイ</t>
    </rPh>
    <rPh sb="10" eb="12">
      <t>コウギョウ</t>
    </rPh>
    <rPh sb="14" eb="16">
      <t>ジョウシャ</t>
    </rPh>
    <rPh sb="17" eb="20">
      <t>オマギ</t>
    </rPh>
    <rPh sb="22" eb="23">
      <t>テイ</t>
    </rPh>
    <rPh sb="23" eb="25">
      <t>ゲシャ</t>
    </rPh>
    <rPh sb="25" eb="27">
      <t>トホ</t>
    </rPh>
    <rPh sb="28" eb="29">
      <t>フン</t>
    </rPh>
    <phoneticPr fontId="37"/>
  </si>
  <si>
    <t>杉の子くりーにんぐ</t>
  </si>
  <si>
    <t>大宮区上小町８４９－６</t>
  </si>
  <si>
    <t>JR大宮駅から西武バス乗車
上小交番バス停下車徒歩2分</t>
    <rPh sb="2" eb="5">
      <t>オオミヤエキ</t>
    </rPh>
    <rPh sb="7" eb="9">
      <t>セイブ</t>
    </rPh>
    <rPh sb="11" eb="13">
      <t>ジョウシャ</t>
    </rPh>
    <rPh sb="14" eb="16">
      <t>カミコ</t>
    </rPh>
    <rPh sb="16" eb="18">
      <t>コウバン</t>
    </rPh>
    <rPh sb="20" eb="23">
      <t>テイゲシャ</t>
    </rPh>
    <rPh sb="23" eb="25">
      <t>トホ</t>
    </rPh>
    <rPh sb="26" eb="27">
      <t>フン</t>
    </rPh>
    <phoneticPr fontId="37"/>
  </si>
  <si>
    <t>短期入所クライスさいたま松本</t>
    <rPh sb="0" eb="1">
      <t>たんき</t>
    </rPh>
    <rPh sb="1" eb="3">
      <t>にゅうしょ</t>
    </rPh>
    <rPh sb="12" eb="14">
      <t>まつもと</t>
    </rPh>
    <phoneticPr fontId="36" type="Hiragana"/>
  </si>
  <si>
    <t>南区松本３－７－２０</t>
    <phoneticPr fontId="37"/>
  </si>
  <si>
    <t>336-0035</t>
    <phoneticPr fontId="37"/>
  </si>
  <si>
    <t>048-626-6962</t>
  </si>
  <si>
    <t>048-626-6963</t>
  </si>
  <si>
    <t>ＪＲ西浦和駅から徒歩20分</t>
    <rPh sb="2" eb="5">
      <t>ニシウラワ</t>
    </rPh>
    <rPh sb="5" eb="6">
      <t>エキ</t>
    </rPh>
    <rPh sb="8" eb="10">
      <t>トホ</t>
    </rPh>
    <rPh sb="12" eb="13">
      <t>フン</t>
    </rPh>
    <phoneticPr fontId="37"/>
  </si>
  <si>
    <t>大宮駅から徒歩8分
※自立訓練（生活訓練）：大宮区宮町４－１４４　古賀屋SKビル２F</t>
    <rPh sb="0" eb="2">
      <t>オオミヤ</t>
    </rPh>
    <rPh sb="2" eb="3">
      <t>エキ</t>
    </rPh>
    <rPh sb="5" eb="7">
      <t>トホ</t>
    </rPh>
    <rPh sb="8" eb="9">
      <t>フン</t>
    </rPh>
    <rPh sb="11" eb="15">
      <t>ジリツクンレン</t>
    </rPh>
    <rPh sb="16" eb="20">
      <t>セイカツクンレン</t>
    </rPh>
    <phoneticPr fontId="2"/>
  </si>
  <si>
    <t>緑区原山３－２０－９</t>
    <phoneticPr fontId="37"/>
  </si>
  <si>
    <t>浦和駅東口から国際興業バス東川口駅北口行き「原山三丁目」徒歩3分</t>
    <rPh sb="0" eb="3">
      <t>ウラワエキ</t>
    </rPh>
    <rPh sb="3" eb="5">
      <t>ヒガシグチ</t>
    </rPh>
    <rPh sb="7" eb="11">
      <t>コクサイコウギョウ</t>
    </rPh>
    <rPh sb="13" eb="17">
      <t>ヒガシカワグチエキ</t>
    </rPh>
    <rPh sb="17" eb="20">
      <t>キタグチユ</t>
    </rPh>
    <rPh sb="22" eb="24">
      <t>ハラヤマ</t>
    </rPh>
    <rPh sb="24" eb="27">
      <t>サンチョウメ</t>
    </rPh>
    <rPh sb="28" eb="30">
      <t>トホ</t>
    </rPh>
    <rPh sb="31" eb="32">
      <t>プン</t>
    </rPh>
    <phoneticPr fontId="37"/>
  </si>
  <si>
    <t>大字吉田175番地1</t>
    <rPh sb="0" eb="2">
      <t>オオアザ</t>
    </rPh>
    <rPh sb="2" eb="4">
      <t>ヨシダ</t>
    </rPh>
    <rPh sb="7" eb="9">
      <t>バンチ</t>
    </rPh>
    <phoneticPr fontId="1"/>
  </si>
  <si>
    <t>多機能型事業所ガムとゴム川口</t>
    <rPh sb="0" eb="7">
      <t>たきのうがたじぎょうしょ</t>
    </rPh>
    <rPh sb="12" eb="14">
      <t>かわぐち</t>
    </rPh>
    <phoneticPr fontId="2" type="Hiragana"/>
  </si>
  <si>
    <t>川口市</t>
    <rPh sb="0" eb="2">
      <t>かわぐち</t>
    </rPh>
    <rPh sb="2" eb="3">
      <t>し</t>
    </rPh>
    <phoneticPr fontId="2" type="Hiragana"/>
  </si>
  <si>
    <t>332-0016</t>
    <phoneticPr fontId="2" type="Hiragana"/>
  </si>
  <si>
    <t>048-420-9958</t>
    <phoneticPr fontId="2" type="Hiragana"/>
  </si>
  <si>
    <t>048-420-9959</t>
    <phoneticPr fontId="2" type="Hiragana"/>
  </si>
  <si>
    <t>（バス）川口駅東口からサンテピア行き「幸町三丁目」徒歩４分</t>
    <rPh sb="4" eb="6">
      <t>かわぐち</t>
    </rPh>
    <rPh sb="6" eb="7">
      <t>えき</t>
    </rPh>
    <rPh sb="7" eb="9">
      <t>ひがしぐち</t>
    </rPh>
    <rPh sb="16" eb="17">
      <t>い</t>
    </rPh>
    <rPh sb="19" eb="21">
      <t>さいわいちょう</t>
    </rPh>
    <rPh sb="21" eb="24">
      <t>さんちょうめ</t>
    </rPh>
    <rPh sb="25" eb="27">
      <t>とほ</t>
    </rPh>
    <rPh sb="28" eb="29">
      <t>ふん</t>
    </rPh>
    <phoneticPr fontId="2" type="Hiragana"/>
  </si>
  <si>
    <t>就労定着支援事業所カルディア三郷</t>
    <phoneticPr fontId="2"/>
  </si>
  <si>
    <t>（株）Ｃａｍａｒｏ</t>
    <rPh sb="1" eb="2">
      <t>カブ</t>
    </rPh>
    <phoneticPr fontId="2"/>
  </si>
  <si>
    <t>ＯＮＥＧＡＭＥ草加谷塚</t>
    <rPh sb="7" eb="11">
      <t>ソウカヤツカ</t>
    </rPh>
    <phoneticPr fontId="2"/>
  </si>
  <si>
    <t>谷塚町595-2 東部ビル3階</t>
    <rPh sb="0" eb="3">
      <t>ヤツカチョウ</t>
    </rPh>
    <rPh sb="9" eb="11">
      <t>トウブ</t>
    </rPh>
    <rPh sb="14" eb="15">
      <t>カイ</t>
    </rPh>
    <phoneticPr fontId="2"/>
  </si>
  <si>
    <t>080-4431-4829</t>
    <phoneticPr fontId="2"/>
  </si>
  <si>
    <t>東武カイツリーライン谷塚駅徒歩５分</t>
    <rPh sb="0" eb="2">
      <t>トウブ</t>
    </rPh>
    <rPh sb="10" eb="13">
      <t>ヤツカエキ</t>
    </rPh>
    <rPh sb="13" eb="15">
      <t>トホ</t>
    </rPh>
    <rPh sb="16" eb="17">
      <t>フン</t>
    </rPh>
    <phoneticPr fontId="2"/>
  </si>
  <si>
    <t>(有)キープ</t>
    <rPh sb="0" eb="3">
      <t>ユウ</t>
    </rPh>
    <phoneticPr fontId="2"/>
  </si>
  <si>
    <t>ＦＩＯＲＥＴＴＯ</t>
    <phoneticPr fontId="2"/>
  </si>
  <si>
    <t>牛島125-1</t>
    <rPh sb="0" eb="2">
      <t>ウシジマ</t>
    </rPh>
    <phoneticPr fontId="2"/>
  </si>
  <si>
    <t>344-0004</t>
    <phoneticPr fontId="2"/>
  </si>
  <si>
    <t>048-795-9246</t>
    <phoneticPr fontId="2"/>
  </si>
  <si>
    <t>048-795-9247</t>
    <phoneticPr fontId="2"/>
  </si>
  <si>
    <t>東武アーバンパークライン藤の牛島駅から徒歩2分</t>
    <rPh sb="0" eb="2">
      <t>トウブ</t>
    </rPh>
    <rPh sb="12" eb="13">
      <t>フジ</t>
    </rPh>
    <rPh sb="14" eb="16">
      <t>ウシジマ</t>
    </rPh>
    <rPh sb="16" eb="17">
      <t>エキ</t>
    </rPh>
    <rPh sb="19" eb="21">
      <t>トホ</t>
    </rPh>
    <rPh sb="22" eb="23">
      <t>フン</t>
    </rPh>
    <phoneticPr fontId="2"/>
  </si>
  <si>
    <t>北鴻巣駅から市内循環バス「フラワー号」広田コース「北根新田」下車
R6.5～休止中</t>
    <rPh sb="0" eb="1">
      <t>キタ</t>
    </rPh>
    <rPh sb="1" eb="3">
      <t>コウノス</t>
    </rPh>
    <rPh sb="3" eb="4">
      <t>エキ</t>
    </rPh>
    <rPh sb="6" eb="8">
      <t>シナイ</t>
    </rPh>
    <rPh sb="8" eb="10">
      <t>ジュンカン</t>
    </rPh>
    <rPh sb="17" eb="18">
      <t>ゴウ</t>
    </rPh>
    <rPh sb="19" eb="21">
      <t>ヒロタ</t>
    </rPh>
    <rPh sb="25" eb="27">
      <t>キタネ</t>
    </rPh>
    <rPh sb="27" eb="29">
      <t>シンデン</t>
    </rPh>
    <rPh sb="30" eb="32">
      <t>ゲシャ</t>
    </rPh>
    <rPh sb="38" eb="41">
      <t>キュウシチュウ</t>
    </rPh>
    <phoneticPr fontId="2"/>
  </si>
  <si>
    <t>（株）プルス</t>
    <rPh sb="1" eb="2">
      <t>カブ</t>
    </rPh>
    <phoneticPr fontId="2"/>
  </si>
  <si>
    <t>就労移行支援B型事業所クライムナウ</t>
    <rPh sb="0" eb="2">
      <t>シュウロウ</t>
    </rPh>
    <rPh sb="2" eb="4">
      <t>イコウ</t>
    </rPh>
    <rPh sb="4" eb="6">
      <t>シエン</t>
    </rPh>
    <rPh sb="7" eb="8">
      <t>ガタ</t>
    </rPh>
    <rPh sb="8" eb="11">
      <t>ジギョウショ</t>
    </rPh>
    <phoneticPr fontId="2"/>
  </si>
  <si>
    <t>本住町8番3号</t>
    <rPh sb="0" eb="3">
      <t>モトスミチョウ</t>
    </rPh>
    <rPh sb="4" eb="5">
      <t>バン</t>
    </rPh>
    <rPh sb="6" eb="7">
      <t>ゴウ</t>
    </rPh>
    <phoneticPr fontId="2"/>
  </si>
  <si>
    <t>048-578-4585</t>
    <phoneticPr fontId="2"/>
  </si>
  <si>
    <t>048-578-4586</t>
    <phoneticPr fontId="2"/>
  </si>
  <si>
    <t>JR高崎線深谷駅から徒歩１４分</t>
    <rPh sb="2" eb="5">
      <t>タカサキセン</t>
    </rPh>
    <rPh sb="5" eb="8">
      <t>フカヤエキ</t>
    </rPh>
    <rPh sb="10" eb="12">
      <t>トホ</t>
    </rPh>
    <rPh sb="14" eb="15">
      <t>フン</t>
    </rPh>
    <phoneticPr fontId="2"/>
  </si>
  <si>
    <t>障害者就労継続支援施設Ｂ型　こねくと</t>
    <rPh sb="0" eb="3">
      <t>ショウガイシャ</t>
    </rPh>
    <rPh sb="3" eb="11">
      <t>シュウロウケイゾクシエンシセツ</t>
    </rPh>
    <rPh sb="12" eb="13">
      <t>ガタ</t>
    </rPh>
    <phoneticPr fontId="2"/>
  </si>
  <si>
    <t>関口88-4</t>
    <rPh sb="0" eb="2">
      <t>セキグチ</t>
    </rPh>
    <phoneticPr fontId="2"/>
  </si>
  <si>
    <t>367-0246</t>
    <phoneticPr fontId="2"/>
  </si>
  <si>
    <t>0495-71-7910</t>
    <phoneticPr fontId="2"/>
  </si>
  <si>
    <t>0495-71-7911</t>
    <phoneticPr fontId="2"/>
  </si>
  <si>
    <t>JR八高線丹荘駅から徒歩４分</t>
    <rPh sb="2" eb="3">
      <t>ハチ</t>
    </rPh>
    <rPh sb="3" eb="4">
      <t>タカ</t>
    </rPh>
    <rPh sb="4" eb="5">
      <t>セン</t>
    </rPh>
    <rPh sb="5" eb="7">
      <t>タンショウ</t>
    </rPh>
    <rPh sb="7" eb="8">
      <t>エキ</t>
    </rPh>
    <rPh sb="10" eb="12">
      <t>トホ</t>
    </rPh>
    <rPh sb="13" eb="14">
      <t>フン</t>
    </rPh>
    <phoneticPr fontId="2"/>
  </si>
  <si>
    <t>短期入所　熊谷広瀬</t>
    <rPh sb="0" eb="4">
      <t>タンキニュウショ</t>
    </rPh>
    <rPh sb="5" eb="7">
      <t>クマガヤ</t>
    </rPh>
    <rPh sb="7" eb="9">
      <t>ヒロセ</t>
    </rPh>
    <phoneticPr fontId="5"/>
  </si>
  <si>
    <t>広瀬142－1</t>
    <rPh sb="0" eb="2">
      <t>ヒロセ</t>
    </rPh>
    <phoneticPr fontId="1"/>
  </si>
  <si>
    <t>360-0833</t>
    <phoneticPr fontId="2"/>
  </si>
  <si>
    <t>048-579-5197</t>
    <phoneticPr fontId="2"/>
  </si>
  <si>
    <t>048-579-5198</t>
    <phoneticPr fontId="2"/>
  </si>
  <si>
    <t>秩父本線石原駅から車で５分
※共同生活援助との併設</t>
    <rPh sb="0" eb="4">
      <t>チチブホンセン</t>
    </rPh>
    <rPh sb="4" eb="6">
      <t>イシハラ</t>
    </rPh>
    <rPh sb="6" eb="7">
      <t>エキ</t>
    </rPh>
    <rPh sb="9" eb="10">
      <t>クルマ</t>
    </rPh>
    <rPh sb="12" eb="13">
      <t>フン</t>
    </rPh>
    <phoneticPr fontId="2"/>
  </si>
  <si>
    <t>短期入所　鴻巣広田</t>
    <rPh sb="0" eb="4">
      <t>タンキニュウショ</t>
    </rPh>
    <rPh sb="5" eb="9">
      <t>コウノスヒロタ</t>
    </rPh>
    <phoneticPr fontId="5"/>
  </si>
  <si>
    <t>広田1354-1</t>
    <rPh sb="0" eb="2">
      <t>ヒロタ</t>
    </rPh>
    <phoneticPr fontId="1"/>
  </si>
  <si>
    <t>365-0005</t>
    <phoneticPr fontId="2"/>
  </si>
  <si>
    <t>048-598-6216</t>
    <phoneticPr fontId="2"/>
  </si>
  <si>
    <t>048-598-6217</t>
    <phoneticPr fontId="2"/>
  </si>
  <si>
    <t>JR高崎線北鴻巣駅から車で１３分
※共同生活援助との併設</t>
    <rPh sb="2" eb="5">
      <t>タカサキセン</t>
    </rPh>
    <rPh sb="5" eb="9">
      <t>キタコウノスエキ</t>
    </rPh>
    <rPh sb="11" eb="12">
      <t>クルマ</t>
    </rPh>
    <rPh sb="15" eb="16">
      <t>フン</t>
    </rPh>
    <phoneticPr fontId="2"/>
  </si>
  <si>
    <t>共生型デイサービスセンター言葉の森</t>
    <rPh sb="0" eb="3">
      <t>キョウセイガタ</t>
    </rPh>
    <rPh sb="13" eb="15">
      <t>コトバ</t>
    </rPh>
    <rPh sb="16" eb="17">
      <t>モリ</t>
    </rPh>
    <phoneticPr fontId="2"/>
  </si>
  <si>
    <t>宮本町3-63-1</t>
    <rPh sb="0" eb="3">
      <t>ミヤモトチョウ</t>
    </rPh>
    <phoneticPr fontId="2"/>
  </si>
  <si>
    <t>343-0806</t>
    <phoneticPr fontId="2"/>
  </si>
  <si>
    <t>048-973-0061</t>
    <phoneticPr fontId="2"/>
  </si>
  <si>
    <t>048-973-062</t>
    <phoneticPr fontId="2"/>
  </si>
  <si>
    <t>東武スカイツリーライン越谷駅徒歩15分</t>
    <rPh sb="0" eb="2">
      <t>トウブ</t>
    </rPh>
    <rPh sb="11" eb="14">
      <t>コシガヤエキ</t>
    </rPh>
    <rPh sb="14" eb="16">
      <t>トホ</t>
    </rPh>
    <rPh sb="18" eb="19">
      <t>プン</t>
    </rPh>
    <phoneticPr fontId="2"/>
  </si>
  <si>
    <t>就労継続支援A型事業所フルオール</t>
    <rPh sb="0" eb="2">
      <t>しゅうろう</t>
    </rPh>
    <rPh sb="2" eb="4">
      <t>けいぞく</t>
    </rPh>
    <rPh sb="4" eb="6">
      <t>しえん</t>
    </rPh>
    <rPh sb="7" eb="8">
      <t>かた</t>
    </rPh>
    <rPh sb="8" eb="11">
      <t>じぎょうしょ</t>
    </rPh>
    <phoneticPr fontId="36" type="Hiragana"/>
  </si>
  <si>
    <t>岩槻区東岩槻６－１－１</t>
    <rPh sb="0" eb="3">
      <t>イワツキク</t>
    </rPh>
    <rPh sb="3" eb="4">
      <t>ヒガシ</t>
    </rPh>
    <rPh sb="4" eb="6">
      <t>イワツキ</t>
    </rPh>
    <phoneticPr fontId="36"/>
  </si>
  <si>
    <t>339-0005</t>
  </si>
  <si>
    <t>048-606-4265</t>
  </si>
  <si>
    <t>048-606-4266</t>
  </si>
  <si>
    <t>東武野田線東岩槻駅から徒歩2分</t>
    <rPh sb="0" eb="5">
      <t>トウブノダセン</t>
    </rPh>
    <rPh sb="5" eb="6">
      <t>ヒガシ</t>
    </rPh>
    <rPh sb="6" eb="8">
      <t>イワツキ</t>
    </rPh>
    <rPh sb="8" eb="9">
      <t>エキ</t>
    </rPh>
    <rPh sb="11" eb="13">
      <t>トホ</t>
    </rPh>
    <rPh sb="14" eb="15">
      <t>フン</t>
    </rPh>
    <phoneticPr fontId="37"/>
  </si>
  <si>
    <t>ふくろうの家</t>
    <rPh sb="5" eb="6">
      <t>いえ</t>
    </rPh>
    <phoneticPr fontId="37" type="Hiragana"/>
  </si>
  <si>
    <t>見沼区東宮下１４４－３</t>
  </si>
  <si>
    <t>377-0012</t>
  </si>
  <si>
    <t>070-9335-5137</t>
  </si>
  <si>
    <t>東武野田線七里駅から国際興業バス宮下停留所下車徒歩1分</t>
    <rPh sb="0" eb="5">
      <t>トウブノダセン</t>
    </rPh>
    <rPh sb="5" eb="7">
      <t>ナナサト</t>
    </rPh>
    <rPh sb="7" eb="8">
      <t>エキ</t>
    </rPh>
    <rPh sb="10" eb="14">
      <t>コクサイコウギョウ</t>
    </rPh>
    <rPh sb="16" eb="18">
      <t>ミヤシタ</t>
    </rPh>
    <rPh sb="18" eb="21">
      <t>テイリュウジョ</t>
    </rPh>
    <rPh sb="21" eb="25">
      <t>ゲシャトホ</t>
    </rPh>
    <rPh sb="26" eb="27">
      <t>プン</t>
    </rPh>
    <phoneticPr fontId="37"/>
  </si>
  <si>
    <t>ウェルビー大宮大栄橋センター</t>
  </si>
  <si>
    <t>048-783-4018</t>
  </si>
  <si>
    <t>048-783-4019</t>
  </si>
  <si>
    <t>大宮駅西口から徒歩8分</t>
    <rPh sb="0" eb="3">
      <t>オオミヤエキ</t>
    </rPh>
    <rPh sb="3" eb="5">
      <t>ニシグチ</t>
    </rPh>
    <rPh sb="7" eb="9">
      <t>トホ</t>
    </rPh>
    <rPh sb="10" eb="11">
      <t>フン</t>
    </rPh>
    <phoneticPr fontId="37"/>
  </si>
  <si>
    <t>JR大宮駅より西武バス三橋２丁目停留所下車徒歩1分</t>
    <rPh sb="2" eb="4">
      <t>オオミヤ</t>
    </rPh>
    <rPh sb="4" eb="5">
      <t>エキ</t>
    </rPh>
    <rPh sb="7" eb="9">
      <t>セイブ</t>
    </rPh>
    <rPh sb="11" eb="13">
      <t>ミハシ</t>
    </rPh>
    <rPh sb="14" eb="16">
      <t>チョウメ</t>
    </rPh>
    <rPh sb="16" eb="19">
      <t>テイリュウジョ</t>
    </rPh>
    <rPh sb="19" eb="21">
      <t>ゲシャ</t>
    </rPh>
    <rPh sb="21" eb="23">
      <t>トホ</t>
    </rPh>
    <rPh sb="24" eb="25">
      <t>プン</t>
    </rPh>
    <phoneticPr fontId="37"/>
  </si>
  <si>
    <t>ぷらえば浦和北</t>
  </si>
  <si>
    <t>048-971-6932</t>
  </si>
  <si>
    <t>048-971-7936</t>
  </si>
  <si>
    <t>JR北浦和駅西口から徒歩11分</t>
    <rPh sb="2" eb="3">
      <t>キタ</t>
    </rPh>
    <rPh sb="3" eb="5">
      <t>ウラワ</t>
    </rPh>
    <rPh sb="5" eb="6">
      <t>エキ</t>
    </rPh>
    <rPh sb="6" eb="8">
      <t>ニシグチ</t>
    </rPh>
    <rPh sb="10" eb="12">
      <t>トホ</t>
    </rPh>
    <rPh sb="14" eb="15">
      <t>フン</t>
    </rPh>
    <phoneticPr fontId="37"/>
  </si>
  <si>
    <t>330-0856</t>
    <phoneticPr fontId="37"/>
  </si>
  <si>
    <t>048-610-8563</t>
    <phoneticPr fontId="37"/>
  </si>
  <si>
    <t>050-5240-3487</t>
    <phoneticPr fontId="37"/>
  </si>
  <si>
    <t>○</t>
    <phoneticPr fontId="37"/>
  </si>
  <si>
    <t>さんご指扇</t>
    <rPh sb="3" eb="5">
      <t>サシオウギ</t>
    </rPh>
    <phoneticPr fontId="40"/>
  </si>
  <si>
    <t>西区大字西遊馬１５９９－１</t>
    <rPh sb="0" eb="2">
      <t>ニシク</t>
    </rPh>
    <rPh sb="2" eb="4">
      <t>オオアザ</t>
    </rPh>
    <rPh sb="4" eb="7">
      <t>ニシアスマ</t>
    </rPh>
    <phoneticPr fontId="40"/>
  </si>
  <si>
    <t>川口市</t>
    <rPh sb="0" eb="2">
      <t>かわぐち</t>
    </rPh>
    <rPh sb="2" eb="3">
      <t>し</t>
    </rPh>
    <phoneticPr fontId="20" type="Hiragana"/>
  </si>
  <si>
    <t>タカマーミ川口</t>
    <rPh sb="5" eb="7">
      <t>かわぐち</t>
    </rPh>
    <phoneticPr fontId="20" type="Hiragana"/>
  </si>
  <si>
    <t>川口市</t>
    <rPh sb="0" eb="3">
      <t>かわぐちし</t>
    </rPh>
    <phoneticPr fontId="20" type="Hiragana"/>
  </si>
  <si>
    <t>334-0074</t>
  </si>
  <si>
    <t>（バス）南鳩ヶ谷駅入口からサンテピア行き「江戸二丁目」から徒歩６分</t>
    <rPh sb="4" eb="5">
      <t>みなみ</t>
    </rPh>
    <rPh sb="5" eb="8">
      <t>はとがや</t>
    </rPh>
    <rPh sb="8" eb="9">
      <t>えき</t>
    </rPh>
    <rPh sb="9" eb="11">
      <t>いりぐち</t>
    </rPh>
    <rPh sb="18" eb="19">
      <t>いき</t>
    </rPh>
    <rPh sb="21" eb="23">
      <t>えど</t>
    </rPh>
    <rPh sb="23" eb="24">
      <t>に</t>
    </rPh>
    <rPh sb="24" eb="26">
      <t>ちょうめ</t>
    </rPh>
    <rPh sb="29" eb="31">
      <t>とほ</t>
    </rPh>
    <rPh sb="32" eb="33">
      <t>ふん</t>
    </rPh>
    <phoneticPr fontId="20" type="Hiragana"/>
  </si>
  <si>
    <t>西川口1-6-17
扶桑ビル7階</t>
    <rPh sb="0" eb="3">
      <t>にしかわぐち</t>
    </rPh>
    <rPh sb="10" eb="12">
      <t>ふそう</t>
    </rPh>
    <rPh sb="15" eb="16">
      <t>かい</t>
    </rPh>
    <phoneticPr fontId="20" type="Hiragana"/>
  </si>
  <si>
    <t>０４８－２５１－３００１</t>
  </si>
  <si>
    <t>０４８－２５１－３００２</t>
  </si>
  <si>
    <t>（電車）西川口駅西口から徒歩１分</t>
    <rPh sb="1" eb="3">
      <t>でんしゃ</t>
    </rPh>
    <rPh sb="4" eb="8">
      <t>にしかわぐちえき</t>
    </rPh>
    <rPh sb="8" eb="10">
      <t>にしぐち</t>
    </rPh>
    <rPh sb="12" eb="14">
      <t>とほ</t>
    </rPh>
    <rPh sb="15" eb="16">
      <t>ふん</t>
    </rPh>
    <phoneticPr fontId="20" type="Hiragana"/>
  </si>
  <si>
    <t>ITグループ（株）</t>
    <rPh sb="6" eb="9">
      <t>カブ</t>
    </rPh>
    <phoneticPr fontId="2"/>
  </si>
  <si>
    <t>リバイブ蕨</t>
    <rPh sb="4" eb="5">
      <t>ワラビ</t>
    </rPh>
    <phoneticPr fontId="2"/>
  </si>
  <si>
    <t>中央３丁目７－１　ブラッケンハウス１F</t>
    <rPh sb="0" eb="2">
      <t>チュウオウ</t>
    </rPh>
    <rPh sb="3" eb="5">
      <t>チョウメ</t>
    </rPh>
    <phoneticPr fontId="2"/>
  </si>
  <si>
    <t>048-229-2261</t>
    <phoneticPr fontId="2"/>
  </si>
  <si>
    <t>048-229-2261</t>
  </si>
  <si>
    <t>JR高崎線蕨駅から徒歩６分</t>
    <rPh sb="2" eb="5">
      <t>タカサキセン</t>
    </rPh>
    <rPh sb="5" eb="6">
      <t>ワラビ</t>
    </rPh>
    <rPh sb="6" eb="7">
      <t>エキ</t>
    </rPh>
    <rPh sb="9" eb="11">
      <t>トホ</t>
    </rPh>
    <rPh sb="12" eb="13">
      <t>フン</t>
    </rPh>
    <phoneticPr fontId="2"/>
  </si>
  <si>
    <t>ビオトープ（株）</t>
    <rPh sb="5" eb="8">
      <t>カブ</t>
    </rPh>
    <phoneticPr fontId="5"/>
  </si>
  <si>
    <t>ビオトープ　狭山ベース</t>
    <rPh sb="6" eb="8">
      <t>サヤマ</t>
    </rPh>
    <phoneticPr fontId="5"/>
  </si>
  <si>
    <t>狭山市入間川２丁目６番２２号</t>
    <rPh sb="0" eb="3">
      <t>サヤマシ</t>
    </rPh>
    <rPh sb="3" eb="6">
      <t>イルマガワ</t>
    </rPh>
    <rPh sb="7" eb="9">
      <t>チョウメ</t>
    </rPh>
    <rPh sb="10" eb="11">
      <t>バン</t>
    </rPh>
    <rPh sb="13" eb="14">
      <t>ゴウ</t>
    </rPh>
    <phoneticPr fontId="1"/>
  </si>
  <si>
    <t>04-2937-6817</t>
    <phoneticPr fontId="2"/>
  </si>
  <si>
    <t>04-2937-6818</t>
    <phoneticPr fontId="2"/>
  </si>
  <si>
    <t>西武新宿線狭山市駅から徒歩４分</t>
    <rPh sb="0" eb="5">
      <t>セイブシンジュクセン</t>
    </rPh>
    <rPh sb="5" eb="7">
      <t>サヤマ</t>
    </rPh>
    <rPh sb="7" eb="9">
      <t>シエキ</t>
    </rPh>
    <rPh sb="11" eb="13">
      <t>トホ</t>
    </rPh>
    <rPh sb="14" eb="15">
      <t>フン</t>
    </rPh>
    <phoneticPr fontId="2"/>
  </si>
  <si>
    <t>蒔田579番地4</t>
    <rPh sb="0" eb="2">
      <t>マキタ</t>
    </rPh>
    <rPh sb="5" eb="7">
      <t>バンチ</t>
    </rPh>
    <phoneticPr fontId="2"/>
  </si>
  <si>
    <t>秩父鉄道和銅黒谷駅より徒歩23分。または、秩父鉄道秩父駅より西武バス乗車、沼木バス停より徒歩9分。西部秩父線西武秩父駅より西武バス乗車、沼木バス停より徒歩9分。</t>
    <rPh sb="0" eb="2">
      <t>チチブ</t>
    </rPh>
    <rPh sb="2" eb="4">
      <t>テツドウ</t>
    </rPh>
    <rPh sb="4" eb="6">
      <t>ワドウ</t>
    </rPh>
    <rPh sb="6" eb="8">
      <t>クロタニ</t>
    </rPh>
    <rPh sb="8" eb="9">
      <t>エキ</t>
    </rPh>
    <rPh sb="11" eb="13">
      <t>トホ</t>
    </rPh>
    <rPh sb="15" eb="16">
      <t>フン</t>
    </rPh>
    <rPh sb="21" eb="23">
      <t>チチブ</t>
    </rPh>
    <rPh sb="23" eb="25">
      <t>テツドウ</t>
    </rPh>
    <rPh sb="25" eb="28">
      <t>チチブエキ</t>
    </rPh>
    <rPh sb="30" eb="32">
      <t>セイブ</t>
    </rPh>
    <rPh sb="34" eb="36">
      <t>ジョウシャ</t>
    </rPh>
    <rPh sb="37" eb="39">
      <t>ヌマキ</t>
    </rPh>
    <rPh sb="41" eb="42">
      <t>テイ</t>
    </rPh>
    <rPh sb="44" eb="46">
      <t>トホ</t>
    </rPh>
    <rPh sb="47" eb="48">
      <t>フン</t>
    </rPh>
    <rPh sb="49" eb="51">
      <t>セイブ</t>
    </rPh>
    <rPh sb="51" eb="53">
      <t>チチブ</t>
    </rPh>
    <rPh sb="53" eb="54">
      <t>セン</t>
    </rPh>
    <rPh sb="54" eb="59">
      <t>セイブチチブエキ</t>
    </rPh>
    <rPh sb="61" eb="63">
      <t>セイブ</t>
    </rPh>
    <rPh sb="65" eb="67">
      <t>ジョウシャ</t>
    </rPh>
    <rPh sb="68" eb="70">
      <t>ヌマキ</t>
    </rPh>
    <rPh sb="72" eb="73">
      <t>テイ</t>
    </rPh>
    <rPh sb="75" eb="77">
      <t>トホ</t>
    </rPh>
    <rPh sb="78" eb="79">
      <t>フン</t>
    </rPh>
    <phoneticPr fontId="2"/>
  </si>
  <si>
    <t>(株）Ｂ－ＷＯＲＫ</t>
    <rPh sb="1" eb="2">
      <t>カブ</t>
    </rPh>
    <phoneticPr fontId="2"/>
  </si>
  <si>
    <t>総活躍　久喜</t>
    <rPh sb="0" eb="3">
      <t>ソウカツヤク</t>
    </rPh>
    <rPh sb="4" eb="6">
      <t>クキ</t>
    </rPh>
    <phoneticPr fontId="5"/>
  </si>
  <si>
    <t>久喜北２丁目２－５４</t>
    <phoneticPr fontId="5"/>
  </si>
  <si>
    <t>346-0007</t>
    <phoneticPr fontId="5"/>
  </si>
  <si>
    <t>048-050-9464</t>
    <phoneticPr fontId="5"/>
  </si>
  <si>
    <t>JR久喜駅から徒歩21分</t>
    <rPh sb="2" eb="5">
      <t>クキエキ</t>
    </rPh>
    <rPh sb="7" eb="9">
      <t>トホ</t>
    </rPh>
    <rPh sb="11" eb="12">
      <t>プン</t>
    </rPh>
    <phoneticPr fontId="5"/>
  </si>
  <si>
    <t>（一社）キャリカ</t>
    <rPh sb="1" eb="3">
      <t>イッシャ</t>
    </rPh>
    <phoneticPr fontId="2"/>
  </si>
  <si>
    <t>キャリカ草加</t>
    <rPh sb="4" eb="6">
      <t>ソウカ</t>
    </rPh>
    <phoneticPr fontId="2"/>
  </si>
  <si>
    <t>中央一丁目１番１２号 松ロイヤルビル４階</t>
    <rPh sb="0" eb="2">
      <t>チュウオウ</t>
    </rPh>
    <rPh sb="2" eb="3">
      <t>イッ</t>
    </rPh>
    <rPh sb="3" eb="5">
      <t>チョウメ</t>
    </rPh>
    <rPh sb="6" eb="7">
      <t>バン</t>
    </rPh>
    <rPh sb="9" eb="10">
      <t>ゴウ</t>
    </rPh>
    <phoneticPr fontId="2"/>
  </si>
  <si>
    <t>340-0016</t>
    <phoneticPr fontId="5"/>
  </si>
  <si>
    <t>048-954-7670</t>
    <phoneticPr fontId="5"/>
  </si>
  <si>
    <t>048-954-7672</t>
    <phoneticPr fontId="5"/>
  </si>
  <si>
    <t>東武伊勢崎線草加駅東口から徒歩5分</t>
    <phoneticPr fontId="5"/>
  </si>
  <si>
    <t>短期入所　久喜栗橋東</t>
    <rPh sb="0" eb="4">
      <t>タンキニュウショ</t>
    </rPh>
    <rPh sb="5" eb="7">
      <t>クキ</t>
    </rPh>
    <rPh sb="7" eb="9">
      <t>クリハシ</t>
    </rPh>
    <rPh sb="9" eb="10">
      <t>ヒガシ</t>
    </rPh>
    <phoneticPr fontId="5"/>
  </si>
  <si>
    <t>栗橋東5丁目9番22号</t>
    <rPh sb="0" eb="2">
      <t>クリハシ</t>
    </rPh>
    <rPh sb="2" eb="3">
      <t>ヒガシ</t>
    </rPh>
    <rPh sb="4" eb="6">
      <t>チョウメ</t>
    </rPh>
    <rPh sb="7" eb="8">
      <t>バン</t>
    </rPh>
    <rPh sb="10" eb="11">
      <t>ゴウ</t>
    </rPh>
    <phoneticPr fontId="1"/>
  </si>
  <si>
    <t>349-1103</t>
    <phoneticPr fontId="2"/>
  </si>
  <si>
    <t>0480-48-6761</t>
    <phoneticPr fontId="2"/>
  </si>
  <si>
    <t>0480-48-6763</t>
    <phoneticPr fontId="2"/>
  </si>
  <si>
    <t>JR栗橋駅から徒歩１５分
※共同生活援助との併設</t>
    <rPh sb="2" eb="4">
      <t>クリハシ</t>
    </rPh>
    <rPh sb="4" eb="5">
      <t>エキ</t>
    </rPh>
    <rPh sb="7" eb="9">
      <t>トホ</t>
    </rPh>
    <rPh sb="11" eb="12">
      <t>フン</t>
    </rPh>
    <phoneticPr fontId="2"/>
  </si>
  <si>
    <t>就労定着支援事業所stara新越谷</t>
    <rPh sb="0" eb="6">
      <t>シュウロウテイチャクシエン</t>
    </rPh>
    <rPh sb="6" eb="9">
      <t>ジギョウショ</t>
    </rPh>
    <rPh sb="14" eb="17">
      <t>シンコシガヤ</t>
    </rPh>
    <phoneticPr fontId="2"/>
  </si>
  <si>
    <t>南越谷1-19-5　森ビル３階</t>
    <rPh sb="0" eb="3">
      <t>ミナミコシガヤ</t>
    </rPh>
    <rPh sb="10" eb="11">
      <t>モリ</t>
    </rPh>
    <rPh sb="14" eb="15">
      <t>カイ</t>
    </rPh>
    <phoneticPr fontId="2"/>
  </si>
  <si>
    <t>048-988-9999</t>
    <phoneticPr fontId="2"/>
  </si>
  <si>
    <t>048-988-9989</t>
    <phoneticPr fontId="2"/>
  </si>
  <si>
    <t>東武スカイツリーライン新越谷駅徒歩1分</t>
    <rPh sb="0" eb="2">
      <t>トウブ</t>
    </rPh>
    <rPh sb="11" eb="15">
      <t>シンコシガヤエキ</t>
    </rPh>
    <rPh sb="15" eb="17">
      <t>トホ</t>
    </rPh>
    <rPh sb="18" eb="19">
      <t>フン</t>
    </rPh>
    <phoneticPr fontId="2"/>
  </si>
  <si>
    <t>stara 蒲生</t>
    <rPh sb="6" eb="8">
      <t>ガモウ</t>
    </rPh>
    <phoneticPr fontId="2"/>
  </si>
  <si>
    <t>蒲生西町2-1-23</t>
    <rPh sb="0" eb="2">
      <t>ガモウ</t>
    </rPh>
    <phoneticPr fontId="2"/>
  </si>
  <si>
    <t>343-0835</t>
    <phoneticPr fontId="2"/>
  </si>
  <si>
    <t>048-972-5804</t>
    <phoneticPr fontId="2"/>
  </si>
  <si>
    <t>048-972-5834</t>
    <phoneticPr fontId="2"/>
  </si>
  <si>
    <t>東武スカイツリーライン蒲生駅徒歩4分</t>
    <rPh sb="0" eb="2">
      <t>トウブ</t>
    </rPh>
    <rPh sb="11" eb="13">
      <t>ガモウ</t>
    </rPh>
    <rPh sb="13" eb="14">
      <t>エキ</t>
    </rPh>
    <rPh sb="14" eb="16">
      <t>トホ</t>
    </rPh>
    <rPh sb="17" eb="18">
      <t>フン</t>
    </rPh>
    <phoneticPr fontId="2"/>
  </si>
  <si>
    <t>赤山本町14-7</t>
    <rPh sb="0" eb="4">
      <t>アカヤマホンチョウ</t>
    </rPh>
    <phoneticPr fontId="2"/>
  </si>
  <si>
    <t>東武スカイツリーライン越谷駅徒歩7分</t>
    <rPh sb="0" eb="2">
      <t>トウブ</t>
    </rPh>
    <rPh sb="11" eb="13">
      <t>コシガヤ</t>
    </rPh>
    <rPh sb="13" eb="14">
      <t>エキ</t>
    </rPh>
    <rPh sb="14" eb="16">
      <t>トホ</t>
    </rPh>
    <rPh sb="17" eb="18">
      <t>フン</t>
    </rPh>
    <phoneticPr fontId="2"/>
  </si>
  <si>
    <t>ピア・リハステーション　ダイアリー</t>
  </si>
  <si>
    <t>見沼区南中野９３０－１</t>
  </si>
  <si>
    <t>048-812-7180</t>
  </si>
  <si>
    <t>048-884-9852</t>
  </si>
  <si>
    <t>R大宮駅東口から国際興業バス乗車　「庚申塚」バス停下車徒歩７分
「チルドレンズ・リハステーション　ダイアリー」（児発・放デイ）との多機能型</t>
    <rPh sb="56" eb="57">
      <t>ジ</t>
    </rPh>
    <rPh sb="57" eb="58">
      <t>ハツ</t>
    </rPh>
    <rPh sb="59" eb="60">
      <t>ホウ</t>
    </rPh>
    <rPh sb="65" eb="69">
      <t>タキノウガタ</t>
    </rPh>
    <phoneticPr fontId="2"/>
  </si>
  <si>
    <t>リハビリ＆デイサービス　ダイアリー</t>
  </si>
  <si>
    <t>048-682-2150</t>
  </si>
  <si>
    <t>R大宮駅東口から国際興業バス乗車　「庚申塚」バス停下車徒歩７分
共生型。本体は通所介護。</t>
    <rPh sb="32" eb="35">
      <t>キョウセイガタ</t>
    </rPh>
    <rPh sb="36" eb="38">
      <t>ホンタイ</t>
    </rPh>
    <rPh sb="39" eb="41">
      <t>ツウショ</t>
    </rPh>
    <rPh sb="41" eb="43">
      <t>カイゴ</t>
    </rPh>
    <phoneticPr fontId="2"/>
  </si>
  <si>
    <t>緑区三室７１８７</t>
  </si>
  <si>
    <t>048-816-9660</t>
  </si>
  <si>
    <t>見沼区大和田町１－１０８６－１</t>
  </si>
  <si>
    <t>048-685-0988</t>
  </si>
  <si>
    <t>見沼区南中野９０８－６</t>
    <rPh sb="0" eb="2">
      <t>ミヌマ</t>
    </rPh>
    <rPh sb="2" eb="3">
      <t>ク</t>
    </rPh>
    <rPh sb="3" eb="4">
      <t>ミナミ</t>
    </rPh>
    <rPh sb="4" eb="6">
      <t>ナカノ</t>
    </rPh>
    <phoneticPr fontId="40"/>
  </si>
  <si>
    <t>大宮駅東口東武バス「庚申塚」下車徒歩７分</t>
    <phoneticPr fontId="37"/>
  </si>
  <si>
    <t>FOREST東浦和</t>
    <rPh sb="6" eb="9">
      <t>ヒガシウラワ</t>
    </rPh>
    <phoneticPr fontId="4"/>
  </si>
  <si>
    <t>就労継続支援A型事業所ANDSMILE</t>
    <rPh sb="0" eb="6">
      <t>しゅうろうけいぞくしえん</t>
    </rPh>
    <rPh sb="7" eb="11">
      <t>がたじぎょうしょ</t>
    </rPh>
    <phoneticPr fontId="20" type="Hiragana"/>
  </si>
  <si>
    <t>川口市</t>
    <rPh sb="0" eb="3">
      <t>かわぐちし</t>
    </rPh>
    <phoneticPr fontId="20" type="Hiragana"/>
  </si>
  <si>
    <t>048-606-3705</t>
  </si>
  <si>
    <t>048-606-3706</t>
  </si>
  <si>
    <t>（電車）西川口駅西口から徒歩２分</t>
    <rPh sb="1" eb="3">
      <t>でんしゃ</t>
    </rPh>
    <rPh sb="4" eb="8">
      <t>にしかわぐちえき</t>
    </rPh>
    <rPh sb="8" eb="10">
      <t>にしぐち</t>
    </rPh>
    <rPh sb="12" eb="14">
      <t>とほ</t>
    </rPh>
    <rPh sb="15" eb="16">
      <t>ふん</t>
    </rPh>
    <phoneticPr fontId="20" type="Hiragana"/>
  </si>
  <si>
    <t>ジョブポイントらいく・ゆー川口</t>
    <rPh sb="13" eb="15">
      <t>かわぐち</t>
    </rPh>
    <phoneticPr fontId="20" type="Hiragana"/>
  </si>
  <si>
    <t>332-0017</t>
  </si>
  <si>
    <t>048-229-4007</t>
  </si>
  <si>
    <t>048-229-4008</t>
  </si>
  <si>
    <t>（電車）川口駅東口から徒歩６分</t>
    <rPh sb="1" eb="3">
      <t>でんしゃ</t>
    </rPh>
    <rPh sb="4" eb="7">
      <t>かわぐちえき</t>
    </rPh>
    <rPh sb="7" eb="9">
      <t>ひがしぐち</t>
    </rPh>
    <rPh sb="11" eb="13">
      <t>とほ</t>
    </rPh>
    <rPh sb="14" eb="15">
      <t>ふん</t>
    </rPh>
    <phoneticPr fontId="20" type="Hiragana"/>
  </si>
  <si>
    <t>医療的ケア対応支援グループホーム　グレイスジュミ</t>
    <rPh sb="0" eb="3">
      <t>いりょうてき</t>
    </rPh>
    <rPh sb="5" eb="9">
      <t>たいおうしえん</t>
    </rPh>
    <phoneticPr fontId="20" type="Hiragana"/>
  </si>
  <si>
    <t>334-0015</t>
  </si>
  <si>
    <t>090-1214-8958</t>
  </si>
  <si>
    <t>（電車）南鳩ヶ谷駅西口から徒歩１０分</t>
    <rPh sb="1" eb="3">
      <t>でんしゃ</t>
    </rPh>
    <rPh sb="4" eb="5">
      <t>みなみ</t>
    </rPh>
    <rPh sb="5" eb="8">
      <t>はとがや</t>
    </rPh>
    <rPh sb="8" eb="9">
      <t>えき</t>
    </rPh>
    <rPh sb="9" eb="11">
      <t>にしぐち</t>
    </rPh>
    <rPh sb="13" eb="15">
      <t>とほ</t>
    </rPh>
    <rPh sb="17" eb="18">
      <t>ふん</t>
    </rPh>
    <phoneticPr fontId="20" type="Hiragana"/>
  </si>
  <si>
    <t>グリーンジョブくまがや</t>
    <phoneticPr fontId="2"/>
  </si>
  <si>
    <t>万吉２７１０番地</t>
    <rPh sb="0" eb="2">
      <t>マンキチ</t>
    </rPh>
    <rPh sb="6" eb="8">
      <t>バンチ</t>
    </rPh>
    <phoneticPr fontId="2"/>
  </si>
  <si>
    <t>360-0161</t>
    <phoneticPr fontId="2"/>
  </si>
  <si>
    <t>048-539-2201</t>
  </si>
  <si>
    <t>熊谷駅南口から大橋南バス停まで10分、大橋南バス停から事業所まで15分。</t>
    <rPh sb="0" eb="2">
      <t>クマガヤ</t>
    </rPh>
    <rPh sb="2" eb="3">
      <t>エキ</t>
    </rPh>
    <rPh sb="3" eb="5">
      <t>ミナミグチ</t>
    </rPh>
    <rPh sb="7" eb="10">
      <t>オオハシミナミ</t>
    </rPh>
    <rPh sb="12" eb="13">
      <t>テイ</t>
    </rPh>
    <rPh sb="17" eb="18">
      <t>フン</t>
    </rPh>
    <rPh sb="19" eb="22">
      <t>オオハシミナミ</t>
    </rPh>
    <rPh sb="24" eb="25">
      <t>テイ</t>
    </rPh>
    <rPh sb="27" eb="29">
      <t>ジギョウ</t>
    </rPh>
    <rPh sb="29" eb="30">
      <t>トコロ</t>
    </rPh>
    <rPh sb="34" eb="35">
      <t>フン</t>
    </rPh>
    <phoneticPr fontId="2"/>
  </si>
  <si>
    <t>(特非)CILひこうせん</t>
    <rPh sb="1" eb="2">
      <t>トク</t>
    </rPh>
    <rPh sb="2" eb="3">
      <t>ヒ</t>
    </rPh>
    <phoneticPr fontId="2"/>
  </si>
  <si>
    <t>向町21番37号</t>
    <rPh sb="0" eb="2">
      <t>ムコウマチ</t>
    </rPh>
    <rPh sb="4" eb="5">
      <t>バン</t>
    </rPh>
    <rPh sb="7" eb="8">
      <t>ゴウ</t>
    </rPh>
    <phoneticPr fontId="2"/>
  </si>
  <si>
    <t>048-555-1301</t>
    <phoneticPr fontId="5"/>
  </si>
  <si>
    <t>本町6-11-15</t>
    <rPh sb="0" eb="2">
      <t>ホンチョウ</t>
    </rPh>
    <phoneticPr fontId="2"/>
  </si>
  <si>
    <t>362-0014</t>
    <phoneticPr fontId="2"/>
  </si>
  <si>
    <t>ＪＲ高崎線上尾駅から徒歩22分</t>
    <rPh sb="2" eb="4">
      <t>タカサキ</t>
    </rPh>
    <rPh sb="4" eb="5">
      <t>セン</t>
    </rPh>
    <rPh sb="5" eb="7">
      <t>アゲオ</t>
    </rPh>
    <rPh sb="7" eb="8">
      <t>エキ</t>
    </rPh>
    <rPh sb="10" eb="12">
      <t>トホ</t>
    </rPh>
    <rPh sb="14" eb="15">
      <t>フン</t>
    </rPh>
    <phoneticPr fontId="2"/>
  </si>
  <si>
    <t>（一社）サアラ</t>
    <rPh sb="1" eb="3">
      <t>イッシャ</t>
    </rPh>
    <phoneticPr fontId="5"/>
  </si>
  <si>
    <t>サアラホーム　ときがわ</t>
    <phoneticPr fontId="5"/>
  </si>
  <si>
    <t>玉川字狐塚６５９番地１</t>
    <rPh sb="0" eb="2">
      <t>タマガワ</t>
    </rPh>
    <rPh sb="2" eb="3">
      <t>アザ</t>
    </rPh>
    <rPh sb="3" eb="5">
      <t>キツネヅカ</t>
    </rPh>
    <rPh sb="8" eb="10">
      <t>バンチ</t>
    </rPh>
    <phoneticPr fontId="1"/>
  </si>
  <si>
    <t>355-0342</t>
    <phoneticPr fontId="2"/>
  </si>
  <si>
    <t>049-283-0808</t>
    <phoneticPr fontId="2"/>
  </si>
  <si>
    <t>049-298-8603</t>
    <phoneticPr fontId="2"/>
  </si>
  <si>
    <t>難</t>
    <rPh sb="0" eb="1">
      <t>ナン</t>
    </rPh>
    <phoneticPr fontId="5"/>
  </si>
  <si>
    <t>JR八高線明覚駅から車で５分
※共同生活援助との併設</t>
    <rPh sb="2" eb="5">
      <t>ハチコウセン</t>
    </rPh>
    <rPh sb="5" eb="7">
      <t>ミョウカク</t>
    </rPh>
    <rPh sb="7" eb="8">
      <t>エキ</t>
    </rPh>
    <rPh sb="10" eb="11">
      <t>クルマ</t>
    </rPh>
    <rPh sb="13" eb="14">
      <t>フン</t>
    </rPh>
    <phoneticPr fontId="2"/>
  </si>
  <si>
    <t>プアナ事業所</t>
    <rPh sb="3" eb="6">
      <t>ジギョウショ</t>
    </rPh>
    <phoneticPr fontId="2"/>
  </si>
  <si>
    <t>大塚２３６－１</t>
    <rPh sb="0" eb="2">
      <t>オオツカ</t>
    </rPh>
    <phoneticPr fontId="2"/>
  </si>
  <si>
    <t>JR八高線小川町駅から徒歩７分</t>
    <rPh sb="2" eb="3">
      <t>ハチ</t>
    </rPh>
    <rPh sb="3" eb="4">
      <t>タカ</t>
    </rPh>
    <rPh sb="4" eb="5">
      <t>セン</t>
    </rPh>
    <rPh sb="5" eb="9">
      <t>オガワマチエキ</t>
    </rPh>
    <rPh sb="11" eb="13">
      <t>トホ</t>
    </rPh>
    <rPh sb="14" eb="15">
      <t>フン</t>
    </rPh>
    <phoneticPr fontId="2"/>
  </si>
  <si>
    <t>（一社）キセキ</t>
    <rPh sb="1" eb="3">
      <t>イッシャ</t>
    </rPh>
    <phoneticPr fontId="2"/>
  </si>
  <si>
    <t>Ｈａｐｐｙ　Ｂｅｌｌ</t>
    <phoneticPr fontId="2"/>
  </si>
  <si>
    <t>緑町４番地８</t>
    <rPh sb="0" eb="2">
      <t>ミドリチョウ</t>
    </rPh>
    <rPh sb="3" eb="5">
      <t>バンチ</t>
    </rPh>
    <phoneticPr fontId="2"/>
  </si>
  <si>
    <t>350--234</t>
    <phoneticPr fontId="2"/>
  </si>
  <si>
    <t>東武東上線坂戸駅から徒歩３分</t>
    <rPh sb="0" eb="5">
      <t>トウブトウジョウセン</t>
    </rPh>
    <rPh sb="5" eb="8">
      <t>サカドエキ</t>
    </rPh>
    <rPh sb="10" eb="12">
      <t>トホ</t>
    </rPh>
    <rPh sb="13" eb="14">
      <t>フン</t>
    </rPh>
    <phoneticPr fontId="2"/>
  </si>
  <si>
    <t>TOKUZO WORKS 戸田公園</t>
    <phoneticPr fontId="5"/>
  </si>
  <si>
    <t>下前2-7-13ブラン・セラヴィ1階</t>
    <phoneticPr fontId="2"/>
  </si>
  <si>
    <t>335-0016</t>
    <phoneticPr fontId="2"/>
  </si>
  <si>
    <t>048-430-7979</t>
    <phoneticPr fontId="2"/>
  </si>
  <si>
    <t>048-430-7250</t>
    <phoneticPr fontId="2"/>
  </si>
  <si>
    <t>JR埼京線戸田公園駅から徒歩８分</t>
    <rPh sb="2" eb="5">
      <t>サイキョウセン</t>
    </rPh>
    <rPh sb="5" eb="10">
      <t>トダコウエンエキ</t>
    </rPh>
    <rPh sb="12" eb="14">
      <t>トホ</t>
    </rPh>
    <rPh sb="15" eb="16">
      <t>フン</t>
    </rPh>
    <phoneticPr fontId="2"/>
  </si>
  <si>
    <t>049-292-9227</t>
    <phoneticPr fontId="2"/>
  </si>
  <si>
    <t>049-292-9221</t>
    <phoneticPr fontId="37"/>
  </si>
  <si>
    <t>048-291-8477</t>
    <phoneticPr fontId="2" type="Hiragana"/>
  </si>
  <si>
    <t>就労継続支援B型事業所　クローバー南越谷</t>
    <rPh sb="0" eb="6">
      <t>シュウロウケイゾクシエン</t>
    </rPh>
    <rPh sb="7" eb="8">
      <t>カタ</t>
    </rPh>
    <rPh sb="8" eb="10">
      <t>ジギョウ</t>
    </rPh>
    <rPh sb="10" eb="11">
      <t>ショ</t>
    </rPh>
    <rPh sb="17" eb="20">
      <t>ミナミコシガヤ</t>
    </rPh>
    <phoneticPr fontId="2"/>
  </si>
  <si>
    <t>南越谷5-12-5　ウエストパレス1階</t>
    <rPh sb="0" eb="3">
      <t>ミナミコシガヤ</t>
    </rPh>
    <rPh sb="18" eb="19">
      <t>カイ</t>
    </rPh>
    <phoneticPr fontId="2"/>
  </si>
  <si>
    <t>048-940-9412</t>
    <phoneticPr fontId="2"/>
  </si>
  <si>
    <t>048-940-9413</t>
    <phoneticPr fontId="2"/>
  </si>
  <si>
    <t>東武スカイツリーライン蒲生駅徒歩6分</t>
    <rPh sb="0" eb="2">
      <t>トウブ</t>
    </rPh>
    <rPh sb="11" eb="14">
      <t>ガモウエキ</t>
    </rPh>
    <rPh sb="14" eb="16">
      <t>トホ</t>
    </rPh>
    <rPh sb="17" eb="18">
      <t>プン</t>
    </rPh>
    <phoneticPr fontId="2"/>
  </si>
  <si>
    <t>ディーエンカレッジ　大宮キャンパス</t>
    <rPh sb="10" eb="12">
      <t>おおみや</t>
    </rPh>
    <phoneticPr fontId="5" type="Hiragana"/>
  </si>
  <si>
    <t>中央区上落合８－１４－１９　草野上落合ビル３階</t>
  </si>
  <si>
    <t>048-829-7608</t>
  </si>
  <si>
    <t>048-829-7609</t>
  </si>
  <si>
    <t>ＪＲ大宮駅より徒歩10分</t>
    <rPh sb="2" eb="4">
      <t>オオミヤ</t>
    </rPh>
    <rPh sb="4" eb="5">
      <t>エキ</t>
    </rPh>
    <rPh sb="7" eb="9">
      <t>トホ</t>
    </rPh>
    <rPh sb="11" eb="12">
      <t>フン</t>
    </rPh>
    <phoneticPr fontId="2"/>
  </si>
  <si>
    <t>就労継続支援Ｂ型事業所エミタス</t>
    <rPh sb="0" eb="2">
      <t>しゅうろう</t>
    </rPh>
    <rPh sb="2" eb="4">
      <t>けいぞく</t>
    </rPh>
    <rPh sb="4" eb="6">
      <t>しえん</t>
    </rPh>
    <rPh sb="7" eb="8">
      <t>かた</t>
    </rPh>
    <rPh sb="8" eb="11">
      <t>じぎょうしょ</t>
    </rPh>
    <phoneticPr fontId="5" type="Hiragana"/>
  </si>
  <si>
    <t>見沼区春岡3-49-13</t>
  </si>
  <si>
    <t>337-0008</t>
  </si>
  <si>
    <t>048-633-4729</t>
  </si>
  <si>
    <t>048-633-4728</t>
  </si>
  <si>
    <t>ＪＲ東大宮駅より徒歩22分</t>
    <rPh sb="2" eb="3">
      <t>ヒガシ</t>
    </rPh>
    <rPh sb="3" eb="5">
      <t>オオミヤ</t>
    </rPh>
    <rPh sb="5" eb="6">
      <t>エキ</t>
    </rPh>
    <rPh sb="8" eb="10">
      <t>トホ</t>
    </rPh>
    <rPh sb="12" eb="13">
      <t>フン</t>
    </rPh>
    <phoneticPr fontId="2"/>
  </si>
  <si>
    <t>浦和区北浦和４－３－５トンボビル５階</t>
  </si>
  <si>
    <t>JR北浦和駅より徒歩2分</t>
    <rPh sb="2" eb="3">
      <t>キタ</t>
    </rPh>
    <rPh sb="3" eb="5">
      <t>ウラワ</t>
    </rPh>
    <rPh sb="5" eb="6">
      <t>エキ</t>
    </rPh>
    <rPh sb="8" eb="10">
      <t>トホ</t>
    </rPh>
    <rPh sb="11" eb="12">
      <t>フン</t>
    </rPh>
    <phoneticPr fontId="2"/>
  </si>
  <si>
    <t>短期入所クライスさいたま掛</t>
    <rPh sb="0" eb="3">
      <t>たんきにゅうしょ</t>
    </rPh>
    <rPh sb="11" eb="12">
      <t>か</t>
    </rPh>
    <phoneticPr fontId="5" type="Hiragana"/>
  </si>
  <si>
    <t>岩槻区掛６３６－６</t>
    <rPh sb="0" eb="2">
      <t>イワツキ</t>
    </rPh>
    <rPh sb="2" eb="3">
      <t>ク</t>
    </rPh>
    <rPh sb="3" eb="4">
      <t>カ</t>
    </rPh>
    <phoneticPr fontId="5"/>
  </si>
  <si>
    <t>339-0078</t>
  </si>
  <si>
    <t>048-793-4208</t>
  </si>
  <si>
    <t>048-793-4238</t>
  </si>
  <si>
    <t>東武鉄道岩槻駅から朝日バス（国立東埼玉病院行）に乗車。本宿バス停より徒歩14分。</t>
    <rPh sb="0" eb="2">
      <t>トウブ</t>
    </rPh>
    <rPh sb="2" eb="4">
      <t>テツドウ</t>
    </rPh>
    <rPh sb="4" eb="6">
      <t>イワツキ</t>
    </rPh>
    <rPh sb="6" eb="7">
      <t>エキ</t>
    </rPh>
    <rPh sb="9" eb="11">
      <t>アサヒ</t>
    </rPh>
    <rPh sb="27" eb="29">
      <t>ホンジュク</t>
    </rPh>
    <rPh sb="31" eb="32">
      <t>テイ</t>
    </rPh>
    <rPh sb="34" eb="36">
      <t>トホ</t>
    </rPh>
    <rPh sb="38" eb="39">
      <t>フン</t>
    </rPh>
    <phoneticPr fontId="2"/>
  </si>
  <si>
    <t>霞ケ関北3丁目2番1</t>
    <rPh sb="0" eb="3">
      <t>カスミガセキ</t>
    </rPh>
    <rPh sb="3" eb="4">
      <t>キタ</t>
    </rPh>
    <rPh sb="5" eb="7">
      <t>チョウメ</t>
    </rPh>
    <rPh sb="8" eb="9">
      <t>バン</t>
    </rPh>
    <phoneticPr fontId="33"/>
  </si>
  <si>
    <t>(合）達磨</t>
    <rPh sb="1" eb="2">
      <t>ゴウ</t>
    </rPh>
    <rPh sb="3" eb="5">
      <t>ダルマ</t>
    </rPh>
    <phoneticPr fontId="2"/>
  </si>
  <si>
    <t>西八木崎story</t>
    <rPh sb="0" eb="1">
      <t>ニシ</t>
    </rPh>
    <rPh sb="1" eb="3">
      <t>ヤギ</t>
    </rPh>
    <rPh sb="3" eb="4">
      <t>サキ</t>
    </rPh>
    <phoneticPr fontId="5"/>
  </si>
  <si>
    <t>西八木崎1-1-3</t>
    <phoneticPr fontId="5"/>
  </si>
  <si>
    <t>048-613-4348</t>
    <phoneticPr fontId="5"/>
  </si>
  <si>
    <t>東武野田線八木崎駅徒歩７分</t>
    <rPh sb="0" eb="2">
      <t>トウブ</t>
    </rPh>
    <rPh sb="2" eb="4">
      <t>ノダ</t>
    </rPh>
    <rPh sb="5" eb="8">
      <t>ヤギサキ</t>
    </rPh>
    <rPh sb="8" eb="9">
      <t>エキ</t>
    </rPh>
    <rPh sb="9" eb="11">
      <t>トホ</t>
    </rPh>
    <rPh sb="12" eb="13">
      <t>フン</t>
    </rPh>
    <phoneticPr fontId="5"/>
  </si>
  <si>
    <t>はくちょう園</t>
  </si>
  <si>
    <t>上川俣1486-1</t>
  </si>
  <si>
    <t>048-563-2051</t>
  </si>
  <si>
    <t>048-563-2052</t>
  </si>
  <si>
    <t>オベストはくちょう</t>
  </si>
  <si>
    <t>上川俣1486番地1</t>
    <rPh sb="0" eb="1">
      <t>ウエ</t>
    </rPh>
    <rPh sb="1" eb="3">
      <t>カワマタ</t>
    </rPh>
    <rPh sb="7" eb="9">
      <t>バンチ</t>
    </rPh>
    <phoneticPr fontId="2"/>
  </si>
  <si>
    <t>048-563-2616</t>
  </si>
  <si>
    <t>オリーブケア</t>
  </si>
  <si>
    <t>妻沼台910番地1</t>
    <rPh sb="0" eb="3">
      <t>メヌマダイ</t>
    </rPh>
    <rPh sb="6" eb="8">
      <t>バンチ</t>
    </rPh>
    <phoneticPr fontId="2"/>
  </si>
  <si>
    <t>048-598-5278</t>
  </si>
  <si>
    <t>048-598-5219</t>
  </si>
  <si>
    <t>労働者協同組合ぴゅあまむ</t>
    <rPh sb="0" eb="7">
      <t>ロウドウシャキョウドウクミアイ</t>
    </rPh>
    <phoneticPr fontId="2"/>
  </si>
  <si>
    <t>グループホーム　ぴゅあまむ</t>
    <phoneticPr fontId="5"/>
  </si>
  <si>
    <t>西坂戸2-14-15</t>
    <rPh sb="0" eb="3">
      <t>ニシサカド</t>
    </rPh>
    <phoneticPr fontId="5"/>
  </si>
  <si>
    <t>090-9847-3582</t>
    <phoneticPr fontId="5"/>
  </si>
  <si>
    <t>東部越生線川角駅から徒歩25分
※共同生活援助の空床利用型</t>
    <rPh sb="0" eb="5">
      <t>トウブオゴセセン</t>
    </rPh>
    <rPh sb="5" eb="8">
      <t>カワスミエキ</t>
    </rPh>
    <rPh sb="10" eb="12">
      <t>トホ</t>
    </rPh>
    <rPh sb="14" eb="15">
      <t>フン</t>
    </rPh>
    <rPh sb="17" eb="23">
      <t>キョウドウセイカツエンジョ</t>
    </rPh>
    <rPh sb="24" eb="29">
      <t>クウショウリヨウガタ</t>
    </rPh>
    <phoneticPr fontId="2"/>
  </si>
  <si>
    <t>（特非）マダムウィッチーズ</t>
    <rPh sb="1" eb="3">
      <t>トクヒ</t>
    </rPh>
    <phoneticPr fontId="2"/>
  </si>
  <si>
    <t>上尾の魔女カフェ</t>
    <rPh sb="0" eb="2">
      <t>アゲオ</t>
    </rPh>
    <rPh sb="3" eb="5">
      <t>マジョ</t>
    </rPh>
    <phoneticPr fontId="2"/>
  </si>
  <si>
    <t>領家328番地7</t>
    <rPh sb="0" eb="2">
      <t>リョウケ</t>
    </rPh>
    <rPh sb="5" eb="7">
      <t>バンチ</t>
    </rPh>
    <phoneticPr fontId="2"/>
  </si>
  <si>
    <t>048-782-9880</t>
    <phoneticPr fontId="2"/>
  </si>
  <si>
    <t>JR高崎線上尾駅　東武バス公民館入口下車　徒歩４分</t>
    <rPh sb="2" eb="5">
      <t>タカサキセン</t>
    </rPh>
    <rPh sb="5" eb="8">
      <t>アゲオエキ</t>
    </rPh>
    <rPh sb="9" eb="11">
      <t>トウブ</t>
    </rPh>
    <rPh sb="13" eb="16">
      <t>コウミンカン</t>
    </rPh>
    <rPh sb="16" eb="18">
      <t>イリグチ</t>
    </rPh>
    <rPh sb="18" eb="20">
      <t>ゲシャ</t>
    </rPh>
    <rPh sb="21" eb="23">
      <t>トホ</t>
    </rPh>
    <rPh sb="24" eb="25">
      <t>フン</t>
    </rPh>
    <phoneticPr fontId="2"/>
  </si>
  <si>
    <t>ワークステップ</t>
    <phoneticPr fontId="2"/>
  </si>
  <si>
    <t>美原町2-15-3</t>
    <rPh sb="0" eb="3">
      <t>ミハラチョウ</t>
    </rPh>
    <phoneticPr fontId="2"/>
  </si>
  <si>
    <t>355-0010</t>
    <phoneticPr fontId="2"/>
  </si>
  <si>
    <t>0493-81-5040</t>
    <phoneticPr fontId="2"/>
  </si>
  <si>
    <t>0493-81-5041</t>
    <phoneticPr fontId="2"/>
  </si>
  <si>
    <t>東武鉄道東上本線東松山駅から車で７分</t>
    <rPh sb="0" eb="4">
      <t>トウブテツドウ</t>
    </rPh>
    <rPh sb="4" eb="8">
      <t>トウジョウホンセン</t>
    </rPh>
    <rPh sb="8" eb="12">
      <t>ヒガシマツヤマエキ</t>
    </rPh>
    <rPh sb="14" eb="15">
      <t>クルマ</t>
    </rPh>
    <rPh sb="17" eb="18">
      <t>フン</t>
    </rPh>
    <phoneticPr fontId="2"/>
  </si>
  <si>
    <t>リハスワーク桶川</t>
    <rPh sb="6" eb="8">
      <t>オケガワ</t>
    </rPh>
    <phoneticPr fontId="2"/>
  </si>
  <si>
    <t>川田谷6087-1</t>
    <rPh sb="0" eb="2">
      <t>カワタ</t>
    </rPh>
    <rPh sb="2" eb="3">
      <t>タニ</t>
    </rPh>
    <phoneticPr fontId="2"/>
  </si>
  <si>
    <t>363-0027</t>
    <phoneticPr fontId="2"/>
  </si>
  <si>
    <t>048-658-9919</t>
    <phoneticPr fontId="2"/>
  </si>
  <si>
    <t>JR高崎線桶川駅から車で８分</t>
    <rPh sb="2" eb="5">
      <t>タカサキセン</t>
    </rPh>
    <rPh sb="5" eb="7">
      <t>オケガワ</t>
    </rPh>
    <rPh sb="7" eb="8">
      <t>エキ</t>
    </rPh>
    <rPh sb="10" eb="11">
      <t>クルマ</t>
    </rPh>
    <rPh sb="13" eb="14">
      <t>フン</t>
    </rPh>
    <phoneticPr fontId="2"/>
  </si>
  <si>
    <t>リバイブ新所沢</t>
    <rPh sb="4" eb="7">
      <t>シントコロザワ</t>
    </rPh>
    <phoneticPr fontId="2"/>
  </si>
  <si>
    <t>松葉町17-4
クリエートマスミ7F</t>
    <rPh sb="0" eb="3">
      <t>マツバチョウ</t>
    </rPh>
    <phoneticPr fontId="2"/>
  </si>
  <si>
    <t>04-2935-3357</t>
    <phoneticPr fontId="2"/>
  </si>
  <si>
    <t>西武新宿線新所沢駅から徒歩2分</t>
    <rPh sb="0" eb="5">
      <t>セイブシンジュクセン</t>
    </rPh>
    <rPh sb="5" eb="8">
      <t>シントコロザワ</t>
    </rPh>
    <rPh sb="8" eb="9">
      <t>エキ</t>
    </rPh>
    <rPh sb="11" eb="13">
      <t>トホ</t>
    </rPh>
    <rPh sb="14" eb="15">
      <t>フン</t>
    </rPh>
    <phoneticPr fontId="2"/>
  </si>
  <si>
    <t>就労移行支援事業所リンクス大宮</t>
    <rPh sb="0" eb="2">
      <t>シュウロウ</t>
    </rPh>
    <rPh sb="2" eb="4">
      <t>イコウ</t>
    </rPh>
    <rPh sb="4" eb="6">
      <t>シエン</t>
    </rPh>
    <rPh sb="6" eb="9">
      <t>ジギョウショ</t>
    </rPh>
    <rPh sb="13" eb="15">
      <t>オオミヤ</t>
    </rPh>
    <phoneticPr fontId="37"/>
  </si>
  <si>
    <t>大宮区大門町３－８２－１大宮大門町ＭⅡビル２Ｆ</t>
    <rPh sb="3" eb="6">
      <t>ダイモンチョウ</t>
    </rPh>
    <rPh sb="12" eb="14">
      <t>オオミヤ</t>
    </rPh>
    <rPh sb="14" eb="17">
      <t>ダイモンチョウ</t>
    </rPh>
    <phoneticPr fontId="37"/>
  </si>
  <si>
    <t>330-0846</t>
    <phoneticPr fontId="37"/>
  </si>
  <si>
    <t>048-658-9670</t>
    <phoneticPr fontId="37"/>
  </si>
  <si>
    <t>048-658-9671</t>
    <phoneticPr fontId="37"/>
  </si>
  <si>
    <t>ＪＲ大宮駅から徒歩6分</t>
    <rPh sb="2" eb="4">
      <t>オオミヤ</t>
    </rPh>
    <rPh sb="4" eb="5">
      <t>エキ</t>
    </rPh>
    <rPh sb="7" eb="9">
      <t>トホ</t>
    </rPh>
    <rPh sb="10" eb="11">
      <t>フン</t>
    </rPh>
    <phoneticPr fontId="37"/>
  </si>
  <si>
    <t>あおいろSS</t>
  </si>
  <si>
    <t>岩槻区加倉１－６－２８</t>
    <phoneticPr fontId="37"/>
  </si>
  <si>
    <t>048-812-8758</t>
  </si>
  <si>
    <t>東武アーバンパークライン岩槻駅から徒歩9分</t>
    <rPh sb="0" eb="2">
      <t>トウブ</t>
    </rPh>
    <rPh sb="12" eb="14">
      <t>イワツキ</t>
    </rPh>
    <rPh sb="14" eb="15">
      <t>エキ</t>
    </rPh>
    <rPh sb="17" eb="19">
      <t>トホ</t>
    </rPh>
    <rPh sb="20" eb="21">
      <t>フン</t>
    </rPh>
    <phoneticPr fontId="37"/>
  </si>
  <si>
    <t>スマイルハウス</t>
    <phoneticPr fontId="37"/>
  </si>
  <si>
    <t>337-0033</t>
    <phoneticPr fontId="37"/>
  </si>
  <si>
    <t>048-612-9061</t>
    <phoneticPr fontId="37"/>
  </si>
  <si>
    <t>東武アーバンパークライン大和田駅から徒歩43分、車で12分
国際興業バス東新井団地停留所から徒歩4分</t>
    <rPh sb="0" eb="2">
      <t>トウブ</t>
    </rPh>
    <rPh sb="12" eb="15">
      <t>オオワダ</t>
    </rPh>
    <rPh sb="15" eb="16">
      <t>エキ</t>
    </rPh>
    <rPh sb="18" eb="20">
      <t>トホ</t>
    </rPh>
    <rPh sb="22" eb="23">
      <t>フン</t>
    </rPh>
    <rPh sb="24" eb="25">
      <t>クルマ</t>
    </rPh>
    <rPh sb="28" eb="29">
      <t>フン</t>
    </rPh>
    <rPh sb="30" eb="32">
      <t>コクサイ</t>
    </rPh>
    <rPh sb="32" eb="34">
      <t>コウギョウ</t>
    </rPh>
    <rPh sb="36" eb="37">
      <t>ヒガシ</t>
    </rPh>
    <rPh sb="37" eb="39">
      <t>アライ</t>
    </rPh>
    <rPh sb="39" eb="41">
      <t>ダンチ</t>
    </rPh>
    <rPh sb="41" eb="44">
      <t>テイリュウジョ</t>
    </rPh>
    <rPh sb="46" eb="48">
      <t>トホ</t>
    </rPh>
    <rPh sb="49" eb="50">
      <t>フン</t>
    </rPh>
    <phoneticPr fontId="37"/>
  </si>
  <si>
    <t>JR大宮駅から国際興業バス大谷県営住宅行き「大谷県営住宅バス」停留所から徒歩３分 R6.9.1～R7.8.31　休止</t>
    <rPh sb="2" eb="4">
      <t>オオミヤ</t>
    </rPh>
    <rPh sb="4" eb="5">
      <t>エキ</t>
    </rPh>
    <rPh sb="7" eb="9">
      <t>コクサイ</t>
    </rPh>
    <rPh sb="9" eb="11">
      <t>コウギョウ</t>
    </rPh>
    <rPh sb="19" eb="20">
      <t>ユ</t>
    </rPh>
    <rPh sb="22" eb="24">
      <t>オオヤ</t>
    </rPh>
    <rPh sb="24" eb="26">
      <t>ケンエイ</t>
    </rPh>
    <rPh sb="26" eb="28">
      <t>ジュウタク</t>
    </rPh>
    <rPh sb="31" eb="34">
      <t>テイリュウジョ</t>
    </rPh>
    <rPh sb="36" eb="38">
      <t>トホ</t>
    </rPh>
    <rPh sb="39" eb="40">
      <t>フン</t>
    </rPh>
    <phoneticPr fontId="2"/>
  </si>
  <si>
    <t>西武新宿線本川越駅から埼玉医療センター・上尾駅行きバス「伊佐沼入口」下車徒歩5分 ※就Bは伊佐沼１３５－１</t>
    <rPh sb="0" eb="2">
      <t>セイブ</t>
    </rPh>
    <rPh sb="2" eb="4">
      <t>シンジュク</t>
    </rPh>
    <rPh sb="4" eb="5">
      <t>セン</t>
    </rPh>
    <rPh sb="5" eb="8">
      <t>ホンカワゴエ</t>
    </rPh>
    <rPh sb="8" eb="9">
      <t>エキ</t>
    </rPh>
    <rPh sb="11" eb="13">
      <t>サイタマ</t>
    </rPh>
    <rPh sb="13" eb="15">
      <t>イリョウ</t>
    </rPh>
    <rPh sb="20" eb="22">
      <t>アゲオ</t>
    </rPh>
    <rPh sb="22" eb="23">
      <t>エキ</t>
    </rPh>
    <rPh sb="23" eb="24">
      <t>ユ</t>
    </rPh>
    <rPh sb="28" eb="31">
      <t>イサヌマ</t>
    </rPh>
    <rPh sb="31" eb="33">
      <t>イリグチ</t>
    </rPh>
    <rPh sb="34" eb="36">
      <t>ゲシャ</t>
    </rPh>
    <rPh sb="36" eb="38">
      <t>トホ</t>
    </rPh>
    <rPh sb="39" eb="40">
      <t>フン</t>
    </rPh>
    <rPh sb="42" eb="43">
      <t>シュウ</t>
    </rPh>
    <phoneticPr fontId="2"/>
  </si>
  <si>
    <t>LITALICOワークス川口</t>
    <rPh sb="12" eb="14">
      <t>かわぐち</t>
    </rPh>
    <phoneticPr fontId="2" type="Hiragana"/>
  </si>
  <si>
    <t>川口市</t>
    <rPh sb="0" eb="2">
      <t>かわぐち</t>
    </rPh>
    <rPh sb="2" eb="3">
      <t>し</t>
    </rPh>
    <phoneticPr fontId="2" type="Hiragana"/>
  </si>
  <si>
    <t>048-250-5077</t>
    <phoneticPr fontId="2" type="Hiragana"/>
  </si>
  <si>
    <t>048-250-5078</t>
    <phoneticPr fontId="2" type="Hiragana"/>
  </si>
  <si>
    <t>（電車）川口駅から徒歩３分</t>
    <rPh sb="1" eb="3">
      <t>でんしゃ</t>
    </rPh>
    <rPh sb="4" eb="6">
      <t>かわぐち</t>
    </rPh>
    <rPh sb="6" eb="7">
      <t>えき</t>
    </rPh>
    <rPh sb="9" eb="11">
      <t>とほ</t>
    </rPh>
    <rPh sb="12" eb="13">
      <t>ふん</t>
    </rPh>
    <phoneticPr fontId="2" type="Hiragana"/>
  </si>
  <si>
    <t>（医）寿会</t>
    <rPh sb="1" eb="2">
      <t>イ</t>
    </rPh>
    <rPh sb="3" eb="4">
      <t>コトブキ</t>
    </rPh>
    <rPh sb="4" eb="5">
      <t>カイ</t>
    </rPh>
    <phoneticPr fontId="2"/>
  </si>
  <si>
    <t>吉沢病院通所リハビリテーション</t>
    <rPh sb="0" eb="4">
      <t>ヨシザワビョウイン</t>
    </rPh>
    <rPh sb="4" eb="6">
      <t>ツウショ</t>
    </rPh>
    <phoneticPr fontId="2"/>
  </si>
  <si>
    <t>1216番地1</t>
    <rPh sb="4" eb="6">
      <t>バンチ</t>
    </rPh>
    <phoneticPr fontId="2"/>
  </si>
  <si>
    <t>367-0000</t>
    <phoneticPr fontId="2"/>
  </si>
  <si>
    <t>0495-21-7781</t>
    <phoneticPr fontId="2"/>
  </si>
  <si>
    <t>0495-21-8560</t>
    <phoneticPr fontId="2"/>
  </si>
  <si>
    <t>JR高崎線岡部駅車で8分
※共生型</t>
    <rPh sb="2" eb="5">
      <t>タカサキセン</t>
    </rPh>
    <rPh sb="5" eb="8">
      <t>オカベエキ</t>
    </rPh>
    <rPh sb="8" eb="9">
      <t>クルマ</t>
    </rPh>
    <rPh sb="11" eb="12">
      <t>フン</t>
    </rPh>
    <rPh sb="14" eb="17">
      <t>キョウセイガタ</t>
    </rPh>
    <phoneticPr fontId="2"/>
  </si>
  <si>
    <t>生活介護 ナチュレ</t>
    <rPh sb="0" eb="4">
      <t>セイカツカイゴ</t>
    </rPh>
    <phoneticPr fontId="2"/>
  </si>
  <si>
    <t>富士見2丁目18番35号</t>
    <rPh sb="0" eb="3">
      <t>フジミ</t>
    </rPh>
    <rPh sb="4" eb="6">
      <t>チョウメ</t>
    </rPh>
    <rPh sb="8" eb="9">
      <t>バン</t>
    </rPh>
    <rPh sb="11" eb="12">
      <t>ゴウ</t>
    </rPh>
    <phoneticPr fontId="2"/>
  </si>
  <si>
    <t>350-1306</t>
    <phoneticPr fontId="5"/>
  </si>
  <si>
    <t>04-2997-9855</t>
    <phoneticPr fontId="2"/>
  </si>
  <si>
    <t>04-2997-9866</t>
    <phoneticPr fontId="2"/>
  </si>
  <si>
    <t>狭山市駅から狭山台団地行きのバス「富士見小学校」下車徒歩6分</t>
    <rPh sb="0" eb="4">
      <t>サヤマシエキ</t>
    </rPh>
    <rPh sb="6" eb="8">
      <t>サヤマ</t>
    </rPh>
    <rPh sb="8" eb="9">
      <t>ダイ</t>
    </rPh>
    <rPh sb="9" eb="11">
      <t>ダンチ</t>
    </rPh>
    <rPh sb="11" eb="12">
      <t>ユ</t>
    </rPh>
    <rPh sb="17" eb="23">
      <t>フジミショウガッコウ</t>
    </rPh>
    <rPh sb="24" eb="26">
      <t>ゲシャ</t>
    </rPh>
    <rPh sb="26" eb="28">
      <t>トホ</t>
    </rPh>
    <rPh sb="29" eb="30">
      <t>フン</t>
    </rPh>
    <phoneticPr fontId="5"/>
  </si>
  <si>
    <t>（株）SANN</t>
    <rPh sb="0" eb="3">
      <t>カブ</t>
    </rPh>
    <phoneticPr fontId="5"/>
  </si>
  <si>
    <t>ディーエンカレッジ所沢キャンパス</t>
    <rPh sb="9" eb="11">
      <t>トコロザワ</t>
    </rPh>
    <phoneticPr fontId="5"/>
  </si>
  <si>
    <t>くすのき台3-18-10
新明ビル南館4階</t>
    <rPh sb="4" eb="5">
      <t>ダイ</t>
    </rPh>
    <rPh sb="13" eb="15">
      <t>シンメイ</t>
    </rPh>
    <rPh sb="17" eb="18">
      <t>ミナミ</t>
    </rPh>
    <rPh sb="18" eb="19">
      <t>カン</t>
    </rPh>
    <rPh sb="20" eb="21">
      <t>カイ</t>
    </rPh>
    <phoneticPr fontId="2"/>
  </si>
  <si>
    <t>04-2935-7757</t>
    <phoneticPr fontId="2"/>
  </si>
  <si>
    <t>04-2935-7758</t>
    <phoneticPr fontId="5"/>
  </si>
  <si>
    <t>西武新宿線所沢駅徒歩4分</t>
    <rPh sb="0" eb="5">
      <t>セイブシンジュクセン</t>
    </rPh>
    <rPh sb="5" eb="8">
      <t>トコロザワエキ</t>
    </rPh>
    <rPh sb="8" eb="10">
      <t>トホ</t>
    </rPh>
    <rPh sb="11" eb="12">
      <t>フン</t>
    </rPh>
    <phoneticPr fontId="2"/>
  </si>
  <si>
    <t>（株）リハス</t>
    <rPh sb="0" eb="3">
      <t>カブ</t>
    </rPh>
    <phoneticPr fontId="2"/>
  </si>
  <si>
    <t>リハスワーク所沢</t>
    <rPh sb="6" eb="8">
      <t>トコロザワ</t>
    </rPh>
    <phoneticPr fontId="2"/>
  </si>
  <si>
    <t>小手指町一丁目18番11　パークサイド小手指A館103号室</t>
    <rPh sb="0" eb="3">
      <t>コテサシ</t>
    </rPh>
    <rPh sb="3" eb="4">
      <t>マチ</t>
    </rPh>
    <rPh sb="4" eb="5">
      <t>イッ</t>
    </rPh>
    <rPh sb="5" eb="7">
      <t>チョウメ</t>
    </rPh>
    <rPh sb="9" eb="10">
      <t>バン</t>
    </rPh>
    <rPh sb="19" eb="22">
      <t>コテサシ</t>
    </rPh>
    <rPh sb="23" eb="24">
      <t>カン</t>
    </rPh>
    <rPh sb="27" eb="29">
      <t>ゴウシツ</t>
    </rPh>
    <phoneticPr fontId="2"/>
  </si>
  <si>
    <t xml:space="preserve">04-2997-9742
</t>
    <phoneticPr fontId="5"/>
  </si>
  <si>
    <t>04-2997-9743</t>
  </si>
  <si>
    <t>西部池袋線徒歩3分</t>
    <rPh sb="0" eb="2">
      <t>セイブ</t>
    </rPh>
    <rPh sb="2" eb="4">
      <t>イケブクロ</t>
    </rPh>
    <rPh sb="4" eb="5">
      <t>セン</t>
    </rPh>
    <rPh sb="5" eb="7">
      <t>トホ</t>
    </rPh>
    <rPh sb="8" eb="9">
      <t>フン</t>
    </rPh>
    <phoneticPr fontId="2"/>
  </si>
  <si>
    <t>(福)邑元会</t>
    <rPh sb="1" eb="2">
      <t>フク</t>
    </rPh>
    <rPh sb="3" eb="4">
      <t>ユウ</t>
    </rPh>
    <rPh sb="4" eb="5">
      <t>ゲン</t>
    </rPh>
    <rPh sb="5" eb="6">
      <t>カイ</t>
    </rPh>
    <phoneticPr fontId="2"/>
  </si>
  <si>
    <t>しらおか・ぷらっと</t>
    <phoneticPr fontId="5"/>
  </si>
  <si>
    <t>白岡４－１３－３新白岡駅前ホスピタリティパーク１０１</t>
    <phoneticPr fontId="5"/>
  </si>
  <si>
    <t>349-0212</t>
    <phoneticPr fontId="5"/>
  </si>
  <si>
    <t>0480-37-8395</t>
    <phoneticPr fontId="5"/>
  </si>
  <si>
    <t>0480-37-8396</t>
    <phoneticPr fontId="5"/>
  </si>
  <si>
    <t>JR新白岡駅東口徒歩３分</t>
    <rPh sb="2" eb="5">
      <t>シンシラオカ</t>
    </rPh>
    <rPh sb="5" eb="6">
      <t>エキ</t>
    </rPh>
    <rPh sb="6" eb="8">
      <t>ヒガシグチ</t>
    </rPh>
    <rPh sb="8" eb="10">
      <t>トホ</t>
    </rPh>
    <rPh sb="11" eb="12">
      <t>フン</t>
    </rPh>
    <phoneticPr fontId="5"/>
  </si>
  <si>
    <t>らら</t>
  </si>
  <si>
    <t>緑区中尾２９１－２</t>
    <rPh sb="0" eb="2">
      <t>ミドリク</t>
    </rPh>
    <rPh sb="2" eb="4">
      <t>ナカオ</t>
    </rPh>
    <phoneticPr fontId="5"/>
  </si>
  <si>
    <t>336-0932</t>
  </si>
  <si>
    <t>048-789-7497</t>
  </si>
  <si>
    <t>048-789-7494</t>
  </si>
  <si>
    <t>リハスワーク東大宮</t>
    <rPh sb="6" eb="7">
      <t>ひがし</t>
    </rPh>
    <rPh sb="7" eb="9">
      <t>おおみや</t>
    </rPh>
    <phoneticPr fontId="5" type="Hiragana"/>
  </si>
  <si>
    <t>見沼区東大宮４－１２－８　フルヤビル１階</t>
    <rPh sb="0" eb="2">
      <t>ミヌマ</t>
    </rPh>
    <rPh sb="2" eb="3">
      <t>ク</t>
    </rPh>
    <rPh sb="3" eb="4">
      <t>ヒガシ</t>
    </rPh>
    <rPh sb="4" eb="6">
      <t>オオミヤ</t>
    </rPh>
    <rPh sb="19" eb="20">
      <t>カイ</t>
    </rPh>
    <phoneticPr fontId="5"/>
  </si>
  <si>
    <t>048-658-9845</t>
  </si>
  <si>
    <t>048-658-9846</t>
  </si>
  <si>
    <t>ＪＲ東大宮駅から徒歩4分</t>
    <rPh sb="2" eb="3">
      <t>ヒガシ</t>
    </rPh>
    <rPh sb="3" eb="5">
      <t>オオミヤ</t>
    </rPh>
    <rPh sb="5" eb="6">
      <t>エキ</t>
    </rPh>
    <rPh sb="8" eb="10">
      <t>トホ</t>
    </rPh>
    <rPh sb="11" eb="12">
      <t>フン</t>
    </rPh>
    <phoneticPr fontId="2"/>
  </si>
  <si>
    <t>スキルフル</t>
  </si>
  <si>
    <t>岩槻区本町１－３－１９</t>
  </si>
  <si>
    <t>339-0057</t>
  </si>
  <si>
    <t>048-797-6690</t>
  </si>
  <si>
    <t>東武アーバンパークライン岩槻駅東口から徒歩３分</t>
    <rPh sb="0" eb="2">
      <t>トウブ</t>
    </rPh>
    <rPh sb="12" eb="14">
      <t>イワツキ</t>
    </rPh>
    <rPh sb="14" eb="15">
      <t>エキ</t>
    </rPh>
    <rPh sb="15" eb="17">
      <t>ヒガシグチ</t>
    </rPh>
    <rPh sb="19" eb="21">
      <t>トホ</t>
    </rPh>
    <rPh sb="22" eb="23">
      <t>フン</t>
    </rPh>
    <phoneticPr fontId="2"/>
  </si>
  <si>
    <t>ラシクラボ大宮西口</t>
    <rPh sb="5" eb="7">
      <t>おおみや</t>
    </rPh>
    <rPh sb="7" eb="9">
      <t>にしぐち</t>
    </rPh>
    <phoneticPr fontId="5" type="Hiragana"/>
  </si>
  <si>
    <t>大宮区桜木町２－３－６９　大原第１ビル５階Ａ</t>
  </si>
  <si>
    <t>048-658-9686</t>
  </si>
  <si>
    <t>048-658-9719</t>
  </si>
  <si>
    <t>JR大宮駅西口より徒歩２分</t>
    <rPh sb="2" eb="5">
      <t>オオミヤエキ</t>
    </rPh>
    <rPh sb="5" eb="7">
      <t>ニシグチ</t>
    </rPh>
    <rPh sb="9" eb="11">
      <t>トホ</t>
    </rPh>
    <rPh sb="12" eb="13">
      <t>フン</t>
    </rPh>
    <phoneticPr fontId="2"/>
  </si>
  <si>
    <t>就労定着支援センターsize</t>
    <rPh sb="0" eb="4">
      <t>しゅうろうていちゃく</t>
    </rPh>
    <rPh sb="4" eb="6">
      <t>しえん</t>
    </rPh>
    <phoneticPr fontId="5" type="Hiragana"/>
  </si>
  <si>
    <t>浦和区常盤４－１６－９　ＮＹＹ浦和ビル３０２</t>
  </si>
  <si>
    <t>JR北浦和駅より徒歩１３分</t>
    <rPh sb="2" eb="3">
      <t>キタ</t>
    </rPh>
    <rPh sb="3" eb="5">
      <t>ウラワ</t>
    </rPh>
    <rPh sb="5" eb="6">
      <t>エキ</t>
    </rPh>
    <rPh sb="8" eb="10">
      <t>トホ</t>
    </rPh>
    <rPh sb="12" eb="13">
      <t>フン</t>
    </rPh>
    <phoneticPr fontId="2"/>
  </si>
  <si>
    <t>見沼区染谷３－２３９</t>
    <rPh sb="0" eb="2">
      <t>ミヌマ</t>
    </rPh>
    <rPh sb="2" eb="3">
      <t>ク</t>
    </rPh>
    <rPh sb="3" eb="5">
      <t>ソメヤ</t>
    </rPh>
    <phoneticPr fontId="42"/>
  </si>
  <si>
    <t>048-876-9794</t>
  </si>
  <si>
    <t>048-876-9794</t>
    <phoneticPr fontId="37"/>
  </si>
  <si>
    <t>ＪＲ大宮駅から国際興業バス乗車　根木輪バス停下車徒歩5分</t>
    <rPh sb="2" eb="5">
      <t>オオミヤエキ</t>
    </rPh>
    <rPh sb="7" eb="9">
      <t>コクサイ</t>
    </rPh>
    <rPh sb="9" eb="11">
      <t>コウギョウ</t>
    </rPh>
    <rPh sb="13" eb="15">
      <t>ジョウシャ</t>
    </rPh>
    <rPh sb="16" eb="17">
      <t>ネ</t>
    </rPh>
    <rPh sb="17" eb="18">
      <t>キ</t>
    </rPh>
    <rPh sb="18" eb="19">
      <t>ワ</t>
    </rPh>
    <rPh sb="21" eb="22">
      <t>テイ</t>
    </rPh>
    <rPh sb="22" eb="24">
      <t>ゲシャ</t>
    </rPh>
    <rPh sb="24" eb="26">
      <t>トホ</t>
    </rPh>
    <rPh sb="27" eb="28">
      <t>フン</t>
    </rPh>
    <phoneticPr fontId="37"/>
  </si>
  <si>
    <t>048-699-6671</t>
  </si>
  <si>
    <t>ブロッサム</t>
    <phoneticPr fontId="37"/>
  </si>
  <si>
    <t>就労継続支援B型事業所　ウィズ・ユー新越谷</t>
    <rPh sb="0" eb="6">
      <t>シュウロウケイゾクシエン</t>
    </rPh>
    <rPh sb="7" eb="8">
      <t>カタ</t>
    </rPh>
    <rPh sb="8" eb="11">
      <t>ジギョウショ</t>
    </rPh>
    <rPh sb="18" eb="21">
      <t>シンコシガヤ</t>
    </rPh>
    <phoneticPr fontId="2"/>
  </si>
  <si>
    <t>新越谷1-64-6</t>
    <rPh sb="0" eb="3">
      <t>シンコシガヤ</t>
    </rPh>
    <phoneticPr fontId="2"/>
  </si>
  <si>
    <t>東武スカイツリーライン新越谷駅徒歩15分</t>
    <rPh sb="0" eb="2">
      <t>トウブ</t>
    </rPh>
    <rPh sb="11" eb="14">
      <t>シンコシガヤ</t>
    </rPh>
    <rPh sb="14" eb="15">
      <t>エキ</t>
    </rPh>
    <rPh sb="15" eb="17">
      <t>トホ</t>
    </rPh>
    <rPh sb="19" eb="20">
      <t>フン</t>
    </rPh>
    <phoneticPr fontId="2"/>
  </si>
  <si>
    <t>048-229-8547</t>
    <phoneticPr fontId="2" type="Hiragana"/>
  </si>
  <si>
    <t>Ａ－ｃｏｎｎｅｃｔ　Ｇｒｏｕｐ（株）</t>
    <rPh sb="16" eb="17">
      <t>カブ</t>
    </rPh>
    <phoneticPr fontId="2"/>
  </si>
  <si>
    <t>よしかわカルディア</t>
    <phoneticPr fontId="2"/>
  </si>
  <si>
    <t>保１丁目２１－１０　泉ビル１Ｆ</t>
    <rPh sb="0" eb="1">
      <t>ホ</t>
    </rPh>
    <rPh sb="2" eb="4">
      <t>チョウメ</t>
    </rPh>
    <rPh sb="10" eb="11">
      <t>イズミ</t>
    </rPh>
    <phoneticPr fontId="2"/>
  </si>
  <si>
    <t>342-0041</t>
    <phoneticPr fontId="2"/>
  </si>
  <si>
    <t>090-4965-0522</t>
    <phoneticPr fontId="2"/>
  </si>
  <si>
    <t>JR武蔵野線吉川駅北口徒歩５分</t>
    <rPh sb="2" eb="6">
      <t>ムサシノセン</t>
    </rPh>
    <rPh sb="6" eb="9">
      <t>ヨシカワエキ</t>
    </rPh>
    <rPh sb="9" eb="11">
      <t>キタグチ</t>
    </rPh>
    <rPh sb="11" eb="13">
      <t>トホ</t>
    </rPh>
    <rPh sb="14" eb="15">
      <t>フン</t>
    </rPh>
    <phoneticPr fontId="2"/>
  </si>
  <si>
    <t>生活介護事業所ゆめたまご</t>
    <rPh sb="0" eb="2">
      <t>セイカツ</t>
    </rPh>
    <rPh sb="2" eb="4">
      <t>カイゴ</t>
    </rPh>
    <rPh sb="4" eb="7">
      <t>ジギョウショ</t>
    </rPh>
    <phoneticPr fontId="2"/>
  </si>
  <si>
    <t>048-577-3224</t>
    <phoneticPr fontId="2"/>
  </si>
  <si>
    <t>大樹の颯</t>
    <rPh sb="0" eb="2">
      <t>タイジュ</t>
    </rPh>
    <rPh sb="3" eb="4">
      <t>ソウ</t>
    </rPh>
    <phoneticPr fontId="2"/>
  </si>
  <si>
    <t>神米金499-1</t>
    <rPh sb="0" eb="1">
      <t>カミ</t>
    </rPh>
    <rPh sb="1" eb="2">
      <t>コメ</t>
    </rPh>
    <rPh sb="2" eb="3">
      <t>キン</t>
    </rPh>
    <phoneticPr fontId="2"/>
  </si>
  <si>
    <t>359-0005</t>
    <phoneticPr fontId="2"/>
  </si>
  <si>
    <t>04-2990-8022</t>
    <phoneticPr fontId="2"/>
  </si>
  <si>
    <t>04-2990-8023</t>
    <phoneticPr fontId="5"/>
  </si>
  <si>
    <t>西武新宿線新所沢駅東口徒歩25分</t>
    <rPh sb="0" eb="5">
      <t>セイブシンジュクセン</t>
    </rPh>
    <rPh sb="5" eb="6">
      <t>シン</t>
    </rPh>
    <rPh sb="6" eb="8">
      <t>トコロザワ</t>
    </rPh>
    <rPh sb="8" eb="9">
      <t>エキ</t>
    </rPh>
    <rPh sb="9" eb="11">
      <t>ヒガシグチ</t>
    </rPh>
    <rPh sb="11" eb="13">
      <t>トホ</t>
    </rPh>
    <rPh sb="15" eb="16">
      <t>フン</t>
    </rPh>
    <phoneticPr fontId="2"/>
  </si>
  <si>
    <t>aloha狭山ヶ丘</t>
    <rPh sb="5" eb="9">
      <t>サヤマガオカ</t>
    </rPh>
    <phoneticPr fontId="2"/>
  </si>
  <si>
    <t>狭山ヶ丘一丁目２９９８ｰ２４プラムオノ１F</t>
    <rPh sb="0" eb="4">
      <t>サヤマガオカ</t>
    </rPh>
    <rPh sb="4" eb="7">
      <t>1チョウメ</t>
    </rPh>
    <phoneticPr fontId="2"/>
  </si>
  <si>
    <t>359-1161</t>
    <phoneticPr fontId="2"/>
  </si>
  <si>
    <t>04-2968-8408</t>
    <phoneticPr fontId="2"/>
  </si>
  <si>
    <t>04-2968-8409</t>
    <phoneticPr fontId="2"/>
  </si>
  <si>
    <t>西武池袋線狭山ヶ丘駅から徒歩2分</t>
    <rPh sb="0" eb="5">
      <t>セイブイケブクロセン</t>
    </rPh>
    <rPh sb="5" eb="9">
      <t>サヤマガオカ</t>
    </rPh>
    <rPh sb="9" eb="10">
      <t>エキ</t>
    </rPh>
    <rPh sb="12" eb="14">
      <t>トホ</t>
    </rPh>
    <rPh sb="15" eb="16">
      <t>フン</t>
    </rPh>
    <phoneticPr fontId="2"/>
  </si>
  <si>
    <t>（医）勝医会</t>
    <rPh sb="1" eb="2">
      <t>イ</t>
    </rPh>
    <rPh sb="3" eb="4">
      <t>カツ</t>
    </rPh>
    <rPh sb="4" eb="5">
      <t>イ</t>
    </rPh>
    <rPh sb="5" eb="6">
      <t>カイ</t>
    </rPh>
    <phoneticPr fontId="2"/>
  </si>
  <si>
    <t>ふかやクリニックリハビリセンター</t>
    <phoneticPr fontId="2"/>
  </si>
  <si>
    <t>宿根245-1</t>
    <rPh sb="0" eb="2">
      <t>シュクネ</t>
    </rPh>
    <phoneticPr fontId="2"/>
  </si>
  <si>
    <t>366-0810</t>
    <phoneticPr fontId="2"/>
  </si>
  <si>
    <t>048-575-5454</t>
    <phoneticPr fontId="2"/>
  </si>
  <si>
    <t>048-575-5457</t>
    <phoneticPr fontId="2"/>
  </si>
  <si>
    <t>JR高崎線深谷駅車で8分
※共生型</t>
    <rPh sb="2" eb="5">
      <t>タカサキセン</t>
    </rPh>
    <rPh sb="5" eb="7">
      <t>フカヤ</t>
    </rPh>
    <rPh sb="7" eb="8">
      <t>エキ</t>
    </rPh>
    <rPh sb="8" eb="9">
      <t>クルマ</t>
    </rPh>
    <rPh sb="11" eb="12">
      <t>フン</t>
    </rPh>
    <rPh sb="14" eb="17">
      <t>キョウセイガタ</t>
    </rPh>
    <phoneticPr fontId="2"/>
  </si>
  <si>
    <t>size music college</t>
  </si>
  <si>
    <t>中央区下落合２－１６－９　２階</t>
    <rPh sb="0" eb="3">
      <t>チュウオウク</t>
    </rPh>
    <rPh sb="3" eb="6">
      <t>シモオチアイ</t>
    </rPh>
    <rPh sb="14" eb="15">
      <t>カイ</t>
    </rPh>
    <phoneticPr fontId="3"/>
  </si>
  <si>
    <t>048-762-6845</t>
  </si>
  <si>
    <t>048-762-6945</t>
  </si>
  <si>
    <t>ＪＲ与野駅から徒歩8分</t>
    <rPh sb="2" eb="5">
      <t>ヨノエキ</t>
    </rPh>
    <rPh sb="7" eb="9">
      <t>トホ</t>
    </rPh>
    <rPh sb="10" eb="11">
      <t>フン</t>
    </rPh>
    <phoneticPr fontId="2"/>
  </si>
  <si>
    <t>048-812-7383</t>
  </si>
  <si>
    <t>048-812-7384</t>
  </si>
  <si>
    <t>東武野田線岩槻駅東口から朝日自動車バス乗車
岡田医院前バス停下車徒歩1分</t>
    <rPh sb="0" eb="2">
      <t>トウブ</t>
    </rPh>
    <rPh sb="2" eb="5">
      <t>ノダセン</t>
    </rPh>
    <rPh sb="5" eb="8">
      <t>イワツキエキ</t>
    </rPh>
    <rPh sb="8" eb="10">
      <t>ヒガシグチ</t>
    </rPh>
    <rPh sb="12" eb="14">
      <t>アサヒ</t>
    </rPh>
    <rPh sb="14" eb="17">
      <t>ジドウシャ</t>
    </rPh>
    <rPh sb="19" eb="21">
      <t>ジョウシャ</t>
    </rPh>
    <rPh sb="22" eb="24">
      <t>オカダ</t>
    </rPh>
    <rPh sb="24" eb="26">
      <t>イイン</t>
    </rPh>
    <rPh sb="26" eb="27">
      <t>マエ</t>
    </rPh>
    <rPh sb="29" eb="30">
      <t>テイ</t>
    </rPh>
    <rPh sb="30" eb="32">
      <t>ゲシャ</t>
    </rPh>
    <rPh sb="32" eb="34">
      <t>トホ</t>
    </rPh>
    <rPh sb="35" eb="36">
      <t>フン</t>
    </rPh>
    <phoneticPr fontId="2"/>
  </si>
  <si>
    <t>短期入所生活介護事業所を母体とする共生型 東武アーバンパークライン岩槻駅から国際興業バスに乗り「浮谷」下車徒歩5分</t>
    <rPh sb="0" eb="11">
      <t>タンキニュウショセイカツカイゴジギョウショ</t>
    </rPh>
    <rPh sb="12" eb="14">
      <t>ボタイ</t>
    </rPh>
    <rPh sb="17" eb="20">
      <t>キョウセイガタ</t>
    </rPh>
    <rPh sb="21" eb="23">
      <t>トウブ</t>
    </rPh>
    <rPh sb="33" eb="35">
      <t>イワツキ</t>
    </rPh>
    <rPh sb="35" eb="36">
      <t>エキ</t>
    </rPh>
    <rPh sb="38" eb="42">
      <t>コクサイコウギョウ</t>
    </rPh>
    <rPh sb="45" eb="46">
      <t>ノ</t>
    </rPh>
    <rPh sb="48" eb="50">
      <t>ウキヤ</t>
    </rPh>
    <rPh sb="51" eb="53">
      <t>ゲシャ</t>
    </rPh>
    <rPh sb="53" eb="55">
      <t>トホ</t>
    </rPh>
    <rPh sb="56" eb="57">
      <t>フン</t>
    </rPh>
    <phoneticPr fontId="2"/>
  </si>
  <si>
    <t>生活介護aiwon</t>
    <rPh sb="0" eb="4">
      <t>せいかつかいご</t>
    </rPh>
    <phoneticPr fontId="5" type="Hiragana"/>
  </si>
  <si>
    <t>見沼区春岡１－２１－５</t>
  </si>
  <si>
    <t>048-795-9120</t>
  </si>
  <si>
    <t>048-795-9350</t>
  </si>
  <si>
    <t>東武アーバンパークライン七里駅から徒歩１５分</t>
    <rPh sb="0" eb="2">
      <t>トウブ</t>
    </rPh>
    <rPh sb="12" eb="14">
      <t>ナナサト</t>
    </rPh>
    <rPh sb="14" eb="15">
      <t>エキ</t>
    </rPh>
    <rPh sb="17" eb="19">
      <t>トホ</t>
    </rPh>
    <rPh sb="21" eb="22">
      <t>フン</t>
    </rPh>
    <phoneticPr fontId="2"/>
  </si>
  <si>
    <t>南区白幡４－２８－９</t>
  </si>
  <si>
    <t>050-5526-0300</t>
  </si>
  <si>
    <t>050-3510-9157</t>
  </si>
  <si>
    <t>JR武蔵浦和駅から徒歩7分</t>
    <rPh sb="2" eb="6">
      <t>ムサシウラワ</t>
    </rPh>
    <rPh sb="6" eb="7">
      <t>エキ</t>
    </rPh>
    <rPh sb="9" eb="11">
      <t>トホ</t>
    </rPh>
    <rPh sb="12" eb="13">
      <t>フン</t>
    </rPh>
    <phoneticPr fontId="2"/>
  </si>
  <si>
    <t>がじゅまるのいえ大宮</t>
    <rPh sb="7" eb="9">
      <t>おおみや</t>
    </rPh>
    <phoneticPr fontId="5" type="Hiragana"/>
  </si>
  <si>
    <t>大宮区大成町２－２５０</t>
  </si>
  <si>
    <t>048-934-7454</t>
  </si>
  <si>
    <t>048-788-4328</t>
  </si>
  <si>
    <t>JR大宮駅から徒歩17分</t>
    <rPh sb="2" eb="5">
      <t>オオミヤエキ</t>
    </rPh>
    <rPh sb="7" eb="9">
      <t>トホ</t>
    </rPh>
    <rPh sb="11" eb="12">
      <t>フン</t>
    </rPh>
    <phoneticPr fontId="2"/>
  </si>
  <si>
    <t>緑区東浦和4-27-6 第2磯部マンション101号、103号</t>
    <rPh sb="0" eb="1">
      <t>ミドリ</t>
    </rPh>
    <rPh sb="1" eb="2">
      <t>ク</t>
    </rPh>
    <rPh sb="2" eb="5">
      <t>ヒガシウラワ</t>
    </rPh>
    <rPh sb="12" eb="13">
      <t>ダイ</t>
    </rPh>
    <rPh sb="14" eb="16">
      <t>イソベ</t>
    </rPh>
    <rPh sb="24" eb="25">
      <t>ゴウ</t>
    </rPh>
    <rPh sb="29" eb="30">
      <t>ゴウ</t>
    </rPh>
    <phoneticPr fontId="2"/>
  </si>
  <si>
    <t>ＫＡＩＺＯ　ＢＡＳＥ</t>
  </si>
  <si>
    <t>川口市</t>
    <rPh sb="0" eb="3">
      <t>かわぐちし</t>
    </rPh>
    <phoneticPr fontId="20" type="Hiragana"/>
  </si>
  <si>
    <t>334-0056</t>
  </si>
  <si>
    <t>048-229-4328</t>
  </si>
  <si>
    <t>048-229-4329</t>
  </si>
  <si>
    <t>（バス）川口駅東口から草加駅西口行き「貝塚」から徒歩２分</t>
    <rPh sb="4" eb="7">
      <t>かわぐちえき</t>
    </rPh>
    <rPh sb="7" eb="9">
      <t>ひがしぐち</t>
    </rPh>
    <rPh sb="11" eb="14">
      <t>そうかえき</t>
    </rPh>
    <rPh sb="14" eb="16">
      <t>にしぐち</t>
    </rPh>
    <rPh sb="16" eb="17">
      <t>い</t>
    </rPh>
    <rPh sb="19" eb="21">
      <t>かいつか</t>
    </rPh>
    <rPh sb="24" eb="26">
      <t>とほ</t>
    </rPh>
    <rPh sb="27" eb="28">
      <t>ふん</t>
    </rPh>
    <phoneticPr fontId="20" type="Hiragana"/>
  </si>
  <si>
    <t>リハスワーク蕨</t>
    <rPh sb="6" eb="7">
      <t>わらび</t>
    </rPh>
    <phoneticPr fontId="20" type="Hiragana"/>
  </si>
  <si>
    <t>333-0851</t>
  </si>
  <si>
    <t>048-424-4431</t>
  </si>
  <si>
    <t>048-424-4432</t>
  </si>
  <si>
    <t>（電車）蕨駅から徒歩５分</t>
    <rPh sb="1" eb="3">
      <t>でんしゃ</t>
    </rPh>
    <rPh sb="4" eb="5">
      <t>わらび</t>
    </rPh>
    <rPh sb="5" eb="6">
      <t>えき</t>
    </rPh>
    <rPh sb="8" eb="10">
      <t>とほ</t>
    </rPh>
    <rPh sb="11" eb="12">
      <t>ふん</t>
    </rPh>
    <phoneticPr fontId="20" type="Hiragana"/>
  </si>
  <si>
    <t>ルーキーきたこしがや</t>
    <phoneticPr fontId="2"/>
  </si>
  <si>
    <t>大沢3-18-16　岩本ビル2階・3階</t>
    <rPh sb="0" eb="2">
      <t>オオサワ</t>
    </rPh>
    <rPh sb="10" eb="12">
      <t>イワモト</t>
    </rPh>
    <rPh sb="15" eb="16">
      <t>カイ</t>
    </rPh>
    <rPh sb="18" eb="19">
      <t>カイ</t>
    </rPh>
    <phoneticPr fontId="2"/>
  </si>
  <si>
    <t>048-973-7946</t>
    <phoneticPr fontId="2"/>
  </si>
  <si>
    <t>048-973-7947</t>
    <phoneticPr fontId="2"/>
  </si>
  <si>
    <t>東武スカイツリーライン北越谷駅徒歩3分</t>
    <rPh sb="0" eb="2">
      <t>トウブ</t>
    </rPh>
    <rPh sb="11" eb="15">
      <t>キタコシガヤエキ</t>
    </rPh>
    <rPh sb="15" eb="17">
      <t>トホ</t>
    </rPh>
    <rPh sb="18" eb="19">
      <t>プン</t>
    </rPh>
    <phoneticPr fontId="2"/>
  </si>
  <si>
    <t>ショートステイ星の家</t>
    <rPh sb="7" eb="8">
      <t>ホシ</t>
    </rPh>
    <rPh sb="9" eb="10">
      <t>イエ</t>
    </rPh>
    <phoneticPr fontId="2"/>
  </si>
  <si>
    <t>343-0027</t>
    <phoneticPr fontId="2"/>
  </si>
  <si>
    <t>048-972-4305</t>
    <phoneticPr fontId="2"/>
  </si>
  <si>
    <t>048-972-4306</t>
    <phoneticPr fontId="2"/>
  </si>
  <si>
    <t>東武スカイツリーライン北越谷駅徒歩20分</t>
    <rPh sb="0" eb="2">
      <t>トウブ</t>
    </rPh>
    <rPh sb="11" eb="14">
      <t>キタコシガヤ</t>
    </rPh>
    <rPh sb="14" eb="15">
      <t>エキ</t>
    </rPh>
    <rPh sb="19" eb="20">
      <t>プン</t>
    </rPh>
    <phoneticPr fontId="2"/>
  </si>
  <si>
    <t>（株）リハス</t>
    <rPh sb="1" eb="2">
      <t>カブ</t>
    </rPh>
    <phoneticPr fontId="2"/>
  </si>
  <si>
    <t>リハスワーク草加</t>
    <rPh sb="6" eb="8">
      <t>ソウカ</t>
    </rPh>
    <phoneticPr fontId="2"/>
  </si>
  <si>
    <t>氷川町２１４９－２　藤城ビル２階</t>
    <rPh sb="0" eb="2">
      <t>ヒカワ</t>
    </rPh>
    <rPh sb="2" eb="3">
      <t>チョウ</t>
    </rPh>
    <rPh sb="10" eb="12">
      <t>フジシロ</t>
    </rPh>
    <phoneticPr fontId="2"/>
  </si>
  <si>
    <t>048-934-7908</t>
    <phoneticPr fontId="2"/>
  </si>
  <si>
    <t>048-934-7909</t>
    <phoneticPr fontId="2"/>
  </si>
  <si>
    <t>押切2578-2</t>
    <rPh sb="0" eb="2">
      <t>オシキリ</t>
    </rPh>
    <phoneticPr fontId="1"/>
  </si>
  <si>
    <t>360-0111</t>
    <phoneticPr fontId="2"/>
  </si>
  <si>
    <t>048-580-7530</t>
    <phoneticPr fontId="2"/>
  </si>
  <si>
    <t>048-580-7532</t>
    <phoneticPr fontId="2"/>
  </si>
  <si>
    <t>JR高崎線上熊谷駅から車で１２分</t>
    <rPh sb="2" eb="5">
      <t>タカサキセン</t>
    </rPh>
    <rPh sb="5" eb="8">
      <t>カミクマガヤ</t>
    </rPh>
    <rPh sb="8" eb="9">
      <t>エキ</t>
    </rPh>
    <rPh sb="11" eb="12">
      <t>クルマ</t>
    </rPh>
    <rPh sb="15" eb="16">
      <t>フン</t>
    </rPh>
    <phoneticPr fontId="2"/>
  </si>
  <si>
    <t>ダリアホーム桶川</t>
    <rPh sb="6" eb="8">
      <t>オケガワ</t>
    </rPh>
    <phoneticPr fontId="2"/>
  </si>
  <si>
    <t>坂田西１－３－１９</t>
    <rPh sb="0" eb="3">
      <t>サカタニシ</t>
    </rPh>
    <phoneticPr fontId="2"/>
  </si>
  <si>
    <t>363-0018</t>
    <phoneticPr fontId="2"/>
  </si>
  <si>
    <t>048-658-9510</t>
    <phoneticPr fontId="2"/>
  </si>
  <si>
    <t>048-658-9511</t>
    <phoneticPr fontId="2"/>
  </si>
  <si>
    <t>JR高崎線桶川駅から車で１１分</t>
    <rPh sb="2" eb="5">
      <t>タカサキセン</t>
    </rPh>
    <rPh sb="5" eb="8">
      <t>オケガワエキ</t>
    </rPh>
    <rPh sb="10" eb="11">
      <t>クルマ</t>
    </rPh>
    <rPh sb="14" eb="15">
      <t>フン</t>
    </rPh>
    <phoneticPr fontId="2"/>
  </si>
  <si>
    <t>石橋１７９０番地４１</t>
    <rPh sb="0" eb="2">
      <t>イシバシ</t>
    </rPh>
    <rPh sb="6" eb="8">
      <t>バンチ</t>
    </rPh>
    <phoneticPr fontId="2"/>
  </si>
  <si>
    <t>355-0072</t>
    <phoneticPr fontId="2"/>
  </si>
  <si>
    <t>リハスワーク熊谷</t>
    <rPh sb="6" eb="8">
      <t>クマガヤ</t>
    </rPh>
    <phoneticPr fontId="2"/>
  </si>
  <si>
    <t>桜阿知二丁目９番４３シャトーいづみ１０１</t>
    <rPh sb="0" eb="3">
      <t>サクラアチ</t>
    </rPh>
    <rPh sb="3" eb="6">
      <t>ニチョウメ</t>
    </rPh>
    <rPh sb="7" eb="8">
      <t>バン</t>
    </rPh>
    <phoneticPr fontId="2"/>
  </si>
  <si>
    <t>360-0814</t>
    <phoneticPr fontId="2"/>
  </si>
  <si>
    <t>048-598-5066</t>
    <phoneticPr fontId="2"/>
  </si>
  <si>
    <t>048-598-5099</t>
    <phoneticPr fontId="2"/>
  </si>
  <si>
    <t>JR高崎線熊谷駅から徒歩22分</t>
    <rPh sb="2" eb="5">
      <t>タカサキセン</t>
    </rPh>
    <rPh sb="5" eb="8">
      <t>クマガヤエキ</t>
    </rPh>
    <rPh sb="10" eb="12">
      <t>トホ</t>
    </rPh>
    <rPh sb="14" eb="15">
      <t>フン</t>
    </rPh>
    <phoneticPr fontId="2"/>
  </si>
  <si>
    <t>スマイルビジョン皆野</t>
    <rPh sb="8" eb="10">
      <t>ミナノ</t>
    </rPh>
    <phoneticPr fontId="2"/>
  </si>
  <si>
    <t>秩父郡皆野町</t>
    <rPh sb="0" eb="3">
      <t>チチブグン</t>
    </rPh>
    <rPh sb="3" eb="5">
      <t>ミナノ</t>
    </rPh>
    <rPh sb="5" eb="6">
      <t>マチ</t>
    </rPh>
    <phoneticPr fontId="2"/>
  </si>
  <si>
    <t>大字皆野1228‐1</t>
    <rPh sb="2" eb="4">
      <t>ミナノ</t>
    </rPh>
    <phoneticPr fontId="2"/>
  </si>
  <si>
    <t>369-1412</t>
    <phoneticPr fontId="2"/>
  </si>
  <si>
    <t>0494-62-5530</t>
    <phoneticPr fontId="2"/>
  </si>
  <si>
    <t>0494-62-5531</t>
    <phoneticPr fontId="2"/>
  </si>
  <si>
    <t>秩父鉄道皆野駅から徒歩2分</t>
    <rPh sb="0" eb="4">
      <t>チチブテツドウ</t>
    </rPh>
    <rPh sb="4" eb="7">
      <t>ミナノエキ</t>
    </rPh>
    <rPh sb="9" eb="11">
      <t>トホ</t>
    </rPh>
    <rPh sb="12" eb="13">
      <t>フン</t>
    </rPh>
    <phoneticPr fontId="2"/>
  </si>
  <si>
    <t>中央一丁目47番11号</t>
    <rPh sb="0" eb="5">
      <t>チュウオウイッチョウメ</t>
    </rPh>
    <rPh sb="7" eb="8">
      <t>バン</t>
    </rPh>
    <rPh sb="10" eb="11">
      <t>ゴウ</t>
    </rPh>
    <phoneticPr fontId="1"/>
  </si>
  <si>
    <t>350-1308</t>
    <phoneticPr fontId="2"/>
  </si>
  <si>
    <t>070-1383-0832</t>
    <phoneticPr fontId="2"/>
  </si>
  <si>
    <t>050-3385-5021</t>
    <phoneticPr fontId="2"/>
  </si>
  <si>
    <t>西武鉄道狭山市駅から西武バス「井戸窪」下車徒歩２分
※共同生活援助との併設</t>
    <rPh sb="0" eb="2">
      <t>セイブ</t>
    </rPh>
    <rPh sb="2" eb="4">
      <t>テツドウ</t>
    </rPh>
    <rPh sb="4" eb="6">
      <t>サヤマ</t>
    </rPh>
    <rPh sb="6" eb="7">
      <t>シ</t>
    </rPh>
    <rPh sb="7" eb="8">
      <t>エキ</t>
    </rPh>
    <rPh sb="10" eb="12">
      <t>セイブ</t>
    </rPh>
    <rPh sb="15" eb="17">
      <t>イド</t>
    </rPh>
    <rPh sb="17" eb="18">
      <t>クボ</t>
    </rPh>
    <rPh sb="19" eb="21">
      <t>ゲシャ</t>
    </rPh>
    <rPh sb="21" eb="23">
      <t>トホ</t>
    </rPh>
    <rPh sb="24" eb="25">
      <t>フン</t>
    </rPh>
    <phoneticPr fontId="2"/>
  </si>
  <si>
    <t>ウーリー飯能</t>
    <rPh sb="4" eb="6">
      <t>ハンノウ</t>
    </rPh>
    <phoneticPr fontId="2"/>
  </si>
  <si>
    <t>柳町5-2 大栄開発第二ビル1階</t>
    <rPh sb="0" eb="2">
      <t>ヤナギマチ</t>
    </rPh>
    <rPh sb="6" eb="8">
      <t>ダイエイ</t>
    </rPh>
    <rPh sb="8" eb="10">
      <t>カイハツ</t>
    </rPh>
    <rPh sb="10" eb="11">
      <t>ダイ</t>
    </rPh>
    <rPh sb="11" eb="12">
      <t>ニ</t>
    </rPh>
    <rPh sb="15" eb="16">
      <t>カイ</t>
    </rPh>
    <phoneticPr fontId="2"/>
  </si>
  <si>
    <t>357-0035</t>
    <phoneticPr fontId="2"/>
  </si>
  <si>
    <t>042-973-5005</t>
    <phoneticPr fontId="2"/>
  </si>
  <si>
    <t>JR八高線線飯能駅から徒歩3分／西武池袋線飯能駅から徒歩6分</t>
    <rPh sb="2" eb="5">
      <t>ハチコウセン</t>
    </rPh>
    <rPh sb="5" eb="6">
      <t>セン</t>
    </rPh>
    <rPh sb="6" eb="8">
      <t>ハンノウ</t>
    </rPh>
    <rPh sb="8" eb="9">
      <t>エキ</t>
    </rPh>
    <rPh sb="11" eb="13">
      <t>トホ</t>
    </rPh>
    <rPh sb="14" eb="15">
      <t>フン</t>
    </rPh>
    <rPh sb="16" eb="21">
      <t>セイブイケブクロセン</t>
    </rPh>
    <rPh sb="21" eb="23">
      <t>ハンノウ</t>
    </rPh>
    <rPh sb="23" eb="24">
      <t>エキ</t>
    </rPh>
    <rPh sb="26" eb="28">
      <t>トホ</t>
    </rPh>
    <rPh sb="29" eb="30">
      <t>フン</t>
    </rPh>
    <phoneticPr fontId="2"/>
  </si>
  <si>
    <t>350-247</t>
    <phoneticPr fontId="5"/>
  </si>
  <si>
    <t>049-210-1459</t>
    <phoneticPr fontId="5"/>
  </si>
  <si>
    <t>（株）デジタルヘルス</t>
    <rPh sb="1" eb="2">
      <t>カブ</t>
    </rPh>
    <phoneticPr fontId="37"/>
  </si>
  <si>
    <t>ダリアホーム羽生</t>
    <rPh sb="6" eb="8">
      <t>ハニュウ</t>
    </rPh>
    <phoneticPr fontId="37"/>
  </si>
  <si>
    <t>羽生市</t>
    <rPh sb="0" eb="3">
      <t>ハニュウシ</t>
    </rPh>
    <phoneticPr fontId="37"/>
  </si>
  <si>
    <t>南四丁目1番28号</t>
    <rPh sb="0" eb="1">
      <t>ミナミ</t>
    </rPh>
    <rPh sb="1" eb="4">
      <t>ヨンチョウメ</t>
    </rPh>
    <rPh sb="5" eb="6">
      <t>バン</t>
    </rPh>
    <rPh sb="8" eb="9">
      <t>ゴウ</t>
    </rPh>
    <phoneticPr fontId="37"/>
  </si>
  <si>
    <t>348-0053</t>
    <phoneticPr fontId="37"/>
  </si>
  <si>
    <t>048-563-0030</t>
    <phoneticPr fontId="37"/>
  </si>
  <si>
    <t>048-563-0032</t>
    <phoneticPr fontId="37"/>
  </si>
  <si>
    <t>東武鉄道　東武伊勢崎線「羽生」駅より徒歩約６分</t>
    <rPh sb="0" eb="4">
      <t>トウブテツドウ</t>
    </rPh>
    <rPh sb="5" eb="11">
      <t>トウブイセサキセン</t>
    </rPh>
    <rPh sb="12" eb="14">
      <t>ハニュウ</t>
    </rPh>
    <rPh sb="15" eb="16">
      <t>エキ</t>
    </rPh>
    <rPh sb="18" eb="20">
      <t>トホ</t>
    </rPh>
    <rPh sb="20" eb="21">
      <t>ヤク</t>
    </rPh>
    <rPh sb="22" eb="23">
      <t>フン</t>
    </rPh>
    <phoneticPr fontId="37"/>
  </si>
  <si>
    <t>高崎線鴻巣駅から加須駅行バス「環境科学国際センター」下車徒歩2分</t>
    <rPh sb="0" eb="2">
      <t>タカサキ</t>
    </rPh>
    <rPh sb="2" eb="3">
      <t>セン</t>
    </rPh>
    <rPh sb="3" eb="5">
      <t>コウノス</t>
    </rPh>
    <rPh sb="5" eb="6">
      <t>エキ</t>
    </rPh>
    <rPh sb="8" eb="10">
      <t>カゾ</t>
    </rPh>
    <rPh sb="10" eb="11">
      <t>エキ</t>
    </rPh>
    <rPh sb="11" eb="12">
      <t>イ</t>
    </rPh>
    <rPh sb="15" eb="17">
      <t>カンキョウ</t>
    </rPh>
    <rPh sb="17" eb="19">
      <t>カガク</t>
    </rPh>
    <rPh sb="19" eb="21">
      <t>コクサイ</t>
    </rPh>
    <rPh sb="26" eb="28">
      <t>ゲシャ</t>
    </rPh>
    <rPh sb="28" eb="30">
      <t>トホ</t>
    </rPh>
    <rPh sb="31" eb="32">
      <t>フン</t>
    </rPh>
    <phoneticPr fontId="2"/>
  </si>
  <si>
    <t>さくらワークセンター</t>
    <phoneticPr fontId="2"/>
  </si>
  <si>
    <t>短期入所　春日部備後西</t>
    <rPh sb="0" eb="3">
      <t>タンキニュウショ</t>
    </rPh>
    <rPh sb="4" eb="7">
      <t>カスカベ</t>
    </rPh>
    <rPh sb="6" eb="8">
      <t>ビンゴ</t>
    </rPh>
    <rPh sb="8" eb="9">
      <t>ニシ</t>
    </rPh>
    <phoneticPr fontId="2"/>
  </si>
  <si>
    <t>短期入所　春日部南中曽根</t>
    <rPh sb="0" eb="3">
      <t>タンキニュウショ</t>
    </rPh>
    <rPh sb="4" eb="7">
      <t>カスカベ</t>
    </rPh>
    <rPh sb="6" eb="7">
      <t>ミナミ</t>
    </rPh>
    <rPh sb="7" eb="10">
      <t>ナカソネ</t>
    </rPh>
    <phoneticPr fontId="2"/>
  </si>
  <si>
    <t>短期入所　久喜南栗橋</t>
    <rPh sb="0" eb="2">
      <t>タンキ</t>
    </rPh>
    <rPh sb="2" eb="4">
      <t>ニュウショ</t>
    </rPh>
    <rPh sb="5" eb="7">
      <t>クキ</t>
    </rPh>
    <rPh sb="7" eb="10">
      <t>ミナミクリハシ</t>
    </rPh>
    <phoneticPr fontId="5"/>
  </si>
  <si>
    <t>短期入所　三郷東町</t>
    <rPh sb="0" eb="4">
      <t>タンキニュウショ</t>
    </rPh>
    <rPh sb="5" eb="7">
      <t>ミサト</t>
    </rPh>
    <rPh sb="7" eb="8">
      <t>アズマ</t>
    </rPh>
    <rPh sb="8" eb="9">
      <t>マチ</t>
    </rPh>
    <phoneticPr fontId="2"/>
  </si>
  <si>
    <t>短期入所　上尾平塚</t>
    <rPh sb="0" eb="4">
      <t>タンキニュウショ</t>
    </rPh>
    <rPh sb="5" eb="7">
      <t>アゲオ</t>
    </rPh>
    <rPh sb="7" eb="9">
      <t>ヒラツカ</t>
    </rPh>
    <phoneticPr fontId="2"/>
  </si>
  <si>
    <t>短期入所　戸田笹目</t>
    <rPh sb="0" eb="4">
      <t>タンキニュウショ</t>
    </rPh>
    <rPh sb="5" eb="7">
      <t>トダ</t>
    </rPh>
    <rPh sb="7" eb="9">
      <t>ササメ</t>
    </rPh>
    <phoneticPr fontId="2"/>
  </si>
  <si>
    <t>短期入所　志木中宗岡</t>
    <rPh sb="0" eb="4">
      <t>タンキニュウショ</t>
    </rPh>
    <rPh sb="5" eb="10">
      <t>シキナカムネオカ</t>
    </rPh>
    <phoneticPr fontId="2"/>
  </si>
  <si>
    <t>短期入所　所沢三ケ島</t>
    <rPh sb="0" eb="3">
      <t>タンキニュウショ</t>
    </rPh>
    <rPh sb="5" eb="7">
      <t>トコロザワ</t>
    </rPh>
    <rPh sb="7" eb="10">
      <t>ミカジマ</t>
    </rPh>
    <phoneticPr fontId="5"/>
  </si>
  <si>
    <t>短期入所　所沢荒幡</t>
    <rPh sb="0" eb="4">
      <t>タンキニュウショ</t>
    </rPh>
    <rPh sb="5" eb="7">
      <t>トコロザワ</t>
    </rPh>
    <rPh sb="7" eb="9">
      <t>アラハタ</t>
    </rPh>
    <phoneticPr fontId="2"/>
  </si>
  <si>
    <t>短期入所　狭山上赤坂</t>
    <rPh sb="0" eb="3">
      <t>タンキニュウショ</t>
    </rPh>
    <rPh sb="5" eb="8">
      <t>サヤマカミ</t>
    </rPh>
    <rPh sb="8" eb="10">
      <t>アカサカ</t>
    </rPh>
    <phoneticPr fontId="5"/>
  </si>
  <si>
    <t>短期入所　入間上藤沢</t>
    <rPh sb="0" eb="3">
      <t>タンキニュウショ</t>
    </rPh>
    <rPh sb="5" eb="7">
      <t>イルマ</t>
    </rPh>
    <rPh sb="7" eb="10">
      <t>カミフジサワ</t>
    </rPh>
    <phoneticPr fontId="5"/>
  </si>
  <si>
    <t>短期入所　富士見鶴馬</t>
    <rPh sb="0" eb="3">
      <t>タンキニュウショ</t>
    </rPh>
    <rPh sb="5" eb="10">
      <t>フジミツルマ</t>
    </rPh>
    <phoneticPr fontId="5"/>
  </si>
  <si>
    <t>短期入所　ふじみ野長宮</t>
    <phoneticPr fontId="2"/>
  </si>
  <si>
    <t>短期入所　ふじみ野旭</t>
    <rPh sb="0" eb="4">
      <t>タンキニュウショ</t>
    </rPh>
    <rPh sb="8" eb="10">
      <t>ノアサヒ</t>
    </rPh>
    <phoneticPr fontId="2"/>
  </si>
  <si>
    <t>短期入所　熊谷押切</t>
    <rPh sb="0" eb="4">
      <t>タンキニュウショ</t>
    </rPh>
    <rPh sb="5" eb="7">
      <t>クマガヤ</t>
    </rPh>
    <rPh sb="7" eb="9">
      <t>オシキリ</t>
    </rPh>
    <phoneticPr fontId="5"/>
  </si>
  <si>
    <t>短期入所　東松山箭弓町</t>
    <rPh sb="0" eb="2">
      <t>タンキ</t>
    </rPh>
    <rPh sb="2" eb="4">
      <t>ニュウショ</t>
    </rPh>
    <rPh sb="5" eb="8">
      <t>ヒガシマツヤマ</t>
    </rPh>
    <rPh sb="8" eb="11">
      <t>ヤキュウチョウ</t>
    </rPh>
    <phoneticPr fontId="5"/>
  </si>
  <si>
    <t>短期入所　行田富士見町</t>
    <rPh sb="0" eb="4">
      <t>タンキニュウショ</t>
    </rPh>
    <rPh sb="5" eb="7">
      <t>ギョウダ</t>
    </rPh>
    <rPh sb="7" eb="10">
      <t>フジミ</t>
    </rPh>
    <rPh sb="10" eb="11">
      <t>チョウ</t>
    </rPh>
    <phoneticPr fontId="2"/>
  </si>
  <si>
    <t>短期入所　加須南篠崎</t>
    <rPh sb="0" eb="2">
      <t>タンキ</t>
    </rPh>
    <rPh sb="2" eb="4">
      <t>ニュウショ</t>
    </rPh>
    <rPh sb="5" eb="7">
      <t>カゾ</t>
    </rPh>
    <rPh sb="7" eb="8">
      <t>ミナミ</t>
    </rPh>
    <rPh sb="8" eb="10">
      <t>シノザキ</t>
    </rPh>
    <phoneticPr fontId="5"/>
  </si>
  <si>
    <t>短期入所　加須礼羽</t>
    <rPh sb="0" eb="4">
      <t>タンキニュウショ</t>
    </rPh>
    <phoneticPr fontId="2"/>
  </si>
  <si>
    <t>短期入所　羽生東</t>
    <rPh sb="0" eb="4">
      <t>タンキニュウショ</t>
    </rPh>
    <rPh sb="5" eb="7">
      <t>ハニュウ</t>
    </rPh>
    <rPh sb="7" eb="8">
      <t>ヒガシ</t>
    </rPh>
    <phoneticPr fontId="2"/>
  </si>
  <si>
    <t>短期入所　深谷小前田</t>
    <rPh sb="0" eb="4">
      <t>タンキニュウショ</t>
    </rPh>
    <rPh sb="5" eb="7">
      <t>フカヤ</t>
    </rPh>
    <rPh sb="7" eb="10">
      <t>オマエダ</t>
    </rPh>
    <phoneticPr fontId="2"/>
  </si>
  <si>
    <t>短期入所　新座野寺</t>
    <rPh sb="0" eb="3">
      <t>タンキニュウショ</t>
    </rPh>
    <rPh sb="5" eb="7">
      <t>ニイザ</t>
    </rPh>
    <rPh sb="7" eb="9">
      <t>ノデラ</t>
    </rPh>
    <phoneticPr fontId="5"/>
  </si>
  <si>
    <t>短期入所　新座野火止</t>
    <phoneticPr fontId="5"/>
  </si>
  <si>
    <t>短期入所　坂戸溝端町</t>
    <rPh sb="0" eb="3">
      <t>タンキニュウショ</t>
    </rPh>
    <rPh sb="5" eb="10">
      <t>サカドミゾバタマチ</t>
    </rPh>
    <phoneticPr fontId="5"/>
  </si>
  <si>
    <t>（株）ラディネイト</t>
    <rPh sb="1" eb="2">
      <t>カブ</t>
    </rPh>
    <phoneticPr fontId="2"/>
  </si>
  <si>
    <t>就労継続支援事業ＴＡＫＵＷＡＫＵ　八潮支店</t>
    <rPh sb="0" eb="2">
      <t>シュウロウ</t>
    </rPh>
    <rPh sb="2" eb="4">
      <t>ケイゾク</t>
    </rPh>
    <rPh sb="4" eb="6">
      <t>シエン</t>
    </rPh>
    <rPh sb="6" eb="8">
      <t>ジギョウ</t>
    </rPh>
    <rPh sb="17" eb="19">
      <t>ヤシオ</t>
    </rPh>
    <rPh sb="19" eb="21">
      <t>シテン</t>
    </rPh>
    <phoneticPr fontId="2"/>
  </si>
  <si>
    <t>八潮３丁目８番地８</t>
    <phoneticPr fontId="2"/>
  </si>
  <si>
    <t>048-950-8113</t>
    <phoneticPr fontId="2"/>
  </si>
  <si>
    <t>つくばエクスプレス八潮駅からバス「上馬場」下車徒歩３分</t>
    <rPh sb="9" eb="12">
      <t>ヤシオエキ</t>
    </rPh>
    <rPh sb="17" eb="18">
      <t>ウエ</t>
    </rPh>
    <rPh sb="18" eb="20">
      <t>ババ</t>
    </rPh>
    <rPh sb="21" eb="23">
      <t>ゲシャ</t>
    </rPh>
    <rPh sb="23" eb="25">
      <t>トホ</t>
    </rPh>
    <rPh sb="26" eb="27">
      <t>プン</t>
    </rPh>
    <phoneticPr fontId="2"/>
  </si>
  <si>
    <t>（株）AMATUHI</t>
    <rPh sb="0" eb="1">
      <t>カブ</t>
    </rPh>
    <phoneticPr fontId="2"/>
  </si>
  <si>
    <t>AMANEKU熊谷妻沼　短期入所</t>
    <rPh sb="7" eb="9">
      <t>クマガヤ</t>
    </rPh>
    <rPh sb="9" eb="11">
      <t>メヌマ</t>
    </rPh>
    <rPh sb="12" eb="16">
      <t>タンキニュウショ</t>
    </rPh>
    <phoneticPr fontId="2"/>
  </si>
  <si>
    <t>妻沼東4-140中央１７－３</t>
    <rPh sb="8" eb="10">
      <t>チュウオウ</t>
    </rPh>
    <phoneticPr fontId="2"/>
  </si>
  <si>
    <t>360-0204</t>
    <phoneticPr fontId="2"/>
  </si>
  <si>
    <t>070-1228-8823</t>
    <phoneticPr fontId="2"/>
  </si>
  <si>
    <t>熊谷駅から妻沼行政センター前バス停まで２０分。同バス停から徒歩３分。</t>
    <rPh sb="0" eb="3">
      <t>クマガヤエキ</t>
    </rPh>
    <rPh sb="5" eb="7">
      <t>メヌマ</t>
    </rPh>
    <rPh sb="7" eb="9">
      <t>ギョウセイ</t>
    </rPh>
    <rPh sb="13" eb="14">
      <t>マエ</t>
    </rPh>
    <rPh sb="16" eb="17">
      <t>テイ</t>
    </rPh>
    <rPh sb="21" eb="22">
      <t>フン</t>
    </rPh>
    <rPh sb="23" eb="24">
      <t>ドウ</t>
    </rPh>
    <rPh sb="26" eb="27">
      <t>テイ</t>
    </rPh>
    <rPh sb="29" eb="31">
      <t>トホ</t>
    </rPh>
    <rPh sb="32" eb="33">
      <t>フン</t>
    </rPh>
    <phoneticPr fontId="2"/>
  </si>
  <si>
    <t>（株)デジタルヘルス</t>
    <rPh sb="1" eb="2">
      <t>カブ</t>
    </rPh>
    <phoneticPr fontId="2"/>
  </si>
  <si>
    <t>ダリアホーム寄居</t>
    <rPh sb="6" eb="8">
      <t>ヨリイ</t>
    </rPh>
    <phoneticPr fontId="2"/>
  </si>
  <si>
    <t>桜沢９０４－３</t>
    <rPh sb="0" eb="2">
      <t>サクラザワ</t>
    </rPh>
    <phoneticPr fontId="2"/>
  </si>
  <si>
    <t>369-1202</t>
    <phoneticPr fontId="2"/>
  </si>
  <si>
    <t>048-580-2610</t>
    <phoneticPr fontId="2"/>
  </si>
  <si>
    <t>048-580-2611</t>
    <phoneticPr fontId="2"/>
  </si>
  <si>
    <t>秩父鉄道桜沢駅から徒歩１３分</t>
    <rPh sb="0" eb="4">
      <t>チチブテツドウ</t>
    </rPh>
    <rPh sb="4" eb="6">
      <t>サクラザワ</t>
    </rPh>
    <rPh sb="6" eb="7">
      <t>エキ</t>
    </rPh>
    <rPh sb="9" eb="11">
      <t>トホ</t>
    </rPh>
    <rPh sb="13" eb="14">
      <t>フン</t>
    </rPh>
    <phoneticPr fontId="2"/>
  </si>
  <si>
    <t>ＡＭＡＮＥＫＵ狭山中央　短期入所</t>
    <rPh sb="7" eb="11">
      <t>サヤマチュウオウ</t>
    </rPh>
    <rPh sb="12" eb="16">
      <t>タンキニュウショ</t>
    </rPh>
    <phoneticPr fontId="5"/>
  </si>
  <si>
    <t>05035355606</t>
    <phoneticPr fontId="2"/>
  </si>
  <si>
    <t>ＡＭＡＮＥＫＵ朝霞溝沼　短期入所</t>
    <rPh sb="7" eb="9">
      <t>アサカ</t>
    </rPh>
    <rPh sb="9" eb="11">
      <t>ミゾヌマ</t>
    </rPh>
    <rPh sb="12" eb="16">
      <t>タンキニュウショ</t>
    </rPh>
    <phoneticPr fontId="5"/>
  </si>
  <si>
    <t>大字溝沼490-1</t>
    <rPh sb="0" eb="2">
      <t>オオアザ</t>
    </rPh>
    <rPh sb="2" eb="4">
      <t>ミゾヌマ</t>
    </rPh>
    <phoneticPr fontId="1"/>
  </si>
  <si>
    <t>070-1383-1491</t>
    <phoneticPr fontId="2"/>
  </si>
  <si>
    <t>東部鉄道朝霞駅か東部バス「溝沼坂下」下車徒歩３分
※共同生活援助との併設</t>
    <rPh sb="0" eb="2">
      <t>トウブ</t>
    </rPh>
    <rPh sb="2" eb="4">
      <t>テツドウ</t>
    </rPh>
    <rPh sb="4" eb="6">
      <t>アサカ</t>
    </rPh>
    <rPh sb="6" eb="7">
      <t>エキ</t>
    </rPh>
    <rPh sb="8" eb="10">
      <t>トウブ</t>
    </rPh>
    <rPh sb="13" eb="15">
      <t>ミゾヌマ</t>
    </rPh>
    <rPh sb="15" eb="17">
      <t>サカシタ</t>
    </rPh>
    <rPh sb="18" eb="20">
      <t>ゲシャ</t>
    </rPh>
    <rPh sb="20" eb="22">
      <t>トホ</t>
    </rPh>
    <rPh sb="23" eb="24">
      <t>フン</t>
    </rPh>
    <phoneticPr fontId="2"/>
  </si>
  <si>
    <t>チョコミント</t>
    <phoneticPr fontId="2"/>
  </si>
  <si>
    <t>大成町2-190-1</t>
    <rPh sb="0" eb="3">
      <t>タイセイチョウ</t>
    </rPh>
    <phoneticPr fontId="2"/>
  </si>
  <si>
    <t>343-0825</t>
    <phoneticPr fontId="2"/>
  </si>
  <si>
    <t>048-940-7615</t>
    <phoneticPr fontId="2"/>
  </si>
  <si>
    <t>048-940-7616</t>
    <phoneticPr fontId="2"/>
  </si>
  <si>
    <t>JR武蔵野線越谷レイクタウン駅徒歩25分</t>
    <rPh sb="2" eb="6">
      <t>ムサシノセン</t>
    </rPh>
    <rPh sb="6" eb="8">
      <t>コシガヤ</t>
    </rPh>
    <rPh sb="14" eb="15">
      <t>エキ</t>
    </rPh>
    <rPh sb="15" eb="17">
      <t>トホ</t>
    </rPh>
    <rPh sb="19" eb="20">
      <t>プン</t>
    </rPh>
    <phoneticPr fontId="2"/>
  </si>
  <si>
    <t>在宅支援センター夢のつづき</t>
    <rPh sb="0" eb="4">
      <t>ザイタクシエン</t>
    </rPh>
    <rPh sb="8" eb="9">
      <t>ユメ</t>
    </rPh>
    <phoneticPr fontId="2"/>
  </si>
  <si>
    <t>三野宮175-1</t>
    <rPh sb="0" eb="3">
      <t>サンノミヤ</t>
    </rPh>
    <phoneticPr fontId="2"/>
  </si>
  <si>
    <t>東武スカイツリーラインせんげん台駅徒歩30分
（地域密着型療養通所介護との共生型サービス）</t>
    <rPh sb="0" eb="2">
      <t>トウブ</t>
    </rPh>
    <rPh sb="15" eb="16">
      <t>ダイ</t>
    </rPh>
    <rPh sb="16" eb="17">
      <t>エキ</t>
    </rPh>
    <rPh sb="21" eb="22">
      <t>プン</t>
    </rPh>
    <rPh sb="24" eb="26">
      <t>チイキ</t>
    </rPh>
    <rPh sb="26" eb="29">
      <t>ミッチャクガタ</t>
    </rPh>
    <rPh sb="29" eb="33">
      <t>リョウヨウツウショ</t>
    </rPh>
    <rPh sb="33" eb="35">
      <t>カイゴ</t>
    </rPh>
    <rPh sb="37" eb="40">
      <t>キョウセイガタ</t>
    </rPh>
    <phoneticPr fontId="2"/>
  </si>
  <si>
    <t>大宮区宮町４－１４４　古賀屋ＳＫビル２階</t>
    <phoneticPr fontId="37"/>
  </si>
  <si>
    <t>050-2018-2726</t>
  </si>
  <si>
    <t>ＪＲ大宮駅から徒歩9分</t>
    <rPh sb="2" eb="5">
      <t>オオミヤエキ</t>
    </rPh>
    <rPh sb="7" eb="9">
      <t>トホ</t>
    </rPh>
    <rPh sb="10" eb="11">
      <t>フン</t>
    </rPh>
    <phoneticPr fontId="2"/>
  </si>
  <si>
    <t>岩槻区府内４－１－２３－１</t>
    <phoneticPr fontId="37"/>
  </si>
  <si>
    <t>浦和区仲町１－１２－１</t>
    <phoneticPr fontId="37"/>
  </si>
  <si>
    <t>048-816-5452</t>
  </si>
  <si>
    <t>048-816-5453</t>
  </si>
  <si>
    <t>ＪＲ浦和駅から徒歩5分</t>
    <rPh sb="2" eb="4">
      <t>ウラワ</t>
    </rPh>
    <rPh sb="4" eb="5">
      <t>エキ</t>
    </rPh>
    <rPh sb="7" eb="9">
      <t>トホ</t>
    </rPh>
    <rPh sb="10" eb="11">
      <t>フン</t>
    </rPh>
    <phoneticPr fontId="2"/>
  </si>
  <si>
    <t>南区沼影１－１０－１　ラムザ４F</t>
  </si>
  <si>
    <t>336-0027</t>
  </si>
  <si>
    <t>048-829-9425</t>
  </si>
  <si>
    <t>048-829-9426</t>
  </si>
  <si>
    <t>ＪＲ武蔵浦和駅から徒歩４分</t>
    <rPh sb="2" eb="7">
      <t>ムサシウラワエキ</t>
    </rPh>
    <rPh sb="9" eb="11">
      <t>トホ</t>
    </rPh>
    <rPh sb="12" eb="13">
      <t>フン</t>
    </rPh>
    <phoneticPr fontId="2"/>
  </si>
  <si>
    <t>生活訓練事業所Kaien大宮</t>
    <rPh sb="0" eb="2">
      <t>セイカツ</t>
    </rPh>
    <rPh sb="2" eb="4">
      <t>クンレン</t>
    </rPh>
    <rPh sb="4" eb="6">
      <t>ジギョウ</t>
    </rPh>
    <rPh sb="6" eb="7">
      <t>ショ</t>
    </rPh>
    <rPh sb="12" eb="14">
      <t>オオミヤ</t>
    </rPh>
    <phoneticPr fontId="2"/>
  </si>
  <si>
    <t>短期入所　さいたま府内</t>
    <rPh sb="0" eb="3">
      <t>タンキニュウショ</t>
    </rPh>
    <rPh sb="9" eb="11">
      <t>フナイ</t>
    </rPh>
    <phoneticPr fontId="2"/>
  </si>
  <si>
    <t>オハナワークス</t>
    <phoneticPr fontId="2"/>
  </si>
  <si>
    <t>LITALICOワークス武蔵浦和</t>
    <rPh sb="12" eb="16">
      <t>ムサシウラワ</t>
    </rPh>
    <phoneticPr fontId="2"/>
  </si>
  <si>
    <t>短期入所　さいたま三室</t>
    <rPh sb="0" eb="3">
      <t>タンキニュウショ</t>
    </rPh>
    <rPh sb="9" eb="11">
      <t>ミムロ</t>
    </rPh>
    <phoneticPr fontId="2"/>
  </si>
  <si>
    <t>緑区三室５３０－１</t>
    <phoneticPr fontId="37"/>
  </si>
  <si>
    <t>JRさいたま新都心駅東口から東武バス乗車
山中橋バス停下車徒歩５分</t>
    <rPh sb="6" eb="9">
      <t>シントシン</t>
    </rPh>
    <rPh sb="9" eb="10">
      <t>エキ</t>
    </rPh>
    <rPh sb="10" eb="12">
      <t>ヒガシグチ</t>
    </rPh>
    <rPh sb="14" eb="16">
      <t>トウブ</t>
    </rPh>
    <rPh sb="18" eb="20">
      <t>ジョウシャ</t>
    </rPh>
    <rPh sb="21" eb="23">
      <t>ヤマナカ</t>
    </rPh>
    <rPh sb="23" eb="24">
      <t>バシ</t>
    </rPh>
    <rPh sb="26" eb="27">
      <t>テイ</t>
    </rPh>
    <rPh sb="27" eb="29">
      <t>ゲシャ</t>
    </rPh>
    <rPh sb="29" eb="31">
      <t>トホ</t>
    </rPh>
    <rPh sb="32" eb="33">
      <t>フン</t>
    </rPh>
    <phoneticPr fontId="2"/>
  </si>
  <si>
    <t>東武野田線大和田駅から徒歩10分</t>
    <rPh sb="0" eb="2">
      <t>トウブ</t>
    </rPh>
    <rPh sb="2" eb="5">
      <t>ノダセン</t>
    </rPh>
    <rPh sb="5" eb="8">
      <t>オオワダ</t>
    </rPh>
    <rPh sb="8" eb="9">
      <t>エキ</t>
    </rPh>
    <rPh sb="11" eb="13">
      <t>トホ</t>
    </rPh>
    <rPh sb="15" eb="16">
      <t>フン</t>
    </rPh>
    <phoneticPr fontId="2"/>
  </si>
  <si>
    <t>短期入所さいたま大和田町</t>
    <rPh sb="0" eb="3">
      <t>タンキニュウショ</t>
    </rPh>
    <rPh sb="6" eb="10">
      <t>オオワダチョウ</t>
    </rPh>
    <phoneticPr fontId="2"/>
  </si>
  <si>
    <t>就労移行支援事業所Kaien大宮</t>
  </si>
  <si>
    <t>アイトライ浦和センター</t>
    <rPh sb="5" eb="7">
      <t>うらわ</t>
    </rPh>
    <phoneticPr fontId="36" type="Hiragana"/>
  </si>
  <si>
    <t>短期入所　川越木野目</t>
    <rPh sb="0" eb="2">
      <t>タンキ</t>
    </rPh>
    <rPh sb="2" eb="4">
      <t>ニュウショ</t>
    </rPh>
    <rPh sb="5" eb="7">
      <t>カワゴエ</t>
    </rPh>
    <rPh sb="7" eb="10">
      <t>キノメ</t>
    </rPh>
    <phoneticPr fontId="2"/>
  </si>
  <si>
    <t>川越市</t>
    <rPh sb="0" eb="3">
      <t>カワゴエシ</t>
    </rPh>
    <phoneticPr fontId="2"/>
  </si>
  <si>
    <t>木野目381-4</t>
    <rPh sb="0" eb="3">
      <t>キノメ</t>
    </rPh>
    <phoneticPr fontId="2"/>
  </si>
  <si>
    <t>350-0016</t>
    <phoneticPr fontId="2"/>
  </si>
  <si>
    <t>049-293-5025</t>
    <phoneticPr fontId="2"/>
  </si>
  <si>
    <t>049-293-5029</t>
    <phoneticPr fontId="2"/>
  </si>
  <si>
    <t>○</t>
    <phoneticPr fontId="2"/>
  </si>
  <si>
    <t>JR川越線南古谷駅徒歩12分</t>
    <rPh sb="2" eb="4">
      <t>カワゴエ</t>
    </rPh>
    <rPh sb="4" eb="5">
      <t>セン</t>
    </rPh>
    <rPh sb="5" eb="9">
      <t>ミナミフルヤエキ</t>
    </rPh>
    <rPh sb="9" eb="11">
      <t>トホ</t>
    </rPh>
    <rPh sb="13" eb="14">
      <t>フン</t>
    </rPh>
    <phoneticPr fontId="2"/>
  </si>
  <si>
    <t>短期入所　川越今福</t>
    <rPh sb="0" eb="2">
      <t>タンキ</t>
    </rPh>
    <rPh sb="2" eb="4">
      <t>ニュウショ</t>
    </rPh>
    <rPh sb="5" eb="7">
      <t>カワゴエ</t>
    </rPh>
    <rPh sb="7" eb="9">
      <t>イマフク</t>
    </rPh>
    <phoneticPr fontId="2"/>
  </si>
  <si>
    <t>今福695-1</t>
    <rPh sb="0" eb="2">
      <t>イマフク</t>
    </rPh>
    <phoneticPr fontId="2"/>
  </si>
  <si>
    <t>350-1151</t>
    <phoneticPr fontId="2"/>
  </si>
  <si>
    <t>049-293-9552</t>
    <phoneticPr fontId="2"/>
  </si>
  <si>
    <t>049-293-8556</t>
    <phoneticPr fontId="2"/>
  </si>
  <si>
    <t>西武新宿線南大塚駅より徒歩8分→南台一丁目バス停→バス6分今福中台バス停下車徒歩9分</t>
    <rPh sb="0" eb="2">
      <t>セイブ</t>
    </rPh>
    <rPh sb="2" eb="5">
      <t>シンジュクセン</t>
    </rPh>
    <rPh sb="5" eb="9">
      <t>ミナミオオツカエキ</t>
    </rPh>
    <rPh sb="11" eb="13">
      <t>トホ</t>
    </rPh>
    <rPh sb="14" eb="15">
      <t>フン</t>
    </rPh>
    <rPh sb="16" eb="18">
      <t>ミナミダイ</t>
    </rPh>
    <rPh sb="18" eb="21">
      <t>イッチョウメ</t>
    </rPh>
    <rPh sb="23" eb="24">
      <t>テイ</t>
    </rPh>
    <rPh sb="28" eb="29">
      <t>プン</t>
    </rPh>
    <rPh sb="29" eb="31">
      <t>イマフク</t>
    </rPh>
    <rPh sb="31" eb="33">
      <t>ナカダイ</t>
    </rPh>
    <rPh sb="35" eb="36">
      <t>テイ</t>
    </rPh>
    <rPh sb="36" eb="38">
      <t>ゲシャ</t>
    </rPh>
    <rPh sb="38" eb="40">
      <t>トホ</t>
    </rPh>
    <rPh sb="41" eb="42">
      <t>フン</t>
    </rPh>
    <phoneticPr fontId="2"/>
  </si>
  <si>
    <t>048-844-5426</t>
    <phoneticPr fontId="2" type="Hiragana"/>
  </si>
  <si>
    <t>（電車）西川口駅から徒歩２分</t>
    <rPh sb="1" eb="3">
      <t>でんしゃ</t>
    </rPh>
    <rPh sb="4" eb="8">
      <t>にしかわぐちえき</t>
    </rPh>
    <rPh sb="10" eb="12">
      <t>とほ</t>
    </rPh>
    <rPh sb="13" eb="14">
      <t>ふん</t>
    </rPh>
    <phoneticPr fontId="2" type="Hiragana"/>
  </si>
  <si>
    <t>にじげん川口</t>
    <rPh sb="4" eb="6">
      <t>かわぐち</t>
    </rPh>
    <phoneticPr fontId="2" type="Hiragana"/>
  </si>
  <si>
    <t>＆tree</t>
    <phoneticPr fontId="2" type="Hiragana"/>
  </si>
  <si>
    <t>332-0001</t>
    <phoneticPr fontId="2" type="Hiragana"/>
  </si>
  <si>
    <t>048-233-7908</t>
    <phoneticPr fontId="2" type="Hiragana"/>
  </si>
  <si>
    <t>（バス）川口駅から草加駅西口行き「朝日三丁目」徒歩１分</t>
    <rPh sb="4" eb="6">
      <t>かわぐち</t>
    </rPh>
    <rPh sb="6" eb="7">
      <t>えき</t>
    </rPh>
    <rPh sb="9" eb="12">
      <t>そうかえき</t>
    </rPh>
    <rPh sb="12" eb="14">
      <t>にしぐち</t>
    </rPh>
    <rPh sb="14" eb="15">
      <t>い</t>
    </rPh>
    <rPh sb="17" eb="19">
      <t>あさひ</t>
    </rPh>
    <rPh sb="19" eb="22">
      <t>さんちょうめ</t>
    </rPh>
    <rPh sb="23" eb="25">
      <t>とほ</t>
    </rPh>
    <rPh sb="26" eb="27">
      <t>ふん</t>
    </rPh>
    <phoneticPr fontId="20" type="Hiragana"/>
  </si>
  <si>
    <t>短期入所　川口安行原</t>
    <rPh sb="0" eb="4">
      <t>たんきにゅうしょ</t>
    </rPh>
    <rPh sb="5" eb="7">
      <t>かわぐち</t>
    </rPh>
    <rPh sb="7" eb="10">
      <t>あんぎょうはら</t>
    </rPh>
    <phoneticPr fontId="2" type="Hiragana"/>
  </si>
  <si>
    <t>（バス）川口駅東口から安行出羽行き「安行原」下車、徒歩３分　※共同生活援助との併設</t>
    <rPh sb="4" eb="7">
      <t>かわぐちえき</t>
    </rPh>
    <rPh sb="7" eb="9">
      <t>ひがしぐち</t>
    </rPh>
    <rPh sb="11" eb="15">
      <t>あんぎょうでわ</t>
    </rPh>
    <rPh sb="15" eb="16">
      <t>い</t>
    </rPh>
    <rPh sb="18" eb="21">
      <t>あんぎょうはら</t>
    </rPh>
    <rPh sb="22" eb="24">
      <t>げしゃ</t>
    </rPh>
    <rPh sb="25" eb="27">
      <t>とほ</t>
    </rPh>
    <rPh sb="28" eb="29">
      <t>ふん</t>
    </rPh>
    <phoneticPr fontId="2" type="Hiragana"/>
  </si>
  <si>
    <t>弥平４-２-４　２階３階</t>
    <phoneticPr fontId="2" type="Hiragana"/>
  </si>
  <si>
    <t>大字新堀６８９－７</t>
    <rPh sb="0" eb="2">
      <t>おおあざ</t>
    </rPh>
    <rPh sb="2" eb="4">
      <t>にいほり</t>
    </rPh>
    <phoneticPr fontId="2" type="Hiragana"/>
  </si>
  <si>
    <t>芝2-21-29　103</t>
    <rPh sb="0" eb="1">
      <t>しば</t>
    </rPh>
    <phoneticPr fontId="2" type="Hiragana"/>
  </si>
  <si>
    <t>東領家2-8-4</t>
    <rPh sb="0" eb="3">
      <t>ひがしりょうけ</t>
    </rPh>
    <phoneticPr fontId="2" type="Hiragana"/>
  </si>
  <si>
    <t>八幡木3-7-5</t>
    <rPh sb="0" eb="3">
      <t>はちまんぎ</t>
    </rPh>
    <phoneticPr fontId="2" type="Hiragana"/>
  </si>
  <si>
    <t>鳩ヶ谷緑町1-3-19</t>
    <rPh sb="0" eb="3">
      <t>はとがや</t>
    </rPh>
    <rPh sb="3" eb="4">
      <t>みどり</t>
    </rPh>
    <rPh sb="4" eb="5">
      <t>まち</t>
    </rPh>
    <phoneticPr fontId="20" type="Hiragana"/>
  </si>
  <si>
    <t>障がい者グループホーム　
サンライズ川口</t>
    <rPh sb="0" eb="1">
      <t>しょう</t>
    </rPh>
    <rPh sb="3" eb="4">
      <t>しゃ</t>
    </rPh>
    <rPh sb="18" eb="20">
      <t>かわぐち</t>
    </rPh>
    <phoneticPr fontId="20" type="Hiragana"/>
  </si>
  <si>
    <t>（バス）川口駅東口から草加駅西口行き「榛松」下車、徒歩７分　※共同生活援助との併設</t>
    <rPh sb="4" eb="7">
      <t>かわぐちえき</t>
    </rPh>
    <rPh sb="7" eb="9">
      <t>ひがしぐち</t>
    </rPh>
    <rPh sb="11" eb="14">
      <t>そうかえき</t>
    </rPh>
    <rPh sb="14" eb="16">
      <t>にしぐち</t>
    </rPh>
    <rPh sb="16" eb="17">
      <t>い</t>
    </rPh>
    <rPh sb="19" eb="21">
      <t>はえまつ</t>
    </rPh>
    <rPh sb="22" eb="24">
      <t>げしゃ</t>
    </rPh>
    <rPh sb="25" eb="27">
      <t>とほ</t>
    </rPh>
    <rPh sb="28" eb="29">
      <t>ふん</t>
    </rPh>
    <phoneticPr fontId="20" type="Hiragana"/>
  </si>
  <si>
    <t>並木２－１－７フォーバーツ並木３０２</t>
    <rPh sb="0" eb="2">
      <t>なみき</t>
    </rPh>
    <rPh sb="13" eb="15">
      <t>なみき</t>
    </rPh>
    <phoneticPr fontId="2" type="Hiragana"/>
  </si>
  <si>
    <t>芝高木２－２５－４３</t>
    <rPh sb="0" eb="1">
      <t>しば</t>
    </rPh>
    <rPh sb="1" eb="3">
      <t>たかぎ</t>
    </rPh>
    <phoneticPr fontId="2" type="Hiragana"/>
  </si>
  <si>
    <t>西川口１－１７－９ジェム西川口Ｎｏ．５　２０１</t>
    <rPh sb="0" eb="3">
      <t>にしかわぐち</t>
    </rPh>
    <rPh sb="12" eb="15">
      <t>にしかわぐち</t>
    </rPh>
    <phoneticPr fontId="2" type="Hiragana"/>
  </si>
  <si>
    <t>芝新町５－１６第五福ビル２Ｆ</t>
    <rPh sb="0" eb="3">
      <t>しばしんまち</t>
    </rPh>
    <rPh sb="7" eb="8">
      <t>だい</t>
    </rPh>
    <rPh sb="8" eb="10">
      <t>ごふく</t>
    </rPh>
    <phoneticPr fontId="2" type="Hiragana"/>
  </si>
  <si>
    <t>安行領根岸1839-11</t>
    <rPh sb="0" eb="5">
      <t>あんぎょうりょうねぎし</t>
    </rPh>
    <phoneticPr fontId="2" type="Hiragana"/>
  </si>
  <si>
    <t>戸塚2-21-6　102</t>
    <rPh sb="0" eb="2">
      <t>とつか</t>
    </rPh>
    <phoneticPr fontId="2" type="Hiragana"/>
  </si>
  <si>
    <t>東内野372-1</t>
    <rPh sb="0" eb="3">
      <t>ひがしうちの</t>
    </rPh>
    <phoneticPr fontId="2" type="Hiragana"/>
  </si>
  <si>
    <t>安行出羽1-1-8</t>
    <rPh sb="0" eb="4">
      <t>あんぎょうでわ</t>
    </rPh>
    <phoneticPr fontId="2" type="Hiragana"/>
  </si>
  <si>
    <t>幸町2-13-5　コア幸町2F</t>
    <rPh sb="0" eb="2">
      <t>さいわいちょう</t>
    </rPh>
    <rPh sb="11" eb="13">
      <t>さいわいちょう</t>
    </rPh>
    <phoneticPr fontId="2" type="Hiragana"/>
  </si>
  <si>
    <t>西川口1-22-19小林ビル2階</t>
    <rPh sb="0" eb="3">
      <t>にしかわぐち</t>
    </rPh>
    <rPh sb="10" eb="12">
      <t>こばやし</t>
    </rPh>
    <rPh sb="15" eb="16">
      <t>かい</t>
    </rPh>
    <phoneticPr fontId="2" type="Hiragana"/>
  </si>
  <si>
    <t>江戸3-5-13山田貸事業所1階</t>
    <rPh sb="0" eb="2">
      <t>えど</t>
    </rPh>
    <rPh sb="8" eb="10">
      <t>やまだ</t>
    </rPh>
    <rPh sb="10" eb="11">
      <t>かし</t>
    </rPh>
    <rPh sb="11" eb="13">
      <t>じぎょう</t>
    </rPh>
    <rPh sb="13" eb="14">
      <t>しょ</t>
    </rPh>
    <rPh sb="15" eb="16">
      <t>かい</t>
    </rPh>
    <phoneticPr fontId="20" type="Hiragana"/>
  </si>
  <si>
    <t>並木3-10-13　2階</t>
    <rPh sb="0" eb="2">
      <t>なみき</t>
    </rPh>
    <rPh sb="11" eb="12">
      <t>かい</t>
    </rPh>
    <phoneticPr fontId="20" type="Hiragana"/>
  </si>
  <si>
    <t>栄町2-7-18シルバーグレース藤川1階</t>
    <rPh sb="0" eb="1">
      <t>さかえ</t>
    </rPh>
    <rPh sb="1" eb="2">
      <t>ちょう</t>
    </rPh>
    <rPh sb="16" eb="18">
      <t>ふじかわ</t>
    </rPh>
    <rPh sb="19" eb="20">
      <t>かい</t>
    </rPh>
    <phoneticPr fontId="20" type="Hiragana"/>
  </si>
  <si>
    <t>栄町3-1-14　川口三栄ビル６ＦＤ号室</t>
    <rPh sb="0" eb="2">
      <t>えいまち</t>
    </rPh>
    <rPh sb="9" eb="11">
      <t>かわぐち</t>
    </rPh>
    <rPh sb="11" eb="13">
      <t>さんえい</t>
    </rPh>
    <rPh sb="18" eb="20">
      <t>ごうしつ</t>
    </rPh>
    <phoneticPr fontId="2" type="Hiragana"/>
  </si>
  <si>
    <t>峯932-1</t>
    <rPh sb="0" eb="1">
      <t>みね</t>
    </rPh>
    <phoneticPr fontId="20" type="Hiragana"/>
  </si>
  <si>
    <t>芝新町7-22森ビル１階</t>
    <rPh sb="0" eb="3">
      <t>しばしんまち</t>
    </rPh>
    <rPh sb="7" eb="8">
      <t>もり</t>
    </rPh>
    <rPh sb="11" eb="12">
      <t>かい</t>
    </rPh>
    <phoneticPr fontId="20" type="Hiragana"/>
  </si>
  <si>
    <t>朝日6-1-1　2階</t>
    <rPh sb="0" eb="2">
      <t>あさひ</t>
    </rPh>
    <rPh sb="9" eb="10">
      <t>かい</t>
    </rPh>
    <phoneticPr fontId="20" type="Hiragana"/>
  </si>
  <si>
    <t>源左衛門新田２１８－１</t>
    <rPh sb="0" eb="1">
      <t>みなもと</t>
    </rPh>
    <rPh sb="1" eb="4">
      <t>さえもん</t>
    </rPh>
    <rPh sb="4" eb="6">
      <t>しんでん</t>
    </rPh>
    <phoneticPr fontId="2" type="Hiragana"/>
  </si>
  <si>
    <t>青木5-9-14</t>
    <rPh sb="0" eb="2">
      <t>あおき</t>
    </rPh>
    <phoneticPr fontId="2" type="Hiragana"/>
  </si>
  <si>
    <t>木曽呂778-4</t>
    <phoneticPr fontId="2" type="Hiragana"/>
  </si>
  <si>
    <t>芝園町３番１９号</t>
    <rPh sb="0" eb="3">
      <t>しばぞのちょう</t>
    </rPh>
    <rPh sb="4" eb="5">
      <t>ばん</t>
    </rPh>
    <rPh sb="7" eb="8">
      <t>ごう</t>
    </rPh>
    <phoneticPr fontId="16" type="Hiragana"/>
  </si>
  <si>
    <t>八幡木１－１８－２０</t>
    <rPh sb="0" eb="3">
      <t>ハチマンギ</t>
    </rPh>
    <phoneticPr fontId="2"/>
  </si>
  <si>
    <t>安行原783-1</t>
    <rPh sb="0" eb="3">
      <t>あんぎょうはら</t>
    </rPh>
    <phoneticPr fontId="2" type="Hiragana"/>
  </si>
  <si>
    <t>榛松599</t>
    <rPh sb="0" eb="2">
      <t>はえまつ</t>
    </rPh>
    <phoneticPr fontId="20" type="Hiragana"/>
  </si>
  <si>
    <t>見沼区大和田町１－１１２３－６</t>
    <rPh sb="0" eb="2">
      <t>ミヌマ</t>
    </rPh>
    <rPh sb="2" eb="3">
      <t>ク</t>
    </rPh>
    <rPh sb="3" eb="6">
      <t>オオワダ</t>
    </rPh>
    <rPh sb="6" eb="7">
      <t>マチ</t>
    </rPh>
    <phoneticPr fontId="37"/>
  </si>
  <si>
    <t>見沼区御蔵７７１－１２</t>
    <rPh sb="0" eb="2">
      <t>ミヌマ</t>
    </rPh>
    <rPh sb="2" eb="3">
      <t>ク</t>
    </rPh>
    <rPh sb="3" eb="5">
      <t>ミクラ</t>
    </rPh>
    <phoneticPr fontId="5"/>
  </si>
  <si>
    <t>浦和区領家１－５－２０</t>
    <phoneticPr fontId="2" type="Hiragana"/>
  </si>
  <si>
    <t>見沼区大和田町１－１３４０</t>
    <rPh sb="0" eb="2">
      <t>ミヌマ</t>
    </rPh>
    <rPh sb="2" eb="3">
      <t>ク</t>
    </rPh>
    <rPh sb="3" eb="7">
      <t>オオワダチョウ</t>
    </rPh>
    <phoneticPr fontId="5"/>
  </si>
  <si>
    <t>大宮区上小町１４８６－２　日本住宅ファーストビル１F</t>
    <rPh sb="0" eb="3">
      <t>オオミヤク</t>
    </rPh>
    <rPh sb="3" eb="4">
      <t>カミ</t>
    </rPh>
    <rPh sb="4" eb="6">
      <t>コマチ</t>
    </rPh>
    <rPh sb="13" eb="15">
      <t>ニホン</t>
    </rPh>
    <rPh sb="15" eb="17">
      <t>ジュウタク</t>
    </rPh>
    <phoneticPr fontId="2"/>
  </si>
  <si>
    <t>大宮区桜木町２－３８０－１　第10松ビル４階</t>
    <phoneticPr fontId="2" type="Hiragana"/>
  </si>
  <si>
    <t>大宮区三橋２－５３９－３ランドビル４階</t>
    <phoneticPr fontId="37"/>
  </si>
  <si>
    <t>浦和区北浦和5-15-33</t>
    <phoneticPr fontId="2" type="Hiragana"/>
  </si>
  <si>
    <t>中央区本町西5-4-13</t>
    <rPh sb="0" eb="3">
      <t>チュウオウク</t>
    </rPh>
    <rPh sb="3" eb="5">
      <t>ホンマチ</t>
    </rPh>
    <rPh sb="5" eb="6">
      <t>ニシ</t>
    </rPh>
    <phoneticPr fontId="2"/>
  </si>
  <si>
    <t>岩槻区野孫847-1</t>
    <rPh sb="0" eb="2">
      <t>イワツキ</t>
    </rPh>
    <rPh sb="2" eb="3">
      <t>ク</t>
    </rPh>
    <rPh sb="3" eb="5">
      <t>ノマゴ</t>
    </rPh>
    <phoneticPr fontId="5"/>
  </si>
  <si>
    <t>桜区中島１－５－３</t>
    <rPh sb="0" eb="1">
      <t>ク</t>
    </rPh>
    <rPh sb="1" eb="3">
      <t>ナカジマ</t>
    </rPh>
    <phoneticPr fontId="36"/>
  </si>
  <si>
    <t>西区塚本１９１－９</t>
    <rPh sb="0" eb="2">
      <t>ニシク</t>
    </rPh>
    <phoneticPr fontId="2"/>
  </si>
  <si>
    <t>岩槻区馬込２１００番地</t>
    <rPh sb="0" eb="3">
      <t>イワツキク</t>
    </rPh>
    <phoneticPr fontId="2"/>
  </si>
  <si>
    <t>大字古市場３６６番地１</t>
    <rPh sb="0" eb="2">
      <t>オオアザ</t>
    </rPh>
    <rPh sb="2" eb="3">
      <t>フル</t>
    </rPh>
    <rPh sb="3" eb="5">
      <t>イチバ</t>
    </rPh>
    <rPh sb="8" eb="10">
      <t>バンチ</t>
    </rPh>
    <phoneticPr fontId="2"/>
  </si>
  <si>
    <t>的場422-3</t>
    <rPh sb="0" eb="2">
      <t>マトバ</t>
    </rPh>
    <phoneticPr fontId="2"/>
  </si>
  <si>
    <t>平塚新田164</t>
    <phoneticPr fontId="2" type="Hiragana"/>
  </si>
  <si>
    <t>戸塚２－２１－５</t>
    <rPh sb="0" eb="2">
      <t>とつか</t>
    </rPh>
    <rPh sb="1" eb="2">
      <t>かわと</t>
    </rPh>
    <phoneticPr fontId="16" type="Hiragana"/>
  </si>
  <si>
    <t>大房842-10</t>
    <rPh sb="0" eb="2">
      <t>オオフサ</t>
    </rPh>
    <phoneticPr fontId="2"/>
  </si>
  <si>
    <t>南区白幡5-11-15</t>
    <rPh sb="0" eb="2">
      <t>みなみく</t>
    </rPh>
    <phoneticPr fontId="2" type="Hiragana"/>
  </si>
  <si>
    <t>QOLD(株)</t>
    <rPh sb="5" eb="6">
      <t>カブ</t>
    </rPh>
    <phoneticPr fontId="2"/>
  </si>
  <si>
    <t>クオルド志木</t>
  </si>
  <si>
    <t>中宗岡2丁目18-10</t>
    <rPh sb="0" eb="3">
      <t>ナカムネオカ</t>
    </rPh>
    <rPh sb="4" eb="6">
      <t>チョウメ</t>
    </rPh>
    <phoneticPr fontId="1"/>
  </si>
  <si>
    <t>048-487-8870</t>
    <phoneticPr fontId="2"/>
  </si>
  <si>
    <t>048-487-8874</t>
    <phoneticPr fontId="2"/>
  </si>
  <si>
    <t xml:space="preserve">
※共同生活援助との併設</t>
    <phoneticPr fontId="2"/>
  </si>
  <si>
    <t>(株)アトラクションホーム</t>
    <rPh sb="0" eb="1">
      <t>カブ</t>
    </rPh>
    <phoneticPr fontId="2"/>
  </si>
  <si>
    <t>アトラクションホーム新座野寺</t>
  </si>
  <si>
    <t>野寺2丁目6番16号</t>
    <rPh sb="0" eb="2">
      <t>ノデラ</t>
    </rPh>
    <rPh sb="3" eb="5">
      <t>チョウメ</t>
    </rPh>
    <rPh sb="6" eb="7">
      <t>バン</t>
    </rPh>
    <rPh sb="9" eb="10">
      <t>ゴウ</t>
    </rPh>
    <phoneticPr fontId="1"/>
  </si>
  <si>
    <t>048-458-3471</t>
    <phoneticPr fontId="2"/>
  </si>
  <si>
    <t>048-458-3472</t>
  </si>
  <si>
    <t>針ヶ谷1054-3</t>
    <rPh sb="0" eb="3">
      <t>ハリガヤ</t>
    </rPh>
    <phoneticPr fontId="2"/>
  </si>
  <si>
    <t>FITIME大宮</t>
    <rPh sb="6" eb="8">
      <t>おおみや</t>
    </rPh>
    <phoneticPr fontId="5" type="Hiragana"/>
  </si>
  <si>
    <t>JR大宮駅から徒歩７分</t>
    <rPh sb="2" eb="4">
      <t>オオミヤ</t>
    </rPh>
    <rPh sb="4" eb="5">
      <t>エキ</t>
    </rPh>
    <rPh sb="7" eb="9">
      <t>トホ</t>
    </rPh>
    <rPh sb="10" eb="11">
      <t>フン</t>
    </rPh>
    <phoneticPr fontId="2"/>
  </si>
  <si>
    <t>大宮区大成町３－５１３　セブンビル２階</t>
  </si>
  <si>
    <t>東武野田線大和田駅から徒歩12分</t>
  </si>
  <si>
    <t>見沼区御蔵１５２２－１２</t>
    <rPh sb="0" eb="2">
      <t>ミヌマ</t>
    </rPh>
    <rPh sb="2" eb="3">
      <t>ク</t>
    </rPh>
    <rPh sb="3" eb="5">
      <t>ミクラ</t>
    </rPh>
    <phoneticPr fontId="36"/>
  </si>
  <si>
    <t>FITIME大宮</t>
    <rPh sb="6" eb="8">
      <t>おおみや</t>
    </rPh>
    <phoneticPr fontId="36" type="Hiragana"/>
  </si>
  <si>
    <t>（医）彩清会清水病院</t>
    <rPh sb="1" eb="2">
      <t>イ</t>
    </rPh>
    <rPh sb="3" eb="4">
      <t>アヤ</t>
    </rPh>
    <rPh sb="4" eb="5">
      <t>キヨ</t>
    </rPh>
    <rPh sb="5" eb="6">
      <t>カイ</t>
    </rPh>
    <rPh sb="6" eb="10">
      <t>シミズビョウイン</t>
    </rPh>
    <phoneticPr fontId="2"/>
  </si>
  <si>
    <t>久遠</t>
    <rPh sb="0" eb="2">
      <t>クオン</t>
    </rPh>
    <phoneticPr fontId="2"/>
  </si>
  <si>
    <t>皆野７９４番地３</t>
    <rPh sb="0" eb="2">
      <t>ミナノ</t>
    </rPh>
    <rPh sb="5" eb="7">
      <t>バンチ</t>
    </rPh>
    <phoneticPr fontId="2"/>
  </si>
  <si>
    <t>0494-26-5665</t>
    <phoneticPr fontId="2"/>
  </si>
  <si>
    <t>0494-26-7117</t>
    <phoneticPr fontId="2"/>
  </si>
  <si>
    <t>秩父本線皆野駅から徒歩８分</t>
    <rPh sb="0" eb="4">
      <t>チチブホンセン</t>
    </rPh>
    <rPh sb="4" eb="7">
      <t>ミナノエキ</t>
    </rPh>
    <rPh sb="9" eb="11">
      <t>トホ</t>
    </rPh>
    <rPh sb="12" eb="13">
      <t>フン</t>
    </rPh>
    <phoneticPr fontId="2"/>
  </si>
  <si>
    <t>高砂２丁目９－２　アコス北館Ｎビル　５Ｆ</t>
    <rPh sb="0" eb="2">
      <t>タカサゴ</t>
    </rPh>
    <rPh sb="3" eb="5">
      <t>チョウメ</t>
    </rPh>
    <rPh sb="12" eb="14">
      <t>キタカン</t>
    </rPh>
    <phoneticPr fontId="2"/>
  </si>
  <si>
    <t>048-960-0645</t>
    <phoneticPr fontId="2"/>
  </si>
  <si>
    <t>048-960-0647</t>
    <phoneticPr fontId="2"/>
  </si>
  <si>
    <t>草加駅東口徒歩１分</t>
    <rPh sb="0" eb="2">
      <t>ソウカ</t>
    </rPh>
    <rPh sb="2" eb="3">
      <t>エキ</t>
    </rPh>
    <rPh sb="3" eb="5">
      <t>ヒガシグチ</t>
    </rPh>
    <rPh sb="5" eb="7">
      <t>トホ</t>
    </rPh>
    <rPh sb="8" eb="9">
      <t>フン</t>
    </rPh>
    <phoneticPr fontId="2"/>
  </si>
  <si>
    <t>ＯＫ自立支援事業所　春日部</t>
    <rPh sb="2" eb="9">
      <t>ジリツシエンジギョウショ</t>
    </rPh>
    <rPh sb="10" eb="13">
      <t>カスカベ</t>
    </rPh>
    <phoneticPr fontId="2"/>
  </si>
  <si>
    <t>短期入所　草加青柳</t>
    <rPh sb="0" eb="4">
      <t>タンキニュウショ</t>
    </rPh>
    <rPh sb="5" eb="9">
      <t>ソウカアオヤギ</t>
    </rPh>
    <phoneticPr fontId="2"/>
  </si>
  <si>
    <t>青柳二丁目16番23号</t>
    <rPh sb="0" eb="2">
      <t>アオヤギ</t>
    </rPh>
    <rPh sb="2" eb="3">
      <t>ニ</t>
    </rPh>
    <rPh sb="3" eb="5">
      <t>チョウメ</t>
    </rPh>
    <rPh sb="7" eb="8">
      <t>バン</t>
    </rPh>
    <rPh sb="10" eb="11">
      <t>ゴウ</t>
    </rPh>
    <phoneticPr fontId="2"/>
  </si>
  <si>
    <t>048-934-5681</t>
    <phoneticPr fontId="2"/>
  </si>
  <si>
    <t>048-934-5682</t>
    <phoneticPr fontId="2"/>
  </si>
  <si>
    <t>東武スカイツリーライン獨協大学前駅東口から東武バス新田駅東口行「越戸橋」下車徒歩2分　※共同生活援助との併設</t>
    <rPh sb="0" eb="2">
      <t>トウブ</t>
    </rPh>
    <rPh sb="11" eb="13">
      <t>ドッキョウ</t>
    </rPh>
    <rPh sb="13" eb="15">
      <t>ダイガク</t>
    </rPh>
    <rPh sb="15" eb="16">
      <t>マエ</t>
    </rPh>
    <rPh sb="16" eb="17">
      <t>エキ</t>
    </rPh>
    <rPh sb="17" eb="19">
      <t>ヒガシグチ</t>
    </rPh>
    <rPh sb="21" eb="23">
      <t>トウブ</t>
    </rPh>
    <rPh sb="25" eb="28">
      <t>ニッタエキ</t>
    </rPh>
    <rPh sb="28" eb="30">
      <t>ヒガシグチ</t>
    </rPh>
    <rPh sb="30" eb="31">
      <t>イキ</t>
    </rPh>
    <rPh sb="32" eb="35">
      <t>コシドバシ</t>
    </rPh>
    <rPh sb="36" eb="38">
      <t>ゲシャ</t>
    </rPh>
    <rPh sb="38" eb="40">
      <t>トホ</t>
    </rPh>
    <rPh sb="41" eb="42">
      <t>フン</t>
    </rPh>
    <rPh sb="44" eb="46">
      <t>キョウドウ</t>
    </rPh>
    <rPh sb="46" eb="48">
      <t>セイカツ</t>
    </rPh>
    <rPh sb="48" eb="50">
      <t>エンジョ</t>
    </rPh>
    <rPh sb="52" eb="54">
      <t>ヘイセツ</t>
    </rPh>
    <phoneticPr fontId="2"/>
  </si>
  <si>
    <t>アトラクションホーム八潮中馬場</t>
  </si>
  <si>
    <t>中馬場１４－５</t>
    <phoneticPr fontId="2"/>
  </si>
  <si>
    <t>340-0812</t>
    <phoneticPr fontId="2"/>
  </si>
  <si>
    <t>048-954-7951</t>
    <phoneticPr fontId="2"/>
  </si>
  <si>
    <t>048-954-7952</t>
  </si>
  <si>
    <t>八潮駅から鶴ケ曽根行きバス「八潮市役所南」バス停下車徒歩12分
※共同生活援助との併設</t>
    <rPh sb="0" eb="3">
      <t>ヤシオエキ</t>
    </rPh>
    <rPh sb="5" eb="10">
      <t>ツルガソネイ</t>
    </rPh>
    <rPh sb="14" eb="19">
      <t>ヤシオシヤクショ</t>
    </rPh>
    <rPh sb="19" eb="20">
      <t>ミナミ</t>
    </rPh>
    <rPh sb="23" eb="24">
      <t>テイ</t>
    </rPh>
    <rPh sb="24" eb="26">
      <t>ゲシャ</t>
    </rPh>
    <rPh sb="26" eb="28">
      <t>トホ</t>
    </rPh>
    <rPh sb="30" eb="31">
      <t>フン</t>
    </rPh>
    <phoneticPr fontId="2"/>
  </si>
  <si>
    <t>リハビリデイサービス元気アップ倶楽部</t>
    <rPh sb="10" eb="12">
      <t>ゲンキ</t>
    </rPh>
    <rPh sb="15" eb="18">
      <t>クラブ</t>
    </rPh>
    <phoneticPr fontId="33"/>
  </si>
  <si>
    <t>川越市</t>
    <rPh sb="0" eb="3">
      <t>カワゴエシ</t>
    </rPh>
    <phoneticPr fontId="33"/>
  </si>
  <si>
    <t>南大塚2-5-1</t>
    <rPh sb="0" eb="3">
      <t>ミナミオオツカ</t>
    </rPh>
    <phoneticPr fontId="33"/>
  </si>
  <si>
    <t>350-1162</t>
  </si>
  <si>
    <t>049-293-9737</t>
  </si>
  <si>
    <t>049-293-9739</t>
  </si>
  <si>
    <t>西武新宿線南大塚駅徒歩11分
※共生型生活介護</t>
    <rPh sb="0" eb="5">
      <t>セイブシンジュクセン</t>
    </rPh>
    <rPh sb="5" eb="8">
      <t>ミナミオオツカ</t>
    </rPh>
    <rPh sb="8" eb="9">
      <t>エキ</t>
    </rPh>
    <rPh sb="9" eb="11">
      <t>トホ</t>
    </rPh>
    <rPh sb="13" eb="14">
      <t>フン</t>
    </rPh>
    <rPh sb="16" eb="19">
      <t>キョウセイガタ</t>
    </rPh>
    <rPh sb="19" eb="23">
      <t>セイカツカイゴ</t>
    </rPh>
    <phoneticPr fontId="33"/>
  </si>
  <si>
    <t>就労継続支援A型事業所バンブー</t>
    <rPh sb="0" eb="6">
      <t>シュウロウケイゾクシエン</t>
    </rPh>
    <rPh sb="7" eb="8">
      <t>ガタ</t>
    </rPh>
    <rPh sb="8" eb="11">
      <t>ジギョウショ</t>
    </rPh>
    <phoneticPr fontId="33"/>
  </si>
  <si>
    <t>脇田町28-40SKビル2階</t>
    <rPh sb="0" eb="2">
      <t>ワキタ</t>
    </rPh>
    <rPh sb="2" eb="3">
      <t>マチ</t>
    </rPh>
    <rPh sb="13" eb="14">
      <t>カイ</t>
    </rPh>
    <phoneticPr fontId="33"/>
  </si>
  <si>
    <t>049-277-6136</t>
  </si>
  <si>
    <t>049-277-6137</t>
  </si>
  <si>
    <t>JR・東武東上線川越駅車2分</t>
    <rPh sb="3" eb="8">
      <t>トウブトウジョウセン</t>
    </rPh>
    <rPh sb="8" eb="10">
      <t>カワゴエ</t>
    </rPh>
    <rPh sb="10" eb="11">
      <t>エキ</t>
    </rPh>
    <rPh sb="11" eb="12">
      <t>クルマ</t>
    </rPh>
    <rPh sb="13" eb="14">
      <t>フン</t>
    </rPh>
    <phoneticPr fontId="33"/>
  </si>
  <si>
    <t>ＬＬＣ（株）</t>
    <rPh sb="3" eb="6">
      <t>カブ</t>
    </rPh>
    <phoneticPr fontId="2"/>
  </si>
  <si>
    <t>東武スカイツリーライン一ノ割駅徒歩10分</t>
    <rPh sb="0" eb="2">
      <t>トウブ</t>
    </rPh>
    <rPh sb="11" eb="12">
      <t>イチ</t>
    </rPh>
    <rPh sb="13" eb="14">
      <t>ワリ</t>
    </rPh>
    <rPh sb="14" eb="15">
      <t>エキ</t>
    </rPh>
    <rPh sb="15" eb="17">
      <t>トホ</t>
    </rPh>
    <rPh sb="19" eb="20">
      <t>プン</t>
    </rPh>
    <phoneticPr fontId="2"/>
  </si>
  <si>
    <t>(合)Ｉｎｔｉ　Ｒａｙｍｉ</t>
    <rPh sb="1" eb="2">
      <t>ゴウ</t>
    </rPh>
    <phoneticPr fontId="2"/>
  </si>
  <si>
    <t>ＩＲＯＨＡ</t>
    <phoneticPr fontId="2"/>
  </si>
  <si>
    <t>中３－１０－４３</t>
    <rPh sb="0" eb="1">
      <t>ナカ</t>
    </rPh>
    <phoneticPr fontId="2"/>
  </si>
  <si>
    <t>0480-53-4731</t>
    <phoneticPr fontId="2"/>
  </si>
  <si>
    <t>0480-53-4732</t>
    <phoneticPr fontId="2"/>
  </si>
  <si>
    <t>ＯＫ自立支援事業所　久喜</t>
    <rPh sb="2" eb="4">
      <t>ジリツ</t>
    </rPh>
    <rPh sb="4" eb="6">
      <t>シエン</t>
    </rPh>
    <rPh sb="6" eb="9">
      <t>ジギョウショ</t>
    </rPh>
    <rPh sb="10" eb="12">
      <t>クキ</t>
    </rPh>
    <phoneticPr fontId="2"/>
  </si>
  <si>
    <t>久喜東二丁目36-16</t>
    <rPh sb="0" eb="2">
      <t>クキ</t>
    </rPh>
    <rPh sb="2" eb="3">
      <t>ヒガシ</t>
    </rPh>
    <rPh sb="3" eb="4">
      <t>フタ</t>
    </rPh>
    <rPh sb="4" eb="6">
      <t>チョウメ</t>
    </rPh>
    <phoneticPr fontId="2"/>
  </si>
  <si>
    <t>JR・東武伊勢崎線久喜駅東口下車徒歩13分</t>
    <rPh sb="3" eb="5">
      <t>トウブ</t>
    </rPh>
    <rPh sb="5" eb="9">
      <t>イセサキセン</t>
    </rPh>
    <rPh sb="9" eb="12">
      <t>クキエキ</t>
    </rPh>
    <rPh sb="12" eb="13">
      <t>ヒガシ</t>
    </rPh>
    <rPh sb="13" eb="14">
      <t>グチ</t>
    </rPh>
    <rPh sb="14" eb="16">
      <t>ゲシャ</t>
    </rPh>
    <rPh sb="16" eb="18">
      <t>トホ</t>
    </rPh>
    <rPh sb="20" eb="21">
      <t>フン</t>
    </rPh>
    <phoneticPr fontId="2"/>
  </si>
  <si>
    <t>（株）デジタルヘルス</t>
    <rPh sb="0" eb="3">
      <t>カブ</t>
    </rPh>
    <phoneticPr fontId="2"/>
  </si>
  <si>
    <t>ダリアホーム久喜</t>
    <rPh sb="6" eb="8">
      <t>クキ</t>
    </rPh>
    <phoneticPr fontId="2"/>
  </si>
  <si>
    <t>栗原一丁目９番６</t>
    <rPh sb="0" eb="2">
      <t>クリハラ</t>
    </rPh>
    <rPh sb="2" eb="5">
      <t>イッチョウメ</t>
    </rPh>
    <rPh sb="6" eb="7">
      <t>バン</t>
    </rPh>
    <phoneticPr fontId="2"/>
  </si>
  <si>
    <t>346-0012</t>
    <phoneticPr fontId="2"/>
  </si>
  <si>
    <t>0480-53-5031</t>
    <phoneticPr fontId="2"/>
  </si>
  <si>
    <t>0480-53-5041</t>
    <phoneticPr fontId="2"/>
  </si>
  <si>
    <t>東武日光線幸手駅から徒歩17分
※共同生活援助との併設</t>
    <rPh sb="0" eb="5">
      <t>トウブニッコウセン</t>
    </rPh>
    <rPh sb="5" eb="8">
      <t>サッテエキ</t>
    </rPh>
    <rPh sb="10" eb="12">
      <t>トホ</t>
    </rPh>
    <rPh sb="14" eb="15">
      <t>フン</t>
    </rPh>
    <rPh sb="17" eb="19">
      <t>キョウドウ</t>
    </rPh>
    <rPh sb="19" eb="21">
      <t>セイカツ</t>
    </rPh>
    <rPh sb="21" eb="23">
      <t>エンジョ</t>
    </rPh>
    <rPh sb="25" eb="27">
      <t>ヘイセツ</t>
    </rPh>
    <phoneticPr fontId="2"/>
  </si>
  <si>
    <t>つくばエクスプレス八潮駅北口から東武バス綾瀬駅行き「関谷」下車徒歩3分※単独型事業所の短期入所</t>
    <rPh sb="9" eb="11">
      <t>ヤシオ</t>
    </rPh>
    <rPh sb="11" eb="12">
      <t>エキ</t>
    </rPh>
    <rPh sb="12" eb="14">
      <t>キタグチ</t>
    </rPh>
    <rPh sb="16" eb="18">
      <t>トウブ</t>
    </rPh>
    <rPh sb="20" eb="23">
      <t>アヤセエキ</t>
    </rPh>
    <rPh sb="23" eb="24">
      <t>イ</t>
    </rPh>
    <rPh sb="26" eb="28">
      <t>セキヤ</t>
    </rPh>
    <rPh sb="29" eb="31">
      <t>ゲシャ</t>
    </rPh>
    <rPh sb="31" eb="33">
      <t>トホ</t>
    </rPh>
    <rPh sb="34" eb="35">
      <t>フン</t>
    </rPh>
    <rPh sb="36" eb="39">
      <t>タンドクガタ</t>
    </rPh>
    <rPh sb="39" eb="42">
      <t>ジギョウショ</t>
    </rPh>
    <rPh sb="43" eb="45">
      <t>タンキ</t>
    </rPh>
    <rPh sb="45" eb="47">
      <t>ニュウショ</t>
    </rPh>
    <phoneticPr fontId="2"/>
  </si>
  <si>
    <t>360-0216</t>
  </si>
  <si>
    <t>048-598-3953</t>
  </si>
  <si>
    <t>048-598-3954</t>
  </si>
  <si>
    <t>プレゼント(株)</t>
  </si>
  <si>
    <t>（特非）みさと</t>
    <rPh sb="1" eb="3">
      <t>トクヒ</t>
    </rPh>
    <phoneticPr fontId="2"/>
  </si>
  <si>
    <t>三郷珈琲焙煎所</t>
    <rPh sb="0" eb="7">
      <t>ミサトコーヒーバイセンショ</t>
    </rPh>
    <phoneticPr fontId="2"/>
  </si>
  <si>
    <t>彦成5丁目149-2</t>
    <rPh sb="0" eb="2">
      <t>ヒコナリ</t>
    </rPh>
    <rPh sb="3" eb="5">
      <t>チョウメ</t>
    </rPh>
    <phoneticPr fontId="2"/>
  </si>
  <si>
    <t>048-951-5985</t>
    <phoneticPr fontId="2"/>
  </si>
  <si>
    <t>JR武蔵野線新三郷駅から徒歩１０分</t>
    <rPh sb="2" eb="6">
      <t>ムサシノセン</t>
    </rPh>
    <rPh sb="6" eb="10">
      <t>シンミサトエキ</t>
    </rPh>
    <rPh sb="12" eb="14">
      <t>トホ</t>
    </rPh>
    <rPh sb="16" eb="17">
      <t>フン</t>
    </rPh>
    <phoneticPr fontId="2"/>
  </si>
  <si>
    <t>Ｃｏｃｏｒｐｏｒｔ　Ｒｅｗｏｒｋ　大宮</t>
    <rPh sb="17" eb="19">
      <t>おおみや</t>
    </rPh>
    <phoneticPr fontId="5" type="Hiragana"/>
  </si>
  <si>
    <t>大宮区桜木町２－２７７　大宮田中ビル６階</t>
  </si>
  <si>
    <t>048-779-8953</t>
  </si>
  <si>
    <t>048-779-8954</t>
  </si>
  <si>
    <t>ＪＲ大宮駅西口から徒歩６分</t>
    <rPh sb="2" eb="5">
      <t>オオミヤエキ</t>
    </rPh>
    <rPh sb="5" eb="7">
      <t>ニシグチ</t>
    </rPh>
    <rPh sb="9" eb="11">
      <t>トホ</t>
    </rPh>
    <rPh sb="12" eb="13">
      <t>フン</t>
    </rPh>
    <phoneticPr fontId="2"/>
  </si>
  <si>
    <t>Pコン</t>
  </si>
  <si>
    <t>中央区下落合２－６－５　ＯＳビル２階</t>
  </si>
  <si>
    <t>048-621-5390</t>
  </si>
  <si>
    <t>ＪＲ与野本町駅から徒歩１０分</t>
    <rPh sb="2" eb="6">
      <t>ヨノホンマチ</t>
    </rPh>
    <rPh sb="6" eb="7">
      <t>エキ</t>
    </rPh>
    <rPh sb="9" eb="11">
      <t>トホ</t>
    </rPh>
    <rPh sb="13" eb="14">
      <t>フン</t>
    </rPh>
    <phoneticPr fontId="2"/>
  </si>
  <si>
    <t>日中支援型障がい者グループホームこなみ（短期入所）</t>
    <rPh sb="0" eb="2">
      <t>にっちゅう</t>
    </rPh>
    <rPh sb="2" eb="6">
      <t>しえんがたしょう</t>
    </rPh>
    <rPh sb="8" eb="9">
      <t>しゃ</t>
    </rPh>
    <rPh sb="20" eb="22">
      <t>たんき</t>
    </rPh>
    <rPh sb="22" eb="23">
      <t>にゅう</t>
    </rPh>
    <rPh sb="23" eb="24">
      <t>しょ</t>
    </rPh>
    <phoneticPr fontId="5" type="Hiragana"/>
  </si>
  <si>
    <t>グループホームイノベル東大宮</t>
    <rPh sb="11" eb="14">
      <t>ひがしおおみや</t>
    </rPh>
    <phoneticPr fontId="5" type="Hiragana"/>
  </si>
  <si>
    <t>見沼区東大宮１－９９－１</t>
    <rPh sb="0" eb="2">
      <t>みぬま</t>
    </rPh>
    <rPh sb="2" eb="3">
      <t>く</t>
    </rPh>
    <rPh sb="3" eb="4">
      <t>ひがし</t>
    </rPh>
    <rPh sb="4" eb="6">
      <t>おおみや</t>
    </rPh>
    <phoneticPr fontId="5" type="Hiragana"/>
  </si>
  <si>
    <t>ＪＲ東大宮駅から徒歩１８分</t>
    <rPh sb="2" eb="3">
      <t>ヒガシ</t>
    </rPh>
    <rPh sb="3" eb="5">
      <t>オオミヤ</t>
    </rPh>
    <rPh sb="5" eb="6">
      <t>エキ</t>
    </rPh>
    <rPh sb="8" eb="10">
      <t>トホ</t>
    </rPh>
    <rPh sb="12" eb="13">
      <t>フン</t>
    </rPh>
    <phoneticPr fontId="2"/>
  </si>
  <si>
    <t>国際興業バス尾間木小入口停留所より徒歩２分</t>
    <rPh sb="0" eb="4">
      <t>コクサイコウギョウ</t>
    </rPh>
    <rPh sb="6" eb="9">
      <t>オマギ</t>
    </rPh>
    <rPh sb="9" eb="10">
      <t>ショウ</t>
    </rPh>
    <rPh sb="10" eb="12">
      <t>イリグチ</t>
    </rPh>
    <rPh sb="12" eb="15">
      <t>テイリュウジョ</t>
    </rPh>
    <rPh sb="17" eb="19">
      <t>トホ</t>
    </rPh>
    <rPh sb="20" eb="21">
      <t>フン</t>
    </rPh>
    <phoneticPr fontId="2"/>
  </si>
  <si>
    <t>グループホームイノベル原山</t>
    <rPh sb="11" eb="13">
      <t>ハラヤマ</t>
    </rPh>
    <phoneticPr fontId="19"/>
  </si>
  <si>
    <t>緑区原山１－７－１０</t>
  </si>
  <si>
    <t>国際興業バス北原山停留所より徒歩3分</t>
    <rPh sb="0" eb="2">
      <t>コクサイ</t>
    </rPh>
    <rPh sb="2" eb="4">
      <t>コウギョウ</t>
    </rPh>
    <rPh sb="6" eb="7">
      <t>キタ</t>
    </rPh>
    <rPh sb="7" eb="9">
      <t>ハラヤマ</t>
    </rPh>
    <rPh sb="9" eb="12">
      <t>テイリュウジョ</t>
    </rPh>
    <rPh sb="14" eb="16">
      <t>トホ</t>
    </rPh>
    <rPh sb="17" eb="18">
      <t>フン</t>
    </rPh>
    <phoneticPr fontId="2"/>
  </si>
  <si>
    <t>自立訓練事業所リンクス</t>
    <rPh sb="0" eb="7">
      <t>ジリツクンレンジギョウショ</t>
    </rPh>
    <phoneticPr fontId="33"/>
  </si>
  <si>
    <t>川越市</t>
    <rPh sb="0" eb="3">
      <t>カワゴエシ</t>
    </rPh>
    <phoneticPr fontId="33"/>
  </si>
  <si>
    <t>脇田本町10-24藤蔵ロイヤルビル2階</t>
    <rPh sb="0" eb="2">
      <t>ワキタ</t>
    </rPh>
    <rPh sb="2" eb="4">
      <t>ホンマチ</t>
    </rPh>
    <rPh sb="9" eb="10">
      <t>フジ</t>
    </rPh>
    <rPh sb="10" eb="11">
      <t>クラ</t>
    </rPh>
    <rPh sb="18" eb="19">
      <t>カイ</t>
    </rPh>
    <phoneticPr fontId="33"/>
  </si>
  <si>
    <t>049-238-4940</t>
  </si>
  <si>
    <t>049-238-4941</t>
  </si>
  <si>
    <t>JR・東武東上線川越駅徒歩5分</t>
    <rPh sb="3" eb="8">
      <t>トウブトウジョウセン</t>
    </rPh>
    <rPh sb="8" eb="10">
      <t>カワゴエ</t>
    </rPh>
    <rPh sb="10" eb="11">
      <t>エキ</t>
    </rPh>
    <rPh sb="11" eb="13">
      <t>トホ</t>
    </rPh>
    <rPh sb="14" eb="15">
      <t>フン</t>
    </rPh>
    <phoneticPr fontId="33"/>
  </si>
  <si>
    <t>334-0062</t>
    <phoneticPr fontId="2" type="Hiragana"/>
  </si>
  <si>
    <t>050-6875-7955</t>
    <phoneticPr fontId="2" type="Hiragana"/>
  </si>
  <si>
    <t>048-229-7538</t>
    <phoneticPr fontId="2" type="Hiragana"/>
  </si>
  <si>
    <t>ウーリー久喜</t>
    <rPh sb="4" eb="6">
      <t>クキ</t>
    </rPh>
    <phoneticPr fontId="2"/>
  </si>
  <si>
    <t>野久喜547-17　K&amp;Eホームズ 101</t>
    <rPh sb="0" eb="3">
      <t>ノグキ</t>
    </rPh>
    <phoneticPr fontId="2"/>
  </si>
  <si>
    <t>346-0002</t>
    <phoneticPr fontId="2"/>
  </si>
  <si>
    <t>0480-22-1848</t>
    <phoneticPr fontId="2"/>
  </si>
  <si>
    <t>JR・東武伊勢崎線久喜駅東口下車徒歩11分</t>
    <rPh sb="3" eb="5">
      <t>トウブ</t>
    </rPh>
    <rPh sb="5" eb="9">
      <t>イセサキセン</t>
    </rPh>
    <rPh sb="9" eb="12">
      <t>クキエキ</t>
    </rPh>
    <rPh sb="12" eb="13">
      <t>ヒガシ</t>
    </rPh>
    <rPh sb="13" eb="14">
      <t>グチ</t>
    </rPh>
    <rPh sb="14" eb="16">
      <t>ゲシャ</t>
    </rPh>
    <rPh sb="16" eb="18">
      <t>トホ</t>
    </rPh>
    <rPh sb="20" eb="21">
      <t>フン</t>
    </rPh>
    <phoneticPr fontId="2"/>
  </si>
  <si>
    <t>ANELLA CAFÉ 谷塚店</t>
    <rPh sb="12" eb="14">
      <t>ヤツカ</t>
    </rPh>
    <rPh sb="14" eb="15">
      <t>テン</t>
    </rPh>
    <phoneticPr fontId="2"/>
  </si>
  <si>
    <t>谷塚１丁目６－４３　加藤ビル１Ｆ</t>
    <rPh sb="0" eb="2">
      <t>ヤツカ</t>
    </rPh>
    <rPh sb="3" eb="5">
      <t>チョウメ</t>
    </rPh>
    <rPh sb="10" eb="12">
      <t>カトウ</t>
    </rPh>
    <phoneticPr fontId="2"/>
  </si>
  <si>
    <t>048-919-2921</t>
    <phoneticPr fontId="2"/>
  </si>
  <si>
    <t>東武伊勢崎線谷塚駅東口下車徒歩3分</t>
    <rPh sb="0" eb="2">
      <t>トウブ</t>
    </rPh>
    <rPh sb="2" eb="6">
      <t>イセサキセン</t>
    </rPh>
    <rPh sb="6" eb="9">
      <t>ヤツカエキ</t>
    </rPh>
    <rPh sb="9" eb="11">
      <t>ヒガシグチ</t>
    </rPh>
    <rPh sb="11" eb="13">
      <t>ゲシャ</t>
    </rPh>
    <rPh sb="13" eb="15">
      <t>トホ</t>
    </rPh>
    <rPh sb="16" eb="17">
      <t>フン</t>
    </rPh>
    <phoneticPr fontId="2"/>
  </si>
  <si>
    <t>(株)エクラシア</t>
    <rPh sb="1" eb="2">
      <t>カブ</t>
    </rPh>
    <phoneticPr fontId="2"/>
  </si>
  <si>
    <t>障がい者グループホーム　ウェルサンライズ春日部</t>
    <rPh sb="0" eb="1">
      <t>ショウ</t>
    </rPh>
    <rPh sb="3" eb="4">
      <t>シャ</t>
    </rPh>
    <rPh sb="20" eb="23">
      <t>カスカベ</t>
    </rPh>
    <phoneticPr fontId="2"/>
  </si>
  <si>
    <t>050-6861-9496</t>
  </si>
  <si>
    <t>048-872-7125</t>
  </si>
  <si>
    <t>彦川戸1-147-1</t>
    <rPh sb="0" eb="3">
      <t>ヒコカワド１</t>
    </rPh>
    <phoneticPr fontId="2"/>
  </si>
  <si>
    <t>障がい者グループホーム　ウェルサンライズ吉川</t>
    <rPh sb="0" eb="1">
      <t>ショウ</t>
    </rPh>
    <rPh sb="3" eb="4">
      <t>シャ</t>
    </rPh>
    <rPh sb="20" eb="22">
      <t>ヨシカワ</t>
    </rPh>
    <phoneticPr fontId="2"/>
  </si>
  <si>
    <t>050-6861-9497</t>
  </si>
  <si>
    <t>048-940-1578</t>
  </si>
  <si>
    <t>（株）INNOVEL HEALTHCARE</t>
  </si>
  <si>
    <t>グループホームイノベル春日部本田町</t>
    <rPh sb="11" eb="14">
      <t>カスカベ</t>
    </rPh>
    <rPh sb="14" eb="16">
      <t>ホンデン</t>
    </rPh>
    <rPh sb="16" eb="17">
      <t>チョウ</t>
    </rPh>
    <phoneticPr fontId="2"/>
  </si>
  <si>
    <t>グループホームイノベル白岡</t>
    <phoneticPr fontId="2"/>
  </si>
  <si>
    <t>宇都宮線白岡駅から徒歩１６分　※共同生活援助との併設</t>
    <rPh sb="0" eb="3">
      <t>ウツノミヤ</t>
    </rPh>
    <rPh sb="3" eb="4">
      <t>セン</t>
    </rPh>
    <rPh sb="4" eb="6">
      <t>シラオカ</t>
    </rPh>
    <rPh sb="6" eb="7">
      <t>エキ</t>
    </rPh>
    <rPh sb="9" eb="11">
      <t>トホ</t>
    </rPh>
    <rPh sb="13" eb="14">
      <t>プン</t>
    </rPh>
    <rPh sb="16" eb="22">
      <t>キョウドウセイカツエンジョ</t>
    </rPh>
    <rPh sb="24" eb="26">
      <t>ヘイセツ</t>
    </rPh>
    <phoneticPr fontId="2"/>
  </si>
  <si>
    <t>（株）INNOVEL HEALTHCARE</t>
    <phoneticPr fontId="2"/>
  </si>
  <si>
    <t>グループホームイノベル寄居</t>
    <rPh sb="11" eb="13">
      <t>ヨリイ</t>
    </rPh>
    <phoneticPr fontId="2"/>
  </si>
  <si>
    <t>グループホームイノベル加須</t>
    <rPh sb="11" eb="13">
      <t>カゾ</t>
    </rPh>
    <phoneticPr fontId="2"/>
  </si>
  <si>
    <t>グループホームイノベル本庄</t>
    <rPh sb="11" eb="13">
      <t>ホンジョウ</t>
    </rPh>
    <phoneticPr fontId="2"/>
  </si>
  <si>
    <t>生活介護イノベル上里</t>
    <rPh sb="0" eb="4">
      <t>セイカツカイゴ</t>
    </rPh>
    <rPh sb="8" eb="10">
      <t>カミサト</t>
    </rPh>
    <phoneticPr fontId="2"/>
  </si>
  <si>
    <t>グループホームイノベル鴻巣</t>
    <rPh sb="11" eb="13">
      <t>コウノス</t>
    </rPh>
    <phoneticPr fontId="2"/>
  </si>
  <si>
    <t>グループホームイノベル鶴ヶ島</t>
    <rPh sb="11" eb="14">
      <t>ツルガシマ</t>
    </rPh>
    <phoneticPr fontId="2"/>
  </si>
  <si>
    <t>グループホームイノベル桶川</t>
    <rPh sb="11" eb="13">
      <t>オケガワ</t>
    </rPh>
    <phoneticPr fontId="5"/>
  </si>
  <si>
    <t>アトリエ・アンノウンⅤ上尾</t>
    <rPh sb="11" eb="13">
      <t>アゲオ</t>
    </rPh>
    <phoneticPr fontId="2"/>
  </si>
  <si>
    <t>日の出１丁目１４０番地１</t>
    <rPh sb="0" eb="1">
      <t>ヒ</t>
    </rPh>
    <rPh sb="2" eb="3">
      <t>デ</t>
    </rPh>
    <rPh sb="4" eb="6">
      <t>チョウメ</t>
    </rPh>
    <rPh sb="9" eb="11">
      <t>バンチ</t>
    </rPh>
    <phoneticPr fontId="2"/>
  </si>
  <si>
    <t>362-0032</t>
    <phoneticPr fontId="2"/>
  </si>
  <si>
    <t>048-613-4400</t>
    <phoneticPr fontId="2"/>
  </si>
  <si>
    <t>03-5246-4142</t>
    <phoneticPr fontId="2"/>
  </si>
  <si>
    <t>ＪＲ高崎線上尾駅から徒歩32分</t>
    <rPh sb="2" eb="4">
      <t>タカサキ</t>
    </rPh>
    <rPh sb="4" eb="5">
      <t>セン</t>
    </rPh>
    <rPh sb="5" eb="7">
      <t>アゲオ</t>
    </rPh>
    <rPh sb="7" eb="8">
      <t>エキ</t>
    </rPh>
    <rPh sb="10" eb="12">
      <t>トホ</t>
    </rPh>
    <rPh sb="14" eb="15">
      <t>フン</t>
    </rPh>
    <phoneticPr fontId="2"/>
  </si>
  <si>
    <t>就労継続支援B型事業所　TREE　坂戸中富町店</t>
    <rPh sb="0" eb="6">
      <t>シュウロウケイゾクシエン</t>
    </rPh>
    <rPh sb="7" eb="8">
      <t>ガタ</t>
    </rPh>
    <rPh sb="8" eb="11">
      <t>ジギョウショ</t>
    </rPh>
    <rPh sb="17" eb="23">
      <t>サカドナカトミチョウテン</t>
    </rPh>
    <phoneticPr fontId="2"/>
  </si>
  <si>
    <t>中富町４８番地２</t>
    <rPh sb="0" eb="2">
      <t>ナカトミ</t>
    </rPh>
    <rPh sb="2" eb="3">
      <t>チョウ</t>
    </rPh>
    <rPh sb="5" eb="7">
      <t>バンチ</t>
    </rPh>
    <phoneticPr fontId="2"/>
  </si>
  <si>
    <t>350-0232</t>
    <phoneticPr fontId="2"/>
  </si>
  <si>
    <t>080-3485-7890</t>
    <phoneticPr fontId="2"/>
  </si>
  <si>
    <t>東武東上線坂戸駅から徒歩13分</t>
    <rPh sb="0" eb="5">
      <t>トウブトウジョウセン</t>
    </rPh>
    <rPh sb="5" eb="8">
      <t>サカドエキ</t>
    </rPh>
    <rPh sb="10" eb="12">
      <t>トホ</t>
    </rPh>
    <rPh sb="14" eb="15">
      <t>フン</t>
    </rPh>
    <phoneticPr fontId="2"/>
  </si>
  <si>
    <t>ふぇりす</t>
    <phoneticPr fontId="2"/>
  </si>
  <si>
    <t>小敷谷６０４－２２</t>
    <rPh sb="0" eb="3">
      <t>コシキヤ</t>
    </rPh>
    <phoneticPr fontId="2"/>
  </si>
  <si>
    <t>362-0064</t>
    <phoneticPr fontId="2"/>
  </si>
  <si>
    <t>050-3385-0283</t>
    <phoneticPr fontId="2"/>
  </si>
  <si>
    <t>ＪＲ高崎線上尾駅から徒歩39分</t>
    <rPh sb="2" eb="4">
      <t>タカサキ</t>
    </rPh>
    <rPh sb="4" eb="5">
      <t>セン</t>
    </rPh>
    <rPh sb="5" eb="7">
      <t>アゲオ</t>
    </rPh>
    <rPh sb="7" eb="8">
      <t>エキ</t>
    </rPh>
    <rPh sb="10" eb="12">
      <t>トホ</t>
    </rPh>
    <rPh sb="14" eb="15">
      <t>フン</t>
    </rPh>
    <phoneticPr fontId="2"/>
  </si>
  <si>
    <t>自立みらい図</t>
    <rPh sb="0" eb="2">
      <t>ジリツ</t>
    </rPh>
    <rPh sb="5" eb="6">
      <t>ズ</t>
    </rPh>
    <phoneticPr fontId="5"/>
  </si>
  <si>
    <t>東所沢和田2丁目23番地-103号</t>
    <rPh sb="0" eb="5">
      <t>ヒガシトコロザワワダ</t>
    </rPh>
    <rPh sb="6" eb="8">
      <t>チョウメ</t>
    </rPh>
    <rPh sb="10" eb="12">
      <t>バンチ</t>
    </rPh>
    <rPh sb="16" eb="17">
      <t>ゴウ</t>
    </rPh>
    <phoneticPr fontId="2"/>
  </si>
  <si>
    <t>04-2941-323</t>
    <phoneticPr fontId="2"/>
  </si>
  <si>
    <t>04-2941-3824</t>
    <phoneticPr fontId="2"/>
  </si>
  <si>
    <t>JR武蔵野線東所沢駅徒歩10分</t>
    <rPh sb="2" eb="6">
      <t>ムサシノセン</t>
    </rPh>
    <rPh sb="6" eb="10">
      <t>ヒガシトコロザワエキ</t>
    </rPh>
    <rPh sb="10" eb="12">
      <t>トホ</t>
    </rPh>
    <rPh sb="14" eb="15">
      <t>フン</t>
    </rPh>
    <phoneticPr fontId="2"/>
  </si>
  <si>
    <t>本郷２１５番地１</t>
    <rPh sb="0" eb="2">
      <t>ホンゴウ</t>
    </rPh>
    <rPh sb="5" eb="7">
      <t>バンチ</t>
    </rPh>
    <phoneticPr fontId="2"/>
  </si>
  <si>
    <t>359-0022</t>
    <phoneticPr fontId="2"/>
  </si>
  <si>
    <t>JR武蔵野線東所沢駅から徒歩8分</t>
    <rPh sb="2" eb="6">
      <t>ムサシノセン</t>
    </rPh>
    <rPh sb="6" eb="7">
      <t>ヒガシ</t>
    </rPh>
    <rPh sb="7" eb="9">
      <t>トコロザワ</t>
    </rPh>
    <rPh sb="9" eb="10">
      <t>エキ</t>
    </rPh>
    <rPh sb="12" eb="14">
      <t>トホ</t>
    </rPh>
    <rPh sb="15" eb="16">
      <t>フン</t>
    </rPh>
    <phoneticPr fontId="2"/>
  </si>
  <si>
    <t>南町2-34</t>
    <rPh sb="0" eb="2">
      <t>ミナミマチ</t>
    </rPh>
    <phoneticPr fontId="2"/>
  </si>
  <si>
    <t>グループホームイノベル上里</t>
    <rPh sb="11" eb="13">
      <t>カミサト</t>
    </rPh>
    <phoneticPr fontId="2"/>
  </si>
  <si>
    <t>グループホームイノベル富士見</t>
    <rPh sb="11" eb="14">
      <t>フジミ</t>
    </rPh>
    <phoneticPr fontId="2"/>
  </si>
  <si>
    <t>グループホームイノベル新座</t>
    <rPh sb="11" eb="13">
      <t>ニイザ</t>
    </rPh>
    <phoneticPr fontId="2"/>
  </si>
  <si>
    <t>343-0857</t>
  </si>
  <si>
    <t>048-940-2161</t>
  </si>
  <si>
    <t>ビーハック北越谷短期入所</t>
    <rPh sb="5" eb="8">
      <t>キタコシガヤ</t>
    </rPh>
    <rPh sb="8" eb="12">
      <t>タンキニュウショ</t>
    </rPh>
    <phoneticPr fontId="2"/>
  </si>
  <si>
    <t>大房667-1</t>
    <rPh sb="0" eb="2">
      <t>オオフサ</t>
    </rPh>
    <phoneticPr fontId="2"/>
  </si>
  <si>
    <t>048-976-0521</t>
    <phoneticPr fontId="2"/>
  </si>
  <si>
    <t>東武スカイツリーライン北越谷駅徒歩8分</t>
    <rPh sb="0" eb="2">
      <t>トウブ</t>
    </rPh>
    <rPh sb="11" eb="15">
      <t>キタコシガヤエキ</t>
    </rPh>
    <rPh sb="15" eb="17">
      <t>トホ</t>
    </rPh>
    <rPh sb="18" eb="19">
      <t>フン</t>
    </rPh>
    <phoneticPr fontId="2"/>
  </si>
  <si>
    <t>障がい者グループホーム　ウェルサンライズ越谷</t>
    <rPh sb="0" eb="1">
      <t>ショウ</t>
    </rPh>
    <rPh sb="3" eb="4">
      <t>シャ</t>
    </rPh>
    <rPh sb="20" eb="22">
      <t>コシガヤ</t>
    </rPh>
    <phoneticPr fontId="2"/>
  </si>
  <si>
    <t>東武スカイツリーライン大袋駅から徒歩25分</t>
    <rPh sb="0" eb="2">
      <t>トウブ</t>
    </rPh>
    <rPh sb="11" eb="14">
      <t>オオブクロエキ</t>
    </rPh>
    <rPh sb="16" eb="18">
      <t>トホ</t>
    </rPh>
    <rPh sb="20" eb="21">
      <t>フン</t>
    </rPh>
    <phoneticPr fontId="2"/>
  </si>
  <si>
    <t>グループホームイノベル越谷</t>
    <rPh sb="11" eb="13">
      <t>コシガヤ</t>
    </rPh>
    <phoneticPr fontId="2"/>
  </si>
  <si>
    <t>343-0015</t>
    <phoneticPr fontId="2"/>
  </si>
  <si>
    <t>048-967-5837</t>
    <phoneticPr fontId="2"/>
  </si>
  <si>
    <t>048-967-5838</t>
    <phoneticPr fontId="2"/>
  </si>
  <si>
    <t>東武スカイツリーライン北越谷駅から徒歩22分</t>
    <rPh sb="0" eb="2">
      <t>トウブ</t>
    </rPh>
    <rPh sb="11" eb="15">
      <t>キタコシガヤエキ</t>
    </rPh>
    <rPh sb="17" eb="19">
      <t>トホ</t>
    </rPh>
    <rPh sb="21" eb="22">
      <t>フン</t>
    </rPh>
    <phoneticPr fontId="2"/>
  </si>
  <si>
    <t>有限会社明日香</t>
    <rPh sb="0" eb="4">
      <t>ユウゲンガイシャ</t>
    </rPh>
    <rPh sb="4" eb="7">
      <t>アスカ</t>
    </rPh>
    <phoneticPr fontId="2"/>
  </si>
  <si>
    <t>デイサービスななみ</t>
    <phoneticPr fontId="2"/>
  </si>
  <si>
    <t>東武スカイツリーライン大袋駅から徒歩20
※共生型サービス</t>
    <rPh sb="0" eb="2">
      <t>トウブ</t>
    </rPh>
    <rPh sb="11" eb="14">
      <t>オオブクロエキ</t>
    </rPh>
    <rPh sb="16" eb="18">
      <t>トホ</t>
    </rPh>
    <rPh sb="22" eb="25">
      <t>キョウセイガタ</t>
    </rPh>
    <phoneticPr fontId="2"/>
  </si>
  <si>
    <t>CA.CA.O　WORKS</t>
    <phoneticPr fontId="2"/>
  </si>
  <si>
    <t>大里26-1</t>
    <rPh sb="0" eb="2">
      <t>オオサト</t>
    </rPh>
    <phoneticPr fontId="2"/>
  </si>
  <si>
    <t>343-0031</t>
    <phoneticPr fontId="2"/>
  </si>
  <si>
    <t>048-940-5681</t>
    <phoneticPr fontId="2"/>
  </si>
  <si>
    <t>048-940-5682</t>
    <phoneticPr fontId="2"/>
  </si>
  <si>
    <t>東武スカイツリーライン大袋駅から徒歩13分</t>
    <rPh sb="0" eb="2">
      <t>トウブ</t>
    </rPh>
    <rPh sb="11" eb="13">
      <t>オオブクロ</t>
    </rPh>
    <rPh sb="13" eb="14">
      <t>エキ</t>
    </rPh>
    <rPh sb="16" eb="18">
      <t>トホ</t>
    </rPh>
    <rPh sb="20" eb="21">
      <t>プン</t>
    </rPh>
    <phoneticPr fontId="2"/>
  </si>
  <si>
    <t>MUM</t>
    <phoneticPr fontId="2"/>
  </si>
  <si>
    <t>相模町5-356-1</t>
    <rPh sb="0" eb="3">
      <t>サガミチョウ</t>
    </rPh>
    <phoneticPr fontId="2"/>
  </si>
  <si>
    <t>048-940-9007</t>
    <phoneticPr fontId="2"/>
  </si>
  <si>
    <t>048-940-9008</t>
    <phoneticPr fontId="2"/>
  </si>
  <si>
    <t>JR武蔵野線越谷レイクタウン駅から徒歩22分</t>
    <rPh sb="2" eb="6">
      <t>ムサシノセン</t>
    </rPh>
    <rPh sb="6" eb="8">
      <t>コシガヤ</t>
    </rPh>
    <rPh sb="14" eb="15">
      <t>エキ</t>
    </rPh>
    <rPh sb="17" eb="19">
      <t>トホ</t>
    </rPh>
    <rPh sb="21" eb="22">
      <t>フン</t>
    </rPh>
    <phoneticPr fontId="2"/>
  </si>
  <si>
    <t>障がい者グループホーム　ウェルサンライズ三郷</t>
    <rPh sb="0" eb="1">
      <t>ショウ</t>
    </rPh>
    <rPh sb="3" eb="4">
      <t>モノ</t>
    </rPh>
    <rPh sb="20" eb="22">
      <t>ミサト</t>
    </rPh>
    <phoneticPr fontId="2"/>
  </si>
  <si>
    <t>048-613-7959</t>
    <phoneticPr fontId="2"/>
  </si>
  <si>
    <t>浦和区上木崎４－２－２５　緑風会ビル１階</t>
    <rPh sb="0" eb="3">
      <t>ウラワク</t>
    </rPh>
    <rPh sb="3" eb="6">
      <t>カミキザキ</t>
    </rPh>
    <rPh sb="13" eb="16">
      <t>リョクフウカイ</t>
    </rPh>
    <rPh sb="19" eb="20">
      <t>カイ</t>
    </rPh>
    <phoneticPr fontId="5"/>
  </si>
  <si>
    <t>大宮区大成町１－４７７</t>
    <rPh sb="0" eb="3">
      <t>オオミヤク</t>
    </rPh>
    <rPh sb="3" eb="6">
      <t>オオナリチョウ</t>
    </rPh>
    <phoneticPr fontId="5"/>
  </si>
  <si>
    <t>Ｍｏｎｔ　Ｂｌａｎｃ</t>
    <phoneticPr fontId="5"/>
  </si>
  <si>
    <t>330-0071</t>
    <phoneticPr fontId="5"/>
  </si>
  <si>
    <t>090-5419-1303</t>
    <phoneticPr fontId="5"/>
  </si>
  <si>
    <t>048-831-1310</t>
    <phoneticPr fontId="5"/>
  </si>
  <si>
    <t>ＪＲ与野駅から徒歩6分</t>
    <rPh sb="2" eb="5">
      <t>ヨノエキ</t>
    </rPh>
    <rPh sb="7" eb="9">
      <t>トホ</t>
    </rPh>
    <rPh sb="10" eb="11">
      <t>フン</t>
    </rPh>
    <phoneticPr fontId="5"/>
  </si>
  <si>
    <t>Ｈｏｍｅ　Ｒｏｏｍ</t>
    <phoneticPr fontId="5"/>
  </si>
  <si>
    <t>330-0852</t>
    <phoneticPr fontId="5"/>
  </si>
  <si>
    <t>090-5419-2251</t>
    <phoneticPr fontId="5"/>
  </si>
  <si>
    <t>ＪＲ大宮駅から徒歩16分</t>
    <rPh sb="2" eb="5">
      <t>オオミヤエキ</t>
    </rPh>
    <rPh sb="7" eb="9">
      <t>トホ</t>
    </rPh>
    <rPh sb="11" eb="12">
      <t>フン</t>
    </rPh>
    <phoneticPr fontId="5"/>
  </si>
  <si>
    <t>かなうラボ鉄博前</t>
    <rPh sb="5" eb="6">
      <t>テツ</t>
    </rPh>
    <rPh sb="6" eb="7">
      <t>ハク</t>
    </rPh>
    <rPh sb="7" eb="8">
      <t>マエ</t>
    </rPh>
    <phoneticPr fontId="5"/>
  </si>
  <si>
    <t>北区東大成町１－４９７　ＭＪ赤柴ビル５Ｆ</t>
    <rPh sb="0" eb="2">
      <t>キタク</t>
    </rPh>
    <rPh sb="2" eb="3">
      <t>ヒガシ</t>
    </rPh>
    <rPh sb="3" eb="5">
      <t>オオナリ</t>
    </rPh>
    <rPh sb="5" eb="6">
      <t>チョウ</t>
    </rPh>
    <rPh sb="14" eb="16">
      <t>アカシバ</t>
    </rPh>
    <phoneticPr fontId="5"/>
  </si>
  <si>
    <t>331-0814</t>
    <phoneticPr fontId="5"/>
  </si>
  <si>
    <t>048-755-9725</t>
    <phoneticPr fontId="5"/>
  </si>
  <si>
    <t>048-610-8563</t>
    <phoneticPr fontId="5"/>
  </si>
  <si>
    <t>さいたま新都市交通鉄道博物館駅から徒歩10分</t>
    <rPh sb="4" eb="7">
      <t>シントシ</t>
    </rPh>
    <rPh sb="7" eb="9">
      <t>コウツウ</t>
    </rPh>
    <rPh sb="9" eb="11">
      <t>テツドウ</t>
    </rPh>
    <rPh sb="11" eb="14">
      <t>ハクブツカン</t>
    </rPh>
    <rPh sb="14" eb="15">
      <t>エキ</t>
    </rPh>
    <rPh sb="17" eb="19">
      <t>トホ</t>
    </rPh>
    <rPh sb="21" eb="22">
      <t>フン</t>
    </rPh>
    <phoneticPr fontId="5"/>
  </si>
  <si>
    <t>かなうラボ武蔵浦和</t>
    <rPh sb="5" eb="9">
      <t>ムサシウラワ</t>
    </rPh>
    <phoneticPr fontId="5"/>
  </si>
  <si>
    <t>南区白幡４－２９－１２　Ｍ２ビル５Ｆ</t>
    <rPh sb="0" eb="2">
      <t>ミナミク</t>
    </rPh>
    <rPh sb="2" eb="4">
      <t>シラハタ</t>
    </rPh>
    <phoneticPr fontId="5"/>
  </si>
  <si>
    <t>336-0022</t>
    <phoneticPr fontId="5"/>
  </si>
  <si>
    <t>ＪＲ武蔵浦和駅から徒歩7分</t>
    <rPh sb="2" eb="7">
      <t>ムサシウラワエキ</t>
    </rPh>
    <rPh sb="9" eb="11">
      <t>トホ</t>
    </rPh>
    <rPh sb="12" eb="13">
      <t>フン</t>
    </rPh>
    <phoneticPr fontId="5"/>
  </si>
  <si>
    <t>かなえるワーク</t>
    <phoneticPr fontId="5"/>
  </si>
  <si>
    <t>中央区桜丘２－２－１６　ミリオンプランニングビル１・２階</t>
    <phoneticPr fontId="5"/>
  </si>
  <si>
    <t>338-0005</t>
    <phoneticPr fontId="5"/>
  </si>
  <si>
    <t>070-9350-3700</t>
    <phoneticPr fontId="5"/>
  </si>
  <si>
    <t>050-3852-4215</t>
    <phoneticPr fontId="5"/>
  </si>
  <si>
    <t>ＪＲ与野本町駅より徒歩19分</t>
    <rPh sb="2" eb="7">
      <t>ヨノホンマチエキ</t>
    </rPh>
    <rPh sb="9" eb="11">
      <t>トホ</t>
    </rPh>
    <rPh sb="13" eb="14">
      <t>フン</t>
    </rPh>
    <phoneticPr fontId="5"/>
  </si>
  <si>
    <t>ゆたかカレッジ埼玉キャンパス</t>
    <rPh sb="7" eb="9">
      <t>サイタマ</t>
    </rPh>
    <phoneticPr fontId="5"/>
  </si>
  <si>
    <t>緑区東浦和１－３－１０　篠原ビル４階</t>
    <phoneticPr fontId="5"/>
  </si>
  <si>
    <t>336-0926</t>
    <phoneticPr fontId="5"/>
  </si>
  <si>
    <t>048-711-8963</t>
    <phoneticPr fontId="5"/>
  </si>
  <si>
    <t>048-711-8964</t>
    <phoneticPr fontId="5"/>
  </si>
  <si>
    <t>ＪＲ南浦和駅より徒歩14分</t>
    <rPh sb="2" eb="5">
      <t>ミナミウラワ</t>
    </rPh>
    <rPh sb="5" eb="6">
      <t>エキ</t>
    </rPh>
    <rPh sb="8" eb="10">
      <t>トホ</t>
    </rPh>
    <rPh sb="12" eb="13">
      <t>フン</t>
    </rPh>
    <phoneticPr fontId="5"/>
  </si>
  <si>
    <t>障がい者グループホーム　ウェルサンライズ東浦和</t>
    <rPh sb="2" eb="3">
      <t>シャ</t>
    </rPh>
    <rPh sb="19" eb="20">
      <t>ヒガシ</t>
    </rPh>
    <rPh sb="20" eb="22">
      <t>ウラワ</t>
    </rPh>
    <phoneticPr fontId="5"/>
  </si>
  <si>
    <t>さいたま市槻の木</t>
    <rPh sb="4" eb="5">
      <t>シ</t>
    </rPh>
    <rPh sb="5" eb="6">
      <t>ツキ</t>
    </rPh>
    <rPh sb="7" eb="8">
      <t>キ</t>
    </rPh>
    <phoneticPr fontId="4"/>
  </si>
  <si>
    <t>越ヶ谷1-11-36　TOHO36ビル4F</t>
    <rPh sb="0" eb="3">
      <t>コシガヤ</t>
    </rPh>
    <phoneticPr fontId="2"/>
  </si>
  <si>
    <t>東武スカイツリーライン越谷駅徒歩5分</t>
    <rPh sb="0" eb="2">
      <t>トウブ</t>
    </rPh>
    <rPh sb="11" eb="14">
      <t>コシガヤエキ</t>
    </rPh>
    <rPh sb="14" eb="16">
      <t>トホ</t>
    </rPh>
    <rPh sb="17" eb="18">
      <t>フン</t>
    </rPh>
    <phoneticPr fontId="2"/>
  </si>
  <si>
    <t>048-940-8655</t>
    <phoneticPr fontId="2"/>
  </si>
  <si>
    <t>048-940-8658</t>
    <phoneticPr fontId="2"/>
  </si>
  <si>
    <t>オープンドア川越</t>
    <rPh sb="6" eb="8">
      <t>カワゴエ</t>
    </rPh>
    <phoneticPr fontId="33"/>
  </si>
  <si>
    <t>川越市</t>
    <rPh sb="0" eb="3">
      <t>カワゴエシ</t>
    </rPh>
    <phoneticPr fontId="33"/>
  </si>
  <si>
    <t>新富町1-8-23　リエート１階</t>
    <rPh sb="0" eb="3">
      <t>シントミチョウ</t>
    </rPh>
    <rPh sb="15" eb="16">
      <t>カイ</t>
    </rPh>
    <phoneticPr fontId="33"/>
  </si>
  <si>
    <t>350-0043</t>
  </si>
  <si>
    <t>050-3588-4566</t>
  </si>
  <si>
    <t>JR・東武東上線川越駅徒歩7分</t>
    <rPh sb="3" eb="8">
      <t>トウブトウジョウセン</t>
    </rPh>
    <rPh sb="8" eb="10">
      <t>カワゴエ</t>
    </rPh>
    <rPh sb="10" eb="11">
      <t>エキ</t>
    </rPh>
    <rPh sb="11" eb="13">
      <t>トホ</t>
    </rPh>
    <rPh sb="14" eb="15">
      <t>フン</t>
    </rPh>
    <phoneticPr fontId="33"/>
  </si>
  <si>
    <t>ONEGAME本川越</t>
    <rPh sb="7" eb="8">
      <t>ホン</t>
    </rPh>
    <rPh sb="8" eb="10">
      <t>カワゴエ</t>
    </rPh>
    <phoneticPr fontId="33"/>
  </si>
  <si>
    <t>中原町2-24-14　本川越西口ビル　2FA号室</t>
    <rPh sb="0" eb="2">
      <t>ナカハラ</t>
    </rPh>
    <rPh sb="2" eb="3">
      <t>マチ</t>
    </rPh>
    <rPh sb="11" eb="16">
      <t>ホンカワゴエニシグチ</t>
    </rPh>
    <rPh sb="22" eb="24">
      <t>ゴウシツ</t>
    </rPh>
    <phoneticPr fontId="33"/>
  </si>
  <si>
    <t>049-299-4038</t>
  </si>
  <si>
    <t>049-299-4037</t>
  </si>
  <si>
    <t>西部新宿線線本川越駅徒歩2分</t>
    <rPh sb="0" eb="2">
      <t>セイブ</t>
    </rPh>
    <rPh sb="2" eb="5">
      <t>シンジュクセン</t>
    </rPh>
    <rPh sb="5" eb="6">
      <t>セン</t>
    </rPh>
    <rPh sb="6" eb="7">
      <t>ホン</t>
    </rPh>
    <rPh sb="7" eb="9">
      <t>カワゴエ</t>
    </rPh>
    <rPh sb="9" eb="10">
      <t>エキ</t>
    </rPh>
    <rPh sb="10" eb="12">
      <t>トホ</t>
    </rPh>
    <rPh sb="13" eb="14">
      <t>フン</t>
    </rPh>
    <phoneticPr fontId="33"/>
  </si>
  <si>
    <t>ナビゲーションカレッジ青空</t>
    <rPh sb="11" eb="13">
      <t>あおぞら</t>
    </rPh>
    <phoneticPr fontId="20" type="Hiragana"/>
  </si>
  <si>
    <t>川口市</t>
    <rPh sb="0" eb="2">
      <t>かわぐち</t>
    </rPh>
    <rPh sb="2" eb="3">
      <t>し</t>
    </rPh>
    <phoneticPr fontId="20" type="Hiragana"/>
  </si>
  <si>
    <t>333-0801</t>
  </si>
  <si>
    <t>048-242-3372</t>
  </si>
  <si>
    <t>048-242-3373</t>
  </si>
  <si>
    <t>（電車）東川口駅から徒歩７分</t>
    <rPh sb="1" eb="3">
      <t>でんしゃ</t>
    </rPh>
    <rPh sb="4" eb="5">
      <t>ひがし</t>
    </rPh>
    <rPh sb="5" eb="7">
      <t>かわぐち</t>
    </rPh>
    <rPh sb="7" eb="8">
      <t>えき</t>
    </rPh>
    <rPh sb="10" eb="12">
      <t>とほ</t>
    </rPh>
    <rPh sb="13" eb="14">
      <t>ふん</t>
    </rPh>
    <phoneticPr fontId="20" type="Hiragana"/>
  </si>
  <si>
    <t>PEACE</t>
  </si>
  <si>
    <t>333-0802</t>
  </si>
  <si>
    <t>048-280-6117</t>
  </si>
  <si>
    <t>048-280-6157</t>
  </si>
  <si>
    <t>（バス）東川口駅南口から川口環境センター行き「戸塚グランド」下車、徒歩２分</t>
    <rPh sb="4" eb="5">
      <t>ひがし</t>
    </rPh>
    <rPh sb="5" eb="8">
      <t>かわぐちえき</t>
    </rPh>
    <rPh sb="8" eb="10">
      <t>みなみぐち</t>
    </rPh>
    <rPh sb="12" eb="14">
      <t>かわぐち</t>
    </rPh>
    <rPh sb="14" eb="16">
      <t>かんきょう</t>
    </rPh>
    <rPh sb="20" eb="21">
      <t>い</t>
    </rPh>
    <rPh sb="23" eb="25">
      <t>とつか</t>
    </rPh>
    <rPh sb="30" eb="32">
      <t>げしゃ</t>
    </rPh>
    <rPh sb="33" eb="35">
      <t>とほ</t>
    </rPh>
    <rPh sb="36" eb="37">
      <t>ふん</t>
    </rPh>
    <phoneticPr fontId="20" type="Hiragana"/>
  </si>
  <si>
    <t>aloha東川口</t>
    <rPh sb="5" eb="6">
      <t>ひがし</t>
    </rPh>
    <rPh sb="6" eb="8">
      <t>かわぐち</t>
    </rPh>
    <phoneticPr fontId="20" type="Hiragana"/>
  </si>
  <si>
    <t>048-452-4158</t>
  </si>
  <si>
    <t>048-452-4159</t>
  </si>
  <si>
    <t>（バス）東川口駅南口から川口環境センター行き「戸塚杉本」下車、徒歩1分</t>
    <rPh sb="4" eb="5">
      <t>ひがし</t>
    </rPh>
    <rPh sb="5" eb="8">
      <t>かわぐちえき</t>
    </rPh>
    <rPh sb="8" eb="10">
      <t>みなみぐち</t>
    </rPh>
    <rPh sb="12" eb="14">
      <t>かわぐち</t>
    </rPh>
    <rPh sb="14" eb="16">
      <t>かんきょう</t>
    </rPh>
    <rPh sb="20" eb="21">
      <t>い</t>
    </rPh>
    <rPh sb="23" eb="25">
      <t>とつか</t>
    </rPh>
    <rPh sb="25" eb="27">
      <t>すぎもと</t>
    </rPh>
    <rPh sb="28" eb="30">
      <t>げしゃ</t>
    </rPh>
    <rPh sb="31" eb="33">
      <t>とほ</t>
    </rPh>
    <rPh sb="34" eb="35">
      <t>ふん</t>
    </rPh>
    <phoneticPr fontId="20" type="Hiragana"/>
  </si>
  <si>
    <t>(福)晴典会</t>
    <rPh sb="1" eb="2">
      <t>フク</t>
    </rPh>
    <rPh sb="3" eb="4">
      <t>セイ</t>
    </rPh>
    <rPh sb="4" eb="5">
      <t>テン</t>
    </rPh>
    <rPh sb="5" eb="6">
      <t>カイ</t>
    </rPh>
    <phoneticPr fontId="2"/>
  </si>
  <si>
    <t>048-733-6871</t>
  </si>
  <si>
    <t>048-733-6873</t>
  </si>
  <si>
    <t>れんげ草</t>
    <rPh sb="3" eb="4">
      <t>ソウ</t>
    </rPh>
    <phoneticPr fontId="2"/>
  </si>
  <si>
    <t>弁天一丁目６番１８号</t>
    <rPh sb="0" eb="2">
      <t>ベンテン</t>
    </rPh>
    <rPh sb="2" eb="5">
      <t>イッチョウメ</t>
    </rPh>
    <rPh sb="6" eb="7">
      <t>バン</t>
    </rPh>
    <rPh sb="9" eb="10">
      <t>ゴウ</t>
    </rPh>
    <phoneticPr fontId="2"/>
  </si>
  <si>
    <t>048-932-1225</t>
    <phoneticPr fontId="2"/>
  </si>
  <si>
    <t>東武スカイツリーライン獨協大学前（草加松原）駅東口下車徒歩１５分</t>
    <rPh sb="0" eb="2">
      <t>トウブ</t>
    </rPh>
    <rPh sb="11" eb="16">
      <t>ドッキョウダイガクマエ</t>
    </rPh>
    <rPh sb="17" eb="21">
      <t>ソウカマツバラ</t>
    </rPh>
    <rPh sb="22" eb="23">
      <t>エキ</t>
    </rPh>
    <rPh sb="23" eb="25">
      <t>ヒガシグチ</t>
    </rPh>
    <rPh sb="25" eb="27">
      <t>ゲシャ</t>
    </rPh>
    <rPh sb="27" eb="29">
      <t>トホ</t>
    </rPh>
    <rPh sb="31" eb="32">
      <t>フン</t>
    </rPh>
    <phoneticPr fontId="2"/>
  </si>
  <si>
    <t>クリスタルプラス</t>
    <phoneticPr fontId="2"/>
  </si>
  <si>
    <t>西町７６０－２ 彦マンション１階</t>
    <rPh sb="0" eb="1">
      <t>ニシ</t>
    </rPh>
    <rPh sb="1" eb="2">
      <t>マチ</t>
    </rPh>
    <rPh sb="8" eb="9">
      <t>ヒコ</t>
    </rPh>
    <phoneticPr fontId="2"/>
  </si>
  <si>
    <t>048-999-5506</t>
    <phoneticPr fontId="2"/>
  </si>
  <si>
    <t>058-999-5509</t>
    <phoneticPr fontId="2"/>
  </si>
  <si>
    <t>東武スカイツリーライン草加駅西口徒歩18分</t>
    <rPh sb="0" eb="2">
      <t>トウブ</t>
    </rPh>
    <rPh sb="11" eb="13">
      <t>ソウカ</t>
    </rPh>
    <rPh sb="13" eb="14">
      <t>エキ</t>
    </rPh>
    <rPh sb="14" eb="16">
      <t>ニシグチ</t>
    </rPh>
    <rPh sb="16" eb="18">
      <t>トホ</t>
    </rPh>
    <rPh sb="20" eb="21">
      <t>フン</t>
    </rPh>
    <phoneticPr fontId="2"/>
  </si>
  <si>
    <t>(合)１５１Ａ</t>
    <rPh sb="1" eb="2">
      <t>ゴウ</t>
    </rPh>
    <phoneticPr fontId="2"/>
  </si>
  <si>
    <t>就労継続支援Ｂ型事業所ミライエ</t>
    <rPh sb="0" eb="2">
      <t>シュウロウ</t>
    </rPh>
    <rPh sb="2" eb="4">
      <t>ケイゾク</t>
    </rPh>
    <rPh sb="4" eb="6">
      <t>シエン</t>
    </rPh>
    <rPh sb="7" eb="8">
      <t>ガタ</t>
    </rPh>
    <rPh sb="8" eb="11">
      <t>ジギョウショ</t>
    </rPh>
    <phoneticPr fontId="2"/>
  </si>
  <si>
    <t>中央６－１－７</t>
    <rPh sb="0" eb="2">
      <t>チュウオウ</t>
    </rPh>
    <phoneticPr fontId="2"/>
  </si>
  <si>
    <t>080-4448-1711</t>
    <phoneticPr fontId="2"/>
  </si>
  <si>
    <t>東武スカイツリーライン春日部駅徒歩7分</t>
    <rPh sb="0" eb="2">
      <t>トウブ</t>
    </rPh>
    <rPh sb="11" eb="15">
      <t>カスカベエキ</t>
    </rPh>
    <rPh sb="15" eb="17">
      <t>トホ</t>
    </rPh>
    <rPh sb="18" eb="19">
      <t>フン</t>
    </rPh>
    <phoneticPr fontId="2"/>
  </si>
  <si>
    <t>（特非）ソーシャルデザインワークス</t>
    <rPh sb="1" eb="3">
      <t>トクヒ</t>
    </rPh>
    <phoneticPr fontId="5"/>
  </si>
  <si>
    <t>ＳＯＣＩＡＬＳＱＵＡＲＥ草加谷塚</t>
  </si>
  <si>
    <t>谷塚１丁目９－１４　１階</t>
    <rPh sb="0" eb="2">
      <t>ヤツカ</t>
    </rPh>
    <rPh sb="3" eb="5">
      <t>チョウメ</t>
    </rPh>
    <rPh sb="11" eb="12">
      <t>カイ</t>
    </rPh>
    <phoneticPr fontId="2"/>
  </si>
  <si>
    <t>340-0028</t>
  </si>
  <si>
    <t>070-3366-0026</t>
    <phoneticPr fontId="2"/>
  </si>
  <si>
    <t>東武スカイツリーライン谷塚駅東口徒歩３分</t>
    <rPh sb="0" eb="2">
      <t>トウブ</t>
    </rPh>
    <rPh sb="11" eb="14">
      <t>ヤツカエキ</t>
    </rPh>
    <rPh sb="14" eb="16">
      <t>ヒガシグチ</t>
    </rPh>
    <rPh sb="16" eb="18">
      <t>トホ</t>
    </rPh>
    <rPh sb="19" eb="20">
      <t>プン</t>
    </rPh>
    <phoneticPr fontId="2"/>
  </si>
  <si>
    <t>ディベアスサポート＆アプト</t>
    <phoneticPr fontId="2"/>
  </si>
  <si>
    <t>草加駅東口より東武バスセントラル「南川崎」下車徒歩5分
従たる事業所・短期入所　八潮市大字柳之宮字屋敷通80番8</t>
    <rPh sb="0" eb="3">
      <t>ソウカエキ</t>
    </rPh>
    <rPh sb="3" eb="5">
      <t>ヒガシグチ</t>
    </rPh>
    <rPh sb="7" eb="9">
      <t>トウブ</t>
    </rPh>
    <rPh sb="17" eb="20">
      <t>ミナミカワサキ</t>
    </rPh>
    <rPh sb="21" eb="23">
      <t>ゲシャ</t>
    </rPh>
    <rPh sb="23" eb="25">
      <t>トホ</t>
    </rPh>
    <rPh sb="26" eb="27">
      <t>フン</t>
    </rPh>
    <rPh sb="28" eb="29">
      <t>ジュウ</t>
    </rPh>
    <rPh sb="31" eb="34">
      <t>ジギョウショ</t>
    </rPh>
    <rPh sb="35" eb="39">
      <t>タンキニュウショ</t>
    </rPh>
    <rPh sb="40" eb="43">
      <t>ヤシオシ</t>
    </rPh>
    <rPh sb="43" eb="45">
      <t>オオアザ</t>
    </rPh>
    <rPh sb="45" eb="48">
      <t>ヤナギノミヤ</t>
    </rPh>
    <rPh sb="48" eb="49">
      <t>アザ</t>
    </rPh>
    <rPh sb="49" eb="52">
      <t>ヤシキドオ</t>
    </rPh>
    <rPh sb="54" eb="55">
      <t>バン</t>
    </rPh>
    <phoneticPr fontId="2"/>
  </si>
  <si>
    <t>（株）Ｋ－ＳＴＡＧＥ</t>
    <phoneticPr fontId="2"/>
  </si>
  <si>
    <t>すかいはうす</t>
    <phoneticPr fontId="2"/>
  </si>
  <si>
    <t>八潮市</t>
    <rPh sb="0" eb="2">
      <t>ヤシオ</t>
    </rPh>
    <rPh sb="2" eb="3">
      <t>シ</t>
    </rPh>
    <phoneticPr fontId="2"/>
  </si>
  <si>
    <t>中央４丁目４番地６</t>
    <phoneticPr fontId="2"/>
  </si>
  <si>
    <t>048-959-9045</t>
    <phoneticPr fontId="2"/>
  </si>
  <si>
    <t>048-959-9047</t>
    <phoneticPr fontId="2"/>
  </si>
  <si>
    <t>つくばエクスプレス八潮駅から東武バス「八幡小学校前」下車徒歩８分</t>
    <rPh sb="9" eb="12">
      <t>ヤシオエキ</t>
    </rPh>
    <rPh sb="14" eb="16">
      <t>トウブ</t>
    </rPh>
    <rPh sb="19" eb="21">
      <t>ヤハタ</t>
    </rPh>
    <rPh sb="21" eb="25">
      <t>ショウガッコウマエ</t>
    </rPh>
    <rPh sb="26" eb="28">
      <t>ゲシャ</t>
    </rPh>
    <rPh sb="28" eb="30">
      <t>トホ</t>
    </rPh>
    <rPh sb="31" eb="32">
      <t>フン</t>
    </rPh>
    <phoneticPr fontId="2"/>
  </si>
  <si>
    <t>フィールド・マーケティング・ジャパン(株)</t>
    <phoneticPr fontId="2"/>
  </si>
  <si>
    <t>笑顔の家　ショートステイ幸手</t>
    <rPh sb="0" eb="2">
      <t>エガオ</t>
    </rPh>
    <rPh sb="3" eb="4">
      <t>イエ</t>
    </rPh>
    <rPh sb="12" eb="14">
      <t>サッテ</t>
    </rPh>
    <phoneticPr fontId="2"/>
  </si>
  <si>
    <t>幸手市</t>
    <rPh sb="0" eb="2">
      <t>サッテ</t>
    </rPh>
    <rPh sb="2" eb="3">
      <t>シ</t>
    </rPh>
    <phoneticPr fontId="2"/>
  </si>
  <si>
    <t>中５丁目１３－２９</t>
    <rPh sb="0" eb="1">
      <t>チュウ</t>
    </rPh>
    <rPh sb="2" eb="4">
      <t>チョウメ</t>
    </rPh>
    <phoneticPr fontId="2"/>
  </si>
  <si>
    <t>0480-48-7838</t>
    <phoneticPr fontId="2"/>
  </si>
  <si>
    <t>03-5793-5201</t>
    <phoneticPr fontId="2"/>
  </si>
  <si>
    <t>東武日光線幸手駅西口下車徒歩６分
※共同生活援助との併設</t>
    <rPh sb="0" eb="4">
      <t>トウブニッコウ</t>
    </rPh>
    <rPh sb="4" eb="5">
      <t>セン</t>
    </rPh>
    <rPh sb="5" eb="7">
      <t>サッテ</t>
    </rPh>
    <rPh sb="7" eb="8">
      <t>エキ</t>
    </rPh>
    <rPh sb="8" eb="10">
      <t>ニシグチ</t>
    </rPh>
    <rPh sb="10" eb="12">
      <t>ゲシャ</t>
    </rPh>
    <rPh sb="12" eb="14">
      <t>トホ</t>
    </rPh>
    <rPh sb="15" eb="16">
      <t>フン</t>
    </rPh>
    <rPh sb="18" eb="20">
      <t>キョウドウ</t>
    </rPh>
    <rPh sb="20" eb="22">
      <t>セイカツ</t>
    </rPh>
    <rPh sb="22" eb="24">
      <t>エンジョ</t>
    </rPh>
    <rPh sb="26" eb="28">
      <t>ヘイセツ</t>
    </rPh>
    <phoneticPr fontId="2"/>
  </si>
  <si>
    <t>（一社）oneness</t>
    <rPh sb="1" eb="3">
      <t>イッシャ</t>
    </rPh>
    <phoneticPr fontId="2"/>
  </si>
  <si>
    <t>ビーハック日中支援型障がい者グループホームさいたま深谷</t>
    <rPh sb="5" eb="10">
      <t>ニッチュウシエンガタ</t>
    </rPh>
    <rPh sb="10" eb="11">
      <t>ショウ</t>
    </rPh>
    <rPh sb="13" eb="14">
      <t>シャ</t>
    </rPh>
    <rPh sb="25" eb="27">
      <t>フカヤ</t>
    </rPh>
    <phoneticPr fontId="2"/>
  </si>
  <si>
    <t>JR高崎線深谷駅から徒歩12分
※共同生活援助との併設</t>
    <rPh sb="2" eb="5">
      <t>タカサキセン</t>
    </rPh>
    <rPh sb="5" eb="7">
      <t>フカヤ</t>
    </rPh>
    <rPh sb="7" eb="8">
      <t>エキ</t>
    </rPh>
    <rPh sb="10" eb="12">
      <t>トホ</t>
    </rPh>
    <rPh sb="14" eb="15">
      <t>フン</t>
    </rPh>
    <phoneticPr fontId="2"/>
  </si>
  <si>
    <t>（株）デジタルヘルス</t>
    <rPh sb="1" eb="2">
      <t>カブ</t>
    </rPh>
    <phoneticPr fontId="2"/>
  </si>
  <si>
    <t>ダリアホーム本庄</t>
    <rPh sb="6" eb="8">
      <t>ホンジョウ</t>
    </rPh>
    <phoneticPr fontId="2"/>
  </si>
  <si>
    <t>柏一丁目９番４号</t>
    <rPh sb="0" eb="1">
      <t>カシワ</t>
    </rPh>
    <rPh sb="1" eb="4">
      <t>イッチョウメ</t>
    </rPh>
    <rPh sb="5" eb="6">
      <t>バン</t>
    </rPh>
    <rPh sb="7" eb="8">
      <t>ゴウ</t>
    </rPh>
    <phoneticPr fontId="2"/>
  </si>
  <si>
    <t>367-0045</t>
    <phoneticPr fontId="2"/>
  </si>
  <si>
    <t>0495-71-9522</t>
    <phoneticPr fontId="2"/>
  </si>
  <si>
    <t>0495-71-9523</t>
  </si>
  <si>
    <t>JR高崎線本庄駅 徒歩２０分</t>
    <rPh sb="2" eb="5">
      <t>タカサキセン</t>
    </rPh>
    <rPh sb="5" eb="8">
      <t>ホンジョウエキ</t>
    </rPh>
    <rPh sb="9" eb="11">
      <t>トホ</t>
    </rPh>
    <rPh sb="13" eb="14">
      <t>フン</t>
    </rPh>
    <phoneticPr fontId="2"/>
  </si>
  <si>
    <t>（社福）福潤の会</t>
    <rPh sb="1" eb="3">
      <t>シャフク</t>
    </rPh>
    <rPh sb="4" eb="5">
      <t>フク</t>
    </rPh>
    <rPh sb="5" eb="6">
      <t>ウルオ</t>
    </rPh>
    <rPh sb="7" eb="8">
      <t>カイ</t>
    </rPh>
    <phoneticPr fontId="2"/>
  </si>
  <si>
    <t>前谷５０５番地３</t>
    <rPh sb="0" eb="2">
      <t>マエタニ</t>
    </rPh>
    <rPh sb="5" eb="7">
      <t>バンチ</t>
    </rPh>
    <phoneticPr fontId="2"/>
  </si>
  <si>
    <t>361-0038</t>
    <phoneticPr fontId="2"/>
  </si>
  <si>
    <t>JR高崎線吹上駅徒歩１８分</t>
    <rPh sb="2" eb="5">
      <t>タカサキセン</t>
    </rPh>
    <rPh sb="5" eb="8">
      <t>フキアゲエキ</t>
    </rPh>
    <rPh sb="8" eb="10">
      <t>トホ</t>
    </rPh>
    <rPh sb="12" eb="13">
      <t>フン</t>
    </rPh>
    <phoneticPr fontId="2"/>
  </si>
  <si>
    <t>（一社）コーシェリ</t>
    <rPh sb="1" eb="3">
      <t>イッシャ</t>
    </rPh>
    <phoneticPr fontId="2"/>
  </si>
  <si>
    <t>生活介護事業所ヒュッゲ</t>
    <rPh sb="0" eb="7">
      <t>セイカツカイゴジギョウショ</t>
    </rPh>
    <phoneticPr fontId="2"/>
  </si>
  <si>
    <t>高島１９５</t>
    <rPh sb="0" eb="2">
      <t>タカシマ</t>
    </rPh>
    <phoneticPr fontId="2"/>
  </si>
  <si>
    <t>366-0100</t>
    <phoneticPr fontId="2"/>
  </si>
  <si>
    <t>070-8959-8789</t>
    <phoneticPr fontId="2"/>
  </si>
  <si>
    <t>JR高崎線熊谷駅から車２５分</t>
    <rPh sb="2" eb="5">
      <t>タカサキセン</t>
    </rPh>
    <rPh sb="5" eb="7">
      <t>クマガヤ</t>
    </rPh>
    <rPh sb="7" eb="8">
      <t>エキ</t>
    </rPh>
    <rPh sb="10" eb="11">
      <t>クルマ</t>
    </rPh>
    <rPh sb="13" eb="14">
      <t>フン</t>
    </rPh>
    <phoneticPr fontId="2"/>
  </si>
  <si>
    <t>(福)親和会</t>
    <rPh sb="1" eb="2">
      <t>フク</t>
    </rPh>
    <rPh sb="3" eb="6">
      <t>シンワカイ</t>
    </rPh>
    <phoneticPr fontId="2"/>
  </si>
  <si>
    <t>千寿里　短期入所生活介護事業所</t>
    <rPh sb="0" eb="2">
      <t>センジュ</t>
    </rPh>
    <rPh sb="2" eb="3">
      <t>サト</t>
    </rPh>
    <rPh sb="4" eb="8">
      <t>タンキニュウショ</t>
    </rPh>
    <rPh sb="8" eb="12">
      <t>セイカツカイゴ</t>
    </rPh>
    <rPh sb="12" eb="15">
      <t>ジギョウショ</t>
    </rPh>
    <phoneticPr fontId="2"/>
  </si>
  <si>
    <t>坂之下字丙明改原1153番1</t>
    <rPh sb="0" eb="3">
      <t>サカノシタ</t>
    </rPh>
    <rPh sb="3" eb="4">
      <t>アザ</t>
    </rPh>
    <rPh sb="4" eb="5">
      <t>ヘイ</t>
    </rPh>
    <rPh sb="5" eb="6">
      <t>メイ</t>
    </rPh>
    <rPh sb="6" eb="7">
      <t>カイ</t>
    </rPh>
    <rPh sb="7" eb="8">
      <t>ゲン</t>
    </rPh>
    <rPh sb="12" eb="13">
      <t>バン</t>
    </rPh>
    <phoneticPr fontId="2"/>
  </si>
  <si>
    <t>359-0012</t>
    <phoneticPr fontId="2"/>
  </si>
  <si>
    <t>04-2951-5811</t>
    <phoneticPr fontId="2"/>
  </si>
  <si>
    <t>04-2946-5188</t>
    <phoneticPr fontId="2"/>
  </si>
  <si>
    <t>西武池袋線所沢駅から西武バス「金比羅バス停」下車徒歩５分</t>
    <rPh sb="0" eb="5">
      <t>セイブイケブクロセン</t>
    </rPh>
    <rPh sb="5" eb="7">
      <t>トコロザワ</t>
    </rPh>
    <rPh sb="7" eb="8">
      <t>エキ</t>
    </rPh>
    <rPh sb="10" eb="12">
      <t>セイブ</t>
    </rPh>
    <rPh sb="15" eb="18">
      <t>コンピラ</t>
    </rPh>
    <rPh sb="20" eb="21">
      <t>テイ</t>
    </rPh>
    <rPh sb="22" eb="24">
      <t>ゲシャ</t>
    </rPh>
    <rPh sb="24" eb="26">
      <t>トホ</t>
    </rPh>
    <rPh sb="27" eb="28">
      <t>フン</t>
    </rPh>
    <phoneticPr fontId="2"/>
  </si>
  <si>
    <t>みのり</t>
    <phoneticPr fontId="2"/>
  </si>
  <si>
    <t>(株)Penguin Adventure</t>
    <rPh sb="0" eb="3">
      <t>カブ</t>
    </rPh>
    <phoneticPr fontId="2"/>
  </si>
  <si>
    <t>いちあん</t>
    <phoneticPr fontId="2"/>
  </si>
  <si>
    <t>旭町27-23</t>
    <rPh sb="0" eb="2">
      <t>アサヒチョウ</t>
    </rPh>
    <phoneticPr fontId="2"/>
  </si>
  <si>
    <t>359-0036</t>
    <phoneticPr fontId="2"/>
  </si>
  <si>
    <t>04-2941-6862</t>
    <phoneticPr fontId="2"/>
  </si>
  <si>
    <t>西武新宿線所沢駅徒歩10分</t>
    <rPh sb="0" eb="5">
      <t>セイブシンジュクセン</t>
    </rPh>
    <rPh sb="5" eb="8">
      <t>トコロザワエキ</t>
    </rPh>
    <rPh sb="8" eb="10">
      <t>トホ</t>
    </rPh>
    <rPh sb="12" eb="13">
      <t>フン</t>
    </rPh>
    <phoneticPr fontId="2"/>
  </si>
  <si>
    <t>入間川2-6-22 第2甲田ビル2F</t>
    <rPh sb="0" eb="2">
      <t>イルマ</t>
    </rPh>
    <rPh sb="2" eb="3">
      <t>ガワ</t>
    </rPh>
    <rPh sb="10" eb="11">
      <t>ダイ</t>
    </rPh>
    <rPh sb="12" eb="14">
      <t>コウダ</t>
    </rPh>
    <phoneticPr fontId="2"/>
  </si>
  <si>
    <t>下富1098-3</t>
    <rPh sb="0" eb="2">
      <t>シモトミ</t>
    </rPh>
    <phoneticPr fontId="2"/>
  </si>
  <si>
    <t>ウェルフェアD入間</t>
    <rPh sb="7" eb="9">
      <t>イルマ</t>
    </rPh>
    <phoneticPr fontId="2"/>
  </si>
  <si>
    <t>豊岡一丁目４番地の３７　ルルタワー５－４階</t>
    <rPh sb="0" eb="2">
      <t>トヨオカ</t>
    </rPh>
    <rPh sb="2" eb="5">
      <t>イッチョウメ</t>
    </rPh>
    <rPh sb="6" eb="8">
      <t>バンチ</t>
    </rPh>
    <rPh sb="20" eb="21">
      <t>カイ</t>
    </rPh>
    <phoneticPr fontId="2"/>
  </si>
  <si>
    <t>キャリア・サポート・パートナーズ上尾</t>
    <rPh sb="16" eb="18">
      <t>アゲオ</t>
    </rPh>
    <phoneticPr fontId="2"/>
  </si>
  <si>
    <t>上町一丁目１番１５号</t>
    <rPh sb="0" eb="2">
      <t>カミチョウ</t>
    </rPh>
    <rPh sb="2" eb="5">
      <t>イッチョウメ</t>
    </rPh>
    <rPh sb="6" eb="7">
      <t>バン</t>
    </rPh>
    <rPh sb="9" eb="10">
      <t>ゴウ</t>
    </rPh>
    <phoneticPr fontId="2"/>
  </si>
  <si>
    <t>362-0037</t>
    <phoneticPr fontId="2"/>
  </si>
  <si>
    <t>048-783-4593</t>
    <phoneticPr fontId="2"/>
  </si>
  <si>
    <t>048-783-4592</t>
    <phoneticPr fontId="2"/>
  </si>
  <si>
    <t>JR高崎線上尾駅から徒歩３分</t>
    <rPh sb="2" eb="5">
      <t>タカサキセン</t>
    </rPh>
    <rPh sb="5" eb="8">
      <t>アゲオエキ</t>
    </rPh>
    <rPh sb="10" eb="12">
      <t>トホ</t>
    </rPh>
    <rPh sb="13" eb="14">
      <t>フン</t>
    </rPh>
    <phoneticPr fontId="2"/>
  </si>
  <si>
    <t>（特非）あやの郷福祉会</t>
    <rPh sb="1" eb="3">
      <t>トクヒ</t>
    </rPh>
    <rPh sb="7" eb="8">
      <t>サト</t>
    </rPh>
    <rPh sb="8" eb="11">
      <t>フクシカイ</t>
    </rPh>
    <phoneticPr fontId="2"/>
  </si>
  <si>
    <t>短期入所クライス上尾西宮下</t>
    <rPh sb="0" eb="4">
      <t>タンキニュウショ</t>
    </rPh>
    <rPh sb="8" eb="10">
      <t>アゲオ</t>
    </rPh>
    <rPh sb="10" eb="13">
      <t>ニシミヤシタ</t>
    </rPh>
    <phoneticPr fontId="5"/>
  </si>
  <si>
    <t>西宮下３－６９</t>
    <rPh sb="0" eb="3">
      <t>ニシミヤシタ</t>
    </rPh>
    <phoneticPr fontId="1"/>
  </si>
  <si>
    <t>362-0043</t>
    <phoneticPr fontId="2"/>
  </si>
  <si>
    <t>044-244-5782</t>
    <phoneticPr fontId="2"/>
  </si>
  <si>
    <t>044-244-5783</t>
    <phoneticPr fontId="2"/>
  </si>
  <si>
    <t>JR高崎線上尾駅から徒歩１９分</t>
    <rPh sb="2" eb="5">
      <t>タカサキセン</t>
    </rPh>
    <rPh sb="5" eb="8">
      <t>アゲオエキ</t>
    </rPh>
    <rPh sb="10" eb="12">
      <t>トホ</t>
    </rPh>
    <rPh sb="14" eb="15">
      <t>フン</t>
    </rPh>
    <phoneticPr fontId="2"/>
  </si>
  <si>
    <t>ステップアップ上尾</t>
    <rPh sb="7" eb="9">
      <t>アゲオ</t>
    </rPh>
    <phoneticPr fontId="2"/>
  </si>
  <si>
    <t>大谷本郷716</t>
    <rPh sb="0" eb="2">
      <t>オオタニ</t>
    </rPh>
    <rPh sb="2" eb="4">
      <t>ホンゴウ</t>
    </rPh>
    <phoneticPr fontId="2"/>
  </si>
  <si>
    <t>048-871-7795</t>
    <phoneticPr fontId="2"/>
  </si>
  <si>
    <t>048-871-7796</t>
    <phoneticPr fontId="2"/>
  </si>
  <si>
    <t>ＪＲ高崎線上尾駅から東武バス「大谷小学校」から徒歩１分</t>
    <rPh sb="2" eb="4">
      <t>タカサキ</t>
    </rPh>
    <rPh sb="4" eb="5">
      <t>セン</t>
    </rPh>
    <rPh sb="5" eb="7">
      <t>アゲオ</t>
    </rPh>
    <rPh sb="7" eb="8">
      <t>エキ</t>
    </rPh>
    <rPh sb="10" eb="12">
      <t>トウブ</t>
    </rPh>
    <rPh sb="15" eb="20">
      <t>オオタニショウガッコウ</t>
    </rPh>
    <rPh sb="23" eb="25">
      <t>トホ</t>
    </rPh>
    <rPh sb="26" eb="27">
      <t>フン</t>
    </rPh>
    <phoneticPr fontId="2"/>
  </si>
  <si>
    <t>やじろべえ</t>
    <phoneticPr fontId="2"/>
  </si>
  <si>
    <t>地頭方449-45</t>
    <rPh sb="0" eb="3">
      <t>ジトウカタ</t>
    </rPh>
    <phoneticPr fontId="2"/>
  </si>
  <si>
    <t>362-0051</t>
    <phoneticPr fontId="2"/>
  </si>
  <si>
    <t>048-788-1397</t>
    <phoneticPr fontId="2"/>
  </si>
  <si>
    <t>048-788-1398</t>
    <phoneticPr fontId="2"/>
  </si>
  <si>
    <t>JR高崎線上尾駅西口から徒歩13分</t>
    <rPh sb="2" eb="5">
      <t>タカサキセン</t>
    </rPh>
    <rPh sb="5" eb="8">
      <t>アゲオエキ</t>
    </rPh>
    <rPh sb="8" eb="10">
      <t>ニシグチ</t>
    </rPh>
    <rPh sb="12" eb="14">
      <t>トホ</t>
    </rPh>
    <rPh sb="16" eb="17">
      <t>フン</t>
    </rPh>
    <phoneticPr fontId="2"/>
  </si>
  <si>
    <t>川田谷5790</t>
    <rPh sb="0" eb="2">
      <t>カワタ</t>
    </rPh>
    <rPh sb="2" eb="3">
      <t>ヤ</t>
    </rPh>
    <phoneticPr fontId="2"/>
  </si>
  <si>
    <t>一本立ちの砦　笑城</t>
    <rPh sb="0" eb="3">
      <t>イッポンダ</t>
    </rPh>
    <rPh sb="5" eb="6">
      <t>トリデ</t>
    </rPh>
    <rPh sb="7" eb="8">
      <t>ワラ</t>
    </rPh>
    <rPh sb="8" eb="9">
      <t>シロ</t>
    </rPh>
    <phoneticPr fontId="2"/>
  </si>
  <si>
    <t>荒川上田野４４５番地１</t>
    <rPh sb="0" eb="2">
      <t>アラカワ</t>
    </rPh>
    <rPh sb="2" eb="4">
      <t>ウエダ</t>
    </rPh>
    <rPh sb="4" eb="5">
      <t>ノ</t>
    </rPh>
    <rPh sb="8" eb="10">
      <t>バンチ</t>
    </rPh>
    <phoneticPr fontId="2"/>
  </si>
  <si>
    <t>秩父鉄道「武州中川」下車徒歩１５分</t>
    <rPh sb="0" eb="4">
      <t>チチブテツドウ</t>
    </rPh>
    <rPh sb="5" eb="6">
      <t>ブ</t>
    </rPh>
    <rPh sb="6" eb="7">
      <t>ス</t>
    </rPh>
    <rPh sb="7" eb="9">
      <t>ナカガワ</t>
    </rPh>
    <rPh sb="10" eb="12">
      <t>ゲシャ</t>
    </rPh>
    <rPh sb="12" eb="14">
      <t>トホ</t>
    </rPh>
    <rPh sb="16" eb="17">
      <t>フン</t>
    </rPh>
    <phoneticPr fontId="2"/>
  </si>
  <si>
    <t>（一社）やまび子</t>
    <rPh sb="1" eb="3">
      <t>イッシャ</t>
    </rPh>
    <rPh sb="7" eb="8">
      <t>コ</t>
    </rPh>
    <phoneticPr fontId="2"/>
  </si>
  <si>
    <t>多機能型事業所　オークツリー</t>
    <phoneticPr fontId="2"/>
  </si>
  <si>
    <t>大里郡寄居町</t>
    <rPh sb="0" eb="6">
      <t>オオサトグンヨリイマチ</t>
    </rPh>
    <phoneticPr fontId="2"/>
  </si>
  <si>
    <t>用土１８７１－２</t>
    <rPh sb="0" eb="2">
      <t>ヨウド</t>
    </rPh>
    <phoneticPr fontId="2"/>
  </si>
  <si>
    <t>369-1201</t>
    <phoneticPr fontId="2"/>
  </si>
  <si>
    <t>JR八高線「用土」下車徒歩７分</t>
    <rPh sb="2" eb="3">
      <t>ハチ</t>
    </rPh>
    <rPh sb="3" eb="4">
      <t>タカ</t>
    </rPh>
    <rPh sb="4" eb="5">
      <t>セン</t>
    </rPh>
    <rPh sb="6" eb="8">
      <t>ヨウド</t>
    </rPh>
    <rPh sb="9" eb="11">
      <t>ゲシャ</t>
    </rPh>
    <rPh sb="11" eb="13">
      <t>トホ</t>
    </rPh>
    <rPh sb="14" eb="15">
      <t>フン</t>
    </rPh>
    <phoneticPr fontId="2"/>
  </si>
  <si>
    <t>生活介護事業所　アプリケアワークス上福岡駅西口</t>
    <rPh sb="0" eb="7">
      <t>セイカツカイゴジギョウショ</t>
    </rPh>
    <rPh sb="17" eb="20">
      <t>カミフクオカ</t>
    </rPh>
    <rPh sb="20" eb="21">
      <t>エキ</t>
    </rPh>
    <rPh sb="21" eb="23">
      <t>ニシグチ</t>
    </rPh>
    <phoneticPr fontId="2"/>
  </si>
  <si>
    <t>西二丁目１－２５
上福岡大竹ビル</t>
    <rPh sb="0" eb="1">
      <t>ニシ</t>
    </rPh>
    <rPh sb="1" eb="4">
      <t>ニチョウメ</t>
    </rPh>
    <rPh sb="9" eb="12">
      <t>カミフクオカ</t>
    </rPh>
    <rPh sb="12" eb="14">
      <t>オオタケ</t>
    </rPh>
    <phoneticPr fontId="2"/>
  </si>
  <si>
    <t>356-0005</t>
    <phoneticPr fontId="2"/>
  </si>
  <si>
    <t>049-257-4926</t>
    <phoneticPr fontId="2"/>
  </si>
  <si>
    <t>049-257-4927</t>
    <phoneticPr fontId="2"/>
  </si>
  <si>
    <t>東部東上線上福岡駅西口徒歩５分</t>
    <rPh sb="0" eb="2">
      <t>トウブ</t>
    </rPh>
    <rPh sb="2" eb="5">
      <t>トウジョウセン</t>
    </rPh>
    <rPh sb="5" eb="8">
      <t>カミフクオカ</t>
    </rPh>
    <rPh sb="8" eb="9">
      <t>エキ</t>
    </rPh>
    <rPh sb="9" eb="11">
      <t>ニシグチ</t>
    </rPh>
    <rPh sb="11" eb="13">
      <t>トホ</t>
    </rPh>
    <rPh sb="14" eb="15">
      <t>フン</t>
    </rPh>
    <phoneticPr fontId="2"/>
  </si>
  <si>
    <t>(医）富家会</t>
    <rPh sb="1" eb="2">
      <t>イ</t>
    </rPh>
    <rPh sb="3" eb="5">
      <t>フケ</t>
    </rPh>
    <rPh sb="5" eb="6">
      <t>カイ</t>
    </rPh>
    <phoneticPr fontId="2"/>
  </si>
  <si>
    <t>富家病院</t>
    <rPh sb="0" eb="4">
      <t>フケビョウイン</t>
    </rPh>
    <phoneticPr fontId="2"/>
  </si>
  <si>
    <t>亀久保2197</t>
    <rPh sb="0" eb="3">
      <t>カメクボ</t>
    </rPh>
    <phoneticPr fontId="2"/>
  </si>
  <si>
    <t>356-0051</t>
    <phoneticPr fontId="2"/>
  </si>
  <si>
    <t>049-264-8811</t>
    <phoneticPr fontId="2"/>
  </si>
  <si>
    <t>049-266-2287</t>
    <phoneticPr fontId="2"/>
  </si>
  <si>
    <t>東武東上線上福岡駅より西武バス「富家病院」下車徒歩12分
※病院の空床利用　医療型短期入所</t>
    <rPh sb="23" eb="25">
      <t>トホ</t>
    </rPh>
    <rPh sb="30" eb="32">
      <t>ビョウイン</t>
    </rPh>
    <rPh sb="38" eb="40">
      <t>イリョウ</t>
    </rPh>
    <rPh sb="40" eb="41">
      <t>ガタ</t>
    </rPh>
    <rPh sb="41" eb="43">
      <t>タンキ</t>
    </rPh>
    <rPh sb="43" eb="45">
      <t>ニュウショ</t>
    </rPh>
    <phoneticPr fontId="2"/>
  </si>
  <si>
    <t>重症児者デイサービスえん</t>
    <rPh sb="0" eb="4">
      <t>ジュウショウジシャ</t>
    </rPh>
    <phoneticPr fontId="2"/>
  </si>
  <si>
    <t>大里731-1</t>
    <rPh sb="0" eb="2">
      <t>オオサト</t>
    </rPh>
    <phoneticPr fontId="2"/>
  </si>
  <si>
    <t>048-940-7421</t>
    <phoneticPr fontId="2"/>
  </si>
  <si>
    <t>東武スカイツリーライン大袋駅から徒歩10分</t>
    <rPh sb="0" eb="2">
      <t>トウブ</t>
    </rPh>
    <rPh sb="11" eb="14">
      <t>オオブクロエキ</t>
    </rPh>
    <rPh sb="16" eb="18">
      <t>トホ</t>
    </rPh>
    <rPh sb="20" eb="21">
      <t>プン</t>
    </rPh>
    <phoneticPr fontId="2"/>
  </si>
  <si>
    <t>就労支援のウェリット</t>
  </si>
  <si>
    <t>大宮区桜木町４－１２３－３　コーラル大宮２０１</t>
  </si>
  <si>
    <t>070-8408-6636</t>
  </si>
  <si>
    <t>03-3388-4069</t>
  </si>
  <si>
    <t>JR大宮駅徒歩９分</t>
    <rPh sb="2" eb="4">
      <t>オオミヤ</t>
    </rPh>
    <rPh sb="4" eb="5">
      <t>エキ</t>
    </rPh>
    <rPh sb="5" eb="7">
      <t>トホ</t>
    </rPh>
    <rPh sb="8" eb="9">
      <t>フン</t>
    </rPh>
    <phoneticPr fontId="2"/>
  </si>
  <si>
    <t>さいたま新都心駅西口から北浦和駅西口行国際興業バス「内道」下車徒歩3分　従たる事業所 中央区円阿弥１－３－１５ 鴻沼福祉会館１階</t>
    <rPh sb="4" eb="7">
      <t>シントシン</t>
    </rPh>
    <phoneticPr fontId="2"/>
  </si>
  <si>
    <t>かなうラボ大宮三橋</t>
    <rPh sb="5" eb="7">
      <t>おおみや</t>
    </rPh>
    <rPh sb="7" eb="9">
      <t>みはし</t>
    </rPh>
    <phoneticPr fontId="2" type="Hiragana"/>
  </si>
  <si>
    <t>かなうラボ北浦和駅前</t>
    <rPh sb="5" eb="8">
      <t>きたうらわ</t>
    </rPh>
    <rPh sb="8" eb="9">
      <t>えき</t>
    </rPh>
    <rPh sb="9" eb="10">
      <t>まえ</t>
    </rPh>
    <phoneticPr fontId="5" type="Hiragana"/>
  </si>
  <si>
    <t>かなうラボ浦和・県庁前</t>
    <rPh sb="5" eb="7">
      <t>ウラワ</t>
    </rPh>
    <rPh sb="8" eb="10">
      <t>ケンチョウ</t>
    </rPh>
    <rPh sb="10" eb="11">
      <t>マエ</t>
    </rPh>
    <phoneticPr fontId="4"/>
  </si>
  <si>
    <t>やまぶき川越</t>
    <rPh sb="4" eb="6">
      <t>カワゴエ</t>
    </rPh>
    <phoneticPr fontId="33"/>
  </si>
  <si>
    <t>川越市</t>
    <rPh sb="0" eb="3">
      <t>カワゴエシ</t>
    </rPh>
    <phoneticPr fontId="33"/>
  </si>
  <si>
    <t>菅原町２３－６　TS川越ビル４F</t>
    <rPh sb="0" eb="3">
      <t>スガワラマチ</t>
    </rPh>
    <rPh sb="10" eb="12">
      <t>カワゴエ</t>
    </rPh>
    <phoneticPr fontId="33"/>
  </si>
  <si>
    <t>JR・東武東上線川越駅徒歩4分</t>
    <rPh sb="3" eb="8">
      <t>トウブトウジョウセン</t>
    </rPh>
    <rPh sb="8" eb="10">
      <t>カワゴエ</t>
    </rPh>
    <rPh sb="10" eb="11">
      <t>エキ</t>
    </rPh>
    <rPh sb="11" eb="13">
      <t>トホ</t>
    </rPh>
    <rPh sb="14" eb="15">
      <t>フン</t>
    </rPh>
    <phoneticPr fontId="33"/>
  </si>
  <si>
    <t>コレット</t>
  </si>
  <si>
    <t>石原町１－２７－２　アルカディア岸107</t>
    <rPh sb="0" eb="3">
      <t>イシハラマチ</t>
    </rPh>
    <rPh sb="16" eb="17">
      <t>キシ</t>
    </rPh>
    <phoneticPr fontId="33"/>
  </si>
  <si>
    <t>350-0024</t>
  </si>
  <si>
    <t>049-298-8496</t>
  </si>
  <si>
    <t>東武バスウエスト　石原町西バス停下車徒歩３分</t>
    <rPh sb="9" eb="11">
      <t>イシハラ</t>
    </rPh>
    <rPh sb="11" eb="12">
      <t>マチ</t>
    </rPh>
    <rPh sb="12" eb="13">
      <t>ニシ</t>
    </rPh>
    <rPh sb="15" eb="16">
      <t>テイ</t>
    </rPh>
    <rPh sb="16" eb="18">
      <t>ゲシャ</t>
    </rPh>
    <rPh sb="18" eb="20">
      <t>トホ</t>
    </rPh>
    <rPh sb="21" eb="22">
      <t>フン</t>
    </rPh>
    <phoneticPr fontId="33"/>
  </si>
  <si>
    <t>鯨井新田６－１第３今泉ビル１階</t>
    <rPh sb="0" eb="4">
      <t>クジライシンデン</t>
    </rPh>
    <rPh sb="7" eb="8">
      <t>ダイ</t>
    </rPh>
    <rPh sb="9" eb="11">
      <t>イマイズミ</t>
    </rPh>
    <rPh sb="14" eb="15">
      <t>カイ</t>
    </rPh>
    <phoneticPr fontId="33"/>
  </si>
  <si>
    <t>鶴ヶ島駅から徒歩３分</t>
    <rPh sb="0" eb="3">
      <t>ツルガシマ</t>
    </rPh>
    <rPh sb="3" eb="4">
      <t>エキ</t>
    </rPh>
    <rPh sb="6" eb="8">
      <t>トホ</t>
    </rPh>
    <rPh sb="9" eb="10">
      <t>フン</t>
    </rPh>
    <phoneticPr fontId="1"/>
  </si>
  <si>
    <t>350-1305</t>
  </si>
  <si>
    <t>04-2946-8934</t>
  </si>
  <si>
    <t>04-2946-9698</t>
  </si>
  <si>
    <t>358-0003</t>
  </si>
  <si>
    <t>04-2968-9063</t>
  </si>
  <si>
    <t>04-2968-9065</t>
  </si>
  <si>
    <t>就労継続支援Ｂ型事業所　ひいらぎ</t>
  </si>
  <si>
    <t>きよみ野三丁目１３番地４２</t>
    <rPh sb="3" eb="4">
      <t>ノ</t>
    </rPh>
    <rPh sb="4" eb="5">
      <t>ミ</t>
    </rPh>
    <rPh sb="5" eb="7">
      <t>チョウメ</t>
    </rPh>
    <rPh sb="9" eb="11">
      <t>バンチ</t>
    </rPh>
    <phoneticPr fontId="2"/>
  </si>
  <si>
    <t>342-0058</t>
    <phoneticPr fontId="2"/>
  </si>
  <si>
    <t>048-919-2207</t>
    <phoneticPr fontId="2"/>
  </si>
  <si>
    <t>048-919-2210</t>
    <phoneticPr fontId="2"/>
  </si>
  <si>
    <t>JR武蔵野線吉川駅北口より東武バス「吉川きよみ野」」下車徒歩2分</t>
    <rPh sb="2" eb="6">
      <t>ムサシノセン</t>
    </rPh>
    <rPh sb="6" eb="9">
      <t>ヨシカワエキ</t>
    </rPh>
    <rPh sb="9" eb="11">
      <t>キタグチ</t>
    </rPh>
    <rPh sb="13" eb="15">
      <t>トウブ</t>
    </rPh>
    <rPh sb="18" eb="20">
      <t>ヨシカワ</t>
    </rPh>
    <rPh sb="23" eb="24">
      <t>ノ</t>
    </rPh>
    <rPh sb="26" eb="28">
      <t>ゲシャ</t>
    </rPh>
    <rPh sb="28" eb="30">
      <t>トホ</t>
    </rPh>
    <rPh sb="31" eb="32">
      <t>フン</t>
    </rPh>
    <phoneticPr fontId="2"/>
  </si>
  <si>
    <t>Cocorport 久喜駅前Office</t>
    <phoneticPr fontId="2"/>
  </si>
  <si>
    <t>久喜東１－２－２　フジタ第12ビル　2階　202号室</t>
    <rPh sb="0" eb="2">
      <t>クキ</t>
    </rPh>
    <rPh sb="2" eb="3">
      <t>ヒガシ</t>
    </rPh>
    <rPh sb="12" eb="13">
      <t>ダイ</t>
    </rPh>
    <rPh sb="19" eb="20">
      <t>カイ</t>
    </rPh>
    <rPh sb="24" eb="26">
      <t>ゴウシツ</t>
    </rPh>
    <phoneticPr fontId="2"/>
  </si>
  <si>
    <t>0480-37-8283</t>
    <phoneticPr fontId="2"/>
  </si>
  <si>
    <t>0480-37-8286</t>
    <phoneticPr fontId="2"/>
  </si>
  <si>
    <t>JR宇都宮線・東武伊勢崎線久喜駅東口徒歩１分</t>
    <rPh sb="2" eb="6">
      <t>ウツノミヤセン</t>
    </rPh>
    <rPh sb="7" eb="9">
      <t>トウブ</t>
    </rPh>
    <rPh sb="9" eb="12">
      <t>イセザキ</t>
    </rPh>
    <rPh sb="12" eb="13">
      <t>セン</t>
    </rPh>
    <rPh sb="13" eb="16">
      <t>クキエキ</t>
    </rPh>
    <rPh sb="16" eb="18">
      <t>ヒガシグチ</t>
    </rPh>
    <rPh sb="18" eb="20">
      <t>トホ</t>
    </rPh>
    <rPh sb="21" eb="22">
      <t>プン</t>
    </rPh>
    <phoneticPr fontId="2"/>
  </si>
  <si>
    <t>デイズ　吉川なかそね</t>
    <rPh sb="4" eb="6">
      <t>ヨシカワ</t>
    </rPh>
    <phoneticPr fontId="2"/>
  </si>
  <si>
    <t>342-0033</t>
  </si>
  <si>
    <t>048-984-7114</t>
  </si>
  <si>
    <t>デイズ　三郷こまがた</t>
    <rPh sb="4" eb="6">
      <t>ミサト</t>
    </rPh>
    <phoneticPr fontId="2"/>
  </si>
  <si>
    <t>三郷市</t>
    <phoneticPr fontId="2"/>
  </si>
  <si>
    <t>駒形１０５－２</t>
    <rPh sb="0" eb="2">
      <t>コマガタ</t>
    </rPh>
    <phoneticPr fontId="2"/>
  </si>
  <si>
    <t>341-0008</t>
    <phoneticPr fontId="2"/>
  </si>
  <si>
    <t>048-969-4895</t>
    <phoneticPr fontId="2"/>
  </si>
  <si>
    <t>048-969-4896</t>
    <phoneticPr fontId="2"/>
  </si>
  <si>
    <t>JR武蔵野線新三郷駅から徒歩20分</t>
    <rPh sb="2" eb="5">
      <t>ムサシノ</t>
    </rPh>
    <rPh sb="5" eb="6">
      <t>セン</t>
    </rPh>
    <rPh sb="6" eb="10">
      <t>シンミサトエキ</t>
    </rPh>
    <rPh sb="12" eb="14">
      <t>トホ</t>
    </rPh>
    <rPh sb="16" eb="17">
      <t>フン</t>
    </rPh>
    <phoneticPr fontId="2"/>
  </si>
  <si>
    <t>ユースタイルラボラトリー（株）</t>
    <rPh sb="12" eb="13">
      <t>カブ</t>
    </rPh>
    <phoneticPr fontId="2"/>
  </si>
  <si>
    <t>ユースタイルホーム加須花崎 短期入所</t>
    <rPh sb="9" eb="13">
      <t>かぞはなさき</t>
    </rPh>
    <rPh sb="14" eb="18">
      <t>たんきにゅうしょ</t>
    </rPh>
    <phoneticPr fontId="2" type="Hiragana"/>
  </si>
  <si>
    <t>加須市</t>
    <rPh sb="0" eb="3">
      <t>かぞし</t>
    </rPh>
    <phoneticPr fontId="2" type="Hiragana"/>
  </si>
  <si>
    <t>花崎３丁目１２－８</t>
    <rPh sb="0" eb="2">
      <t>はなさき</t>
    </rPh>
    <rPh sb="3" eb="5">
      <t>ちょうめ</t>
    </rPh>
    <phoneticPr fontId="2" type="Hiragana"/>
  </si>
  <si>
    <t>050-6883-7975</t>
    <phoneticPr fontId="2" type="Hiragana"/>
  </si>
  <si>
    <t>ケアパートナー(株)</t>
    <rPh sb="8" eb="9">
      <t>カブ</t>
    </rPh>
    <phoneticPr fontId="2"/>
  </si>
  <si>
    <t>パートナーガーデン春日部</t>
  </si>
  <si>
    <t>栄町2丁目278-1</t>
  </si>
  <si>
    <t>344-0058</t>
  </si>
  <si>
    <t>048-793-4821</t>
  </si>
  <si>
    <t>東武スカイツリーライン北春日部駅 徒歩11分.
※共同生活援助との併設</t>
    <rPh sb="0" eb="2">
      <t>トウブ</t>
    </rPh>
    <rPh sb="11" eb="15">
      <t>キタカスカベ</t>
    </rPh>
    <rPh sb="15" eb="16">
      <t>エキ</t>
    </rPh>
    <rPh sb="17" eb="19">
      <t>トホ</t>
    </rPh>
    <rPh sb="21" eb="22">
      <t>フン</t>
    </rPh>
    <phoneticPr fontId="2"/>
  </si>
  <si>
    <t>グループホームぬく森</t>
  </si>
  <si>
    <t>365-0036</t>
  </si>
  <si>
    <t>048-501-7096</t>
  </si>
  <si>
    <t>JP高崎線鴻巣駅 徒歩16分
※共同生活援助の空床利用</t>
    <rPh sb="2" eb="5">
      <t>タカサキセン</t>
    </rPh>
    <rPh sb="5" eb="8">
      <t>コウノスエキ</t>
    </rPh>
    <rPh sb="9" eb="11">
      <t>トホ</t>
    </rPh>
    <rPh sb="13" eb="14">
      <t>フン</t>
    </rPh>
    <phoneticPr fontId="2"/>
  </si>
  <si>
    <t>グループホームイノベル深谷</t>
    <rPh sb="11" eb="13">
      <t>フカヤ</t>
    </rPh>
    <phoneticPr fontId="2"/>
  </si>
  <si>
    <t>岡2546番地2</t>
  </si>
  <si>
    <t>369-0201</t>
  </si>
  <si>
    <t>048-594-7813</t>
  </si>
  <si>
    <t>048-594-7814</t>
  </si>
  <si>
    <t>ビーハウス鶴ヶ島</t>
  </si>
  <si>
    <t>新町4-4-14</t>
  </si>
  <si>
    <t>350-2227</t>
  </si>
  <si>
    <t>049-299-8890</t>
  </si>
  <si>
    <t>049-272-4413</t>
  </si>
  <si>
    <t>東武越生線一本松駅徒歩１４分</t>
    <rPh sb="0" eb="2">
      <t>トウブ</t>
    </rPh>
    <rPh sb="2" eb="5">
      <t>オゴセセン</t>
    </rPh>
    <rPh sb="5" eb="9">
      <t>イッポンマツエキ</t>
    </rPh>
    <rPh sb="9" eb="11">
      <t>トホ</t>
    </rPh>
    <rPh sb="13" eb="14">
      <t>フン</t>
    </rPh>
    <phoneticPr fontId="2"/>
  </si>
  <si>
    <t>北永井３８１番地３</t>
    <rPh sb="0" eb="1">
      <t>キタ</t>
    </rPh>
    <rPh sb="1" eb="3">
      <t>ナガイ</t>
    </rPh>
    <rPh sb="6" eb="8">
      <t>バンチ</t>
    </rPh>
    <phoneticPr fontId="2"/>
  </si>
  <si>
    <t>ＬＩＴＡＬＩＣＯワークス草加</t>
    <rPh sb="12" eb="14">
      <t>ソウカ</t>
    </rPh>
    <phoneticPr fontId="2"/>
  </si>
  <si>
    <t>ありすば工房</t>
    <rPh sb="4" eb="6">
      <t>コウボウ</t>
    </rPh>
    <phoneticPr fontId="2"/>
  </si>
  <si>
    <t>大宮区三橋１－４０８－２階</t>
    <phoneticPr fontId="2"/>
  </si>
  <si>
    <t>330-0856</t>
    <phoneticPr fontId="2"/>
  </si>
  <si>
    <t>050-3200-8261</t>
    <phoneticPr fontId="2"/>
  </si>
  <si>
    <t>JR大宮駅西口よりバス５分櫛引南下車
櫛引南停留所より徒歩６分</t>
    <rPh sb="2" eb="5">
      <t>オオミヤエキ</t>
    </rPh>
    <rPh sb="5" eb="7">
      <t>ニシグチ</t>
    </rPh>
    <rPh sb="12" eb="13">
      <t>フン</t>
    </rPh>
    <rPh sb="13" eb="14">
      <t>クシ</t>
    </rPh>
    <rPh sb="14" eb="15">
      <t>ヒ</t>
    </rPh>
    <rPh sb="15" eb="16">
      <t>ミナミ</t>
    </rPh>
    <rPh sb="16" eb="18">
      <t>ゲシャ</t>
    </rPh>
    <rPh sb="19" eb="20">
      <t>クシ</t>
    </rPh>
    <rPh sb="20" eb="21">
      <t>ヒ</t>
    </rPh>
    <rPh sb="21" eb="22">
      <t>ミナミ</t>
    </rPh>
    <rPh sb="22" eb="25">
      <t>テイリュウジョ</t>
    </rPh>
    <rPh sb="27" eb="29">
      <t>トホ</t>
    </rPh>
    <rPh sb="30" eb="31">
      <t>フン</t>
    </rPh>
    <phoneticPr fontId="2"/>
  </si>
  <si>
    <t>リハスワーク南浦和</t>
    <rPh sb="6" eb="9">
      <t>ミナミウラワ</t>
    </rPh>
    <phoneticPr fontId="2"/>
  </si>
  <si>
    <t>南区南本町１－１６－７第二小池ビル１階</t>
    <rPh sb="0" eb="2">
      <t>ミナミク</t>
    </rPh>
    <rPh sb="2" eb="3">
      <t>ミナミ</t>
    </rPh>
    <rPh sb="3" eb="5">
      <t>ホンチョウ</t>
    </rPh>
    <rPh sb="11" eb="13">
      <t>ダイニ</t>
    </rPh>
    <rPh sb="13" eb="15">
      <t>コイケ</t>
    </rPh>
    <rPh sb="18" eb="19">
      <t>カイ</t>
    </rPh>
    <phoneticPr fontId="2"/>
  </si>
  <si>
    <t>336-0018</t>
    <phoneticPr fontId="2"/>
  </si>
  <si>
    <t>070-3338-8681</t>
    <phoneticPr fontId="2"/>
  </si>
  <si>
    <t>076-220-7258</t>
    <phoneticPr fontId="2"/>
  </si>
  <si>
    <t>JR南浦和駅より徒歩５分</t>
    <rPh sb="2" eb="6">
      <t>ミナミウラワエキ</t>
    </rPh>
    <rPh sb="8" eb="10">
      <t>トホ</t>
    </rPh>
    <rPh sb="11" eb="12">
      <t>フン</t>
    </rPh>
    <phoneticPr fontId="2"/>
  </si>
  <si>
    <t>ジョブポイントらいく・ゆー　南浦和</t>
    <rPh sb="14" eb="17">
      <t>ミナミウラワ</t>
    </rPh>
    <phoneticPr fontId="2"/>
  </si>
  <si>
    <t>南区南本町１－５－７　ルアンビル１、２階</t>
    <phoneticPr fontId="2"/>
  </si>
  <si>
    <t>336-0018</t>
  </si>
  <si>
    <t>048-762-6375</t>
  </si>
  <si>
    <t>048-762-6385</t>
  </si>
  <si>
    <t>JR南浦和駅より徒歩２分</t>
    <rPh sb="2" eb="6">
      <t>ミナミウラワエキ</t>
    </rPh>
    <rPh sb="8" eb="10">
      <t>トホ</t>
    </rPh>
    <rPh sb="11" eb="12">
      <t>フン</t>
    </rPh>
    <phoneticPr fontId="2"/>
  </si>
  <si>
    <t>さいたま市</t>
    <rPh sb="2" eb="3">
      <t>シ</t>
    </rPh>
    <phoneticPr fontId="2"/>
  </si>
  <si>
    <t>大宮区北袋町２－４２４　コーフク本社ビル</t>
  </si>
  <si>
    <t>080-4205-5985</t>
  </si>
  <si>
    <t>JR与野駅より徒歩16分</t>
    <rPh sb="2" eb="4">
      <t>ヨノ</t>
    </rPh>
    <rPh sb="4" eb="5">
      <t>エキ</t>
    </rPh>
    <rPh sb="7" eb="9">
      <t>トホ</t>
    </rPh>
    <rPh sb="11" eb="12">
      <t>フン</t>
    </rPh>
    <phoneticPr fontId="2"/>
  </si>
  <si>
    <t>ウェリナ</t>
  </si>
  <si>
    <t>ＪＲ指扇駅から徒歩12分　定員：主たる10人、従たる30人
従たる事業所：ウェリナ川越（川越市小仙波６８７－１、
川越駅東口から西武バス乗車「仙波下」バス亭下車徒歩８分）</t>
    <rPh sb="2" eb="4">
      <t>サシオウギ</t>
    </rPh>
    <rPh sb="4" eb="5">
      <t>エキ</t>
    </rPh>
    <rPh sb="7" eb="9">
      <t>トホ</t>
    </rPh>
    <rPh sb="11" eb="12">
      <t>フン</t>
    </rPh>
    <phoneticPr fontId="37"/>
  </si>
  <si>
    <t>リバイブ川越</t>
    <rPh sb="4" eb="6">
      <t>カワゴエ</t>
    </rPh>
    <phoneticPr fontId="33"/>
  </si>
  <si>
    <t>川越市</t>
    <rPh sb="0" eb="3">
      <t>カワゴエシ</t>
    </rPh>
    <phoneticPr fontId="33"/>
  </si>
  <si>
    <t>新富町2-7-1　新富町伊勢原第３ビル　２FA</t>
    <rPh sb="0" eb="3">
      <t>シントミチョウ</t>
    </rPh>
    <rPh sb="9" eb="12">
      <t>シントミチョウ</t>
    </rPh>
    <rPh sb="12" eb="15">
      <t>イセハラ</t>
    </rPh>
    <rPh sb="15" eb="16">
      <t>ダイ</t>
    </rPh>
    <phoneticPr fontId="33"/>
  </si>
  <si>
    <t>049-298-4810</t>
  </si>
  <si>
    <t>049-298--4810</t>
  </si>
  <si>
    <t>西武新宿線本川越駅より徒歩５分</t>
    <rPh sb="0" eb="5">
      <t>セイブシンジュクセン</t>
    </rPh>
    <rPh sb="4" eb="6">
      <t>ニシシンジュク</t>
    </rPh>
    <rPh sb="5" eb="8">
      <t>ホンカワゴエ</t>
    </rPh>
    <rPh sb="8" eb="9">
      <t>エキ</t>
    </rPh>
    <rPh sb="11" eb="13">
      <t>トホ</t>
    </rPh>
    <rPh sb="14" eb="15">
      <t>フン</t>
    </rPh>
    <phoneticPr fontId="33"/>
  </si>
  <si>
    <t>いまふくグリーンハウス</t>
  </si>
  <si>
    <t>今福1111-8</t>
    <rPh sb="0" eb="2">
      <t>イマフク</t>
    </rPh>
    <phoneticPr fontId="33"/>
  </si>
  <si>
    <t>049-236-3083</t>
  </si>
  <si>
    <t>049-236-3085</t>
  </si>
  <si>
    <t>西武バスかすみ町バス停より徒歩７分</t>
    <rPh sb="0" eb="2">
      <t>セイブ</t>
    </rPh>
    <rPh sb="7" eb="8">
      <t>チョウ</t>
    </rPh>
    <rPh sb="10" eb="11">
      <t>テイ</t>
    </rPh>
    <rPh sb="13" eb="15">
      <t>トホ</t>
    </rPh>
    <rPh sb="16" eb="17">
      <t>フン</t>
    </rPh>
    <phoneticPr fontId="33"/>
  </si>
  <si>
    <t>049-298-6511</t>
    <phoneticPr fontId="2"/>
  </si>
  <si>
    <t>Wingsサポート</t>
  </si>
  <si>
    <t>川口市</t>
    <rPh sb="0" eb="2">
      <t>かわぐち</t>
    </rPh>
    <rPh sb="2" eb="3">
      <t>し</t>
    </rPh>
    <phoneticPr fontId="20" type="Hiragana"/>
  </si>
  <si>
    <t>333-0826</t>
  </si>
  <si>
    <t>048-299-4995</t>
  </si>
  <si>
    <t>048-299-4996</t>
  </si>
  <si>
    <t>（電車）埼玉高速鉄道新井宿駅から徒歩９分</t>
    <rPh sb="1" eb="3">
      <t>でんしゃ</t>
    </rPh>
    <rPh sb="4" eb="10">
      <t>さいたまこうそくてつどう</t>
    </rPh>
    <rPh sb="10" eb="12">
      <t>あらい</t>
    </rPh>
    <rPh sb="12" eb="13">
      <t>じゅく</t>
    </rPh>
    <rPh sb="13" eb="14">
      <t>えき</t>
    </rPh>
    <rPh sb="16" eb="18">
      <t>とほ</t>
    </rPh>
    <rPh sb="19" eb="20">
      <t>ふん</t>
    </rPh>
    <phoneticPr fontId="20" type="Hiragana"/>
  </si>
  <si>
    <t>(株)ハートカンパニー</t>
    <phoneticPr fontId="2"/>
  </si>
  <si>
    <t>天神２－４－３－３０２号室・３０３号室　アメニティ―パレスワタナベ</t>
    <phoneticPr fontId="2"/>
  </si>
  <si>
    <t>ビーサイドユー（株）</t>
    <phoneticPr fontId="2"/>
  </si>
  <si>
    <t>就労継続支援Ｂ型事業所ホクレア</t>
    <phoneticPr fontId="2"/>
  </si>
  <si>
    <t>上福岡１－７－２７
第２上福岡アサヒビル３階</t>
    <rPh sb="0" eb="3">
      <t>カミフクオカ</t>
    </rPh>
    <rPh sb="10" eb="11">
      <t>ダイ</t>
    </rPh>
    <rPh sb="12" eb="15">
      <t>カミフクオカ</t>
    </rPh>
    <rPh sb="21" eb="22">
      <t>カイ</t>
    </rPh>
    <phoneticPr fontId="2"/>
  </si>
  <si>
    <t>090-7418-3123</t>
    <phoneticPr fontId="2"/>
  </si>
  <si>
    <t>東部東上線上福岡駅より徒歩１分</t>
    <rPh sb="0" eb="2">
      <t>トウブ</t>
    </rPh>
    <rPh sb="2" eb="5">
      <t>トウジョウセン</t>
    </rPh>
    <rPh sb="5" eb="8">
      <t>カミフクオカ</t>
    </rPh>
    <rPh sb="8" eb="9">
      <t>エキ</t>
    </rPh>
    <rPh sb="11" eb="13">
      <t>トホ</t>
    </rPh>
    <rPh sb="14" eb="15">
      <t>フン</t>
    </rPh>
    <phoneticPr fontId="2"/>
  </si>
  <si>
    <t>くろす</t>
    <phoneticPr fontId="2"/>
  </si>
  <si>
    <t>049-258-0061</t>
    <phoneticPr fontId="2"/>
  </si>
  <si>
    <t>049-258-0989</t>
    <phoneticPr fontId="2"/>
  </si>
  <si>
    <t>リハスワーク朝霞</t>
    <rPh sb="6" eb="8">
      <t>アサカ</t>
    </rPh>
    <phoneticPr fontId="2"/>
  </si>
  <si>
    <t>ITグループ（株）</t>
    <rPh sb="7" eb="8">
      <t>カブ</t>
    </rPh>
    <phoneticPr fontId="2"/>
  </si>
  <si>
    <t>リバイブ熊谷</t>
    <rPh sb="4" eb="6">
      <t>クマガヤ</t>
    </rPh>
    <phoneticPr fontId="2"/>
  </si>
  <si>
    <t>桜木町１丁目９４FT熊谷南口駅前ビル</t>
    <rPh sb="0" eb="3">
      <t>サクラギチョウ</t>
    </rPh>
    <rPh sb="4" eb="6">
      <t>チョウメ</t>
    </rPh>
    <rPh sb="10" eb="12">
      <t>クマガヤ</t>
    </rPh>
    <rPh sb="12" eb="16">
      <t>ミナミグチエキマエ</t>
    </rPh>
    <phoneticPr fontId="2"/>
  </si>
  <si>
    <t>048-598-5272</t>
    <phoneticPr fontId="2"/>
  </si>
  <si>
    <t>JR高崎線「熊谷」駅から徒歩３分</t>
    <rPh sb="2" eb="5">
      <t>タカサキセン</t>
    </rPh>
    <rPh sb="6" eb="8">
      <t>クマガヤ</t>
    </rPh>
    <rPh sb="9" eb="10">
      <t>エキ</t>
    </rPh>
    <rPh sb="12" eb="14">
      <t>トホ</t>
    </rPh>
    <rPh sb="15" eb="16">
      <t>フン</t>
    </rPh>
    <phoneticPr fontId="2"/>
  </si>
  <si>
    <t>埼玉療育医療センター</t>
    <rPh sb="0" eb="2">
      <t>サイタマ</t>
    </rPh>
    <rPh sb="2" eb="3">
      <t>リョウ</t>
    </rPh>
    <rPh sb="4" eb="6">
      <t>イリョウ</t>
    </rPh>
    <phoneticPr fontId="2"/>
  </si>
  <si>
    <t>里山ファーム</t>
    <rPh sb="0" eb="2">
      <t>サトヤマ</t>
    </rPh>
    <phoneticPr fontId="2"/>
  </si>
  <si>
    <t>宇都宮線蓮田駅から国立東埼玉病院行朝日バス「久伊豆神社前」下車徒歩10分　従たる事業所：笹山512-1</t>
    <rPh sb="37" eb="38">
      <t>ジュウ</t>
    </rPh>
    <rPh sb="40" eb="43">
      <t>ジギョウショ</t>
    </rPh>
    <rPh sb="44" eb="46">
      <t>ササヤマ</t>
    </rPh>
    <phoneticPr fontId="2"/>
  </si>
  <si>
    <t>(一社)みつるくん</t>
  </si>
  <si>
    <t>ショートステイえがお</t>
  </si>
  <si>
    <t>阿須３５番地１</t>
  </si>
  <si>
    <t>357-0046</t>
  </si>
  <si>
    <t>080-9033-0033</t>
  </si>
  <si>
    <t>042-929-9309</t>
  </si>
  <si>
    <t>西武池袋線元加治駅下車徒歩２３分</t>
    <rPh sb="0" eb="5">
      <t>セイブイケブクロセン</t>
    </rPh>
    <rPh sb="5" eb="9">
      <t>モトカジエキ</t>
    </rPh>
    <rPh sb="9" eb="11">
      <t>ゲシャ</t>
    </rPh>
    <rPh sb="11" eb="13">
      <t>トホ</t>
    </rPh>
    <rPh sb="15" eb="16">
      <t>プン</t>
    </rPh>
    <phoneticPr fontId="2"/>
  </si>
  <si>
    <t>（株）neoplanet</t>
    <rPh sb="0" eb="3">
      <t>カブ</t>
    </rPh>
    <phoneticPr fontId="2"/>
  </si>
  <si>
    <t>就労継続支援Ｂ型事業所jupiter緑台事業所</t>
    <phoneticPr fontId="2"/>
  </si>
  <si>
    <t>緑台1丁目57番地6号</t>
    <phoneticPr fontId="2"/>
  </si>
  <si>
    <t>340-0151</t>
    <phoneticPr fontId="2"/>
  </si>
  <si>
    <t>0480-37-7848</t>
    <phoneticPr fontId="2"/>
  </si>
  <si>
    <t>0480-37-7849</t>
    <phoneticPr fontId="2"/>
  </si>
  <si>
    <t>東武日光線幸手駅東口より徒歩１５分</t>
    <rPh sb="0" eb="5">
      <t>トウブニッコウセン</t>
    </rPh>
    <rPh sb="5" eb="8">
      <t>サッテエキ</t>
    </rPh>
    <rPh sb="8" eb="10">
      <t>ヒガシグチ</t>
    </rPh>
    <rPh sb="12" eb="14">
      <t>トホ</t>
    </rPh>
    <rPh sb="16" eb="17">
      <t>フン</t>
    </rPh>
    <phoneticPr fontId="2"/>
  </si>
  <si>
    <t>（合）ビジョンファーム</t>
    <rPh sb="1" eb="2">
      <t>ゴウ</t>
    </rPh>
    <phoneticPr fontId="2"/>
  </si>
  <si>
    <t>One Step</t>
    <phoneticPr fontId="2"/>
  </si>
  <si>
    <t>中央４丁目１１－１　ハローリンクスビル</t>
  </si>
  <si>
    <t>090-1730-6409</t>
    <phoneticPr fontId="2"/>
  </si>
  <si>
    <t>つくばエクスプレス八潮駅北口からバス草加駅東口行き「諏訪神社前」下車徒歩７分</t>
    <rPh sb="9" eb="12">
      <t>ヤシオエキ</t>
    </rPh>
    <rPh sb="12" eb="14">
      <t>キタグチ</t>
    </rPh>
    <rPh sb="18" eb="24">
      <t>ソウカエキヒガシグチユ</t>
    </rPh>
    <rPh sb="26" eb="31">
      <t>スワジンジャマエ</t>
    </rPh>
    <rPh sb="32" eb="34">
      <t>ゲシャ</t>
    </rPh>
    <rPh sb="34" eb="36">
      <t>トホ</t>
    </rPh>
    <rPh sb="37" eb="38">
      <t>フン</t>
    </rPh>
    <phoneticPr fontId="2"/>
  </si>
  <si>
    <t>04-2993-0508</t>
    <phoneticPr fontId="2" type="Hiragana"/>
  </si>
  <si>
    <t>0480-53-5633</t>
    <phoneticPr fontId="2" type="Hiragana"/>
  </si>
  <si>
    <t>ウーリー北本</t>
    <rPh sb="4" eb="6">
      <t>キタモト</t>
    </rPh>
    <phoneticPr fontId="2"/>
  </si>
  <si>
    <t>北本市本宿5‐82‐1
ダイワビル北本2階B号室</t>
    <rPh sb="0" eb="3">
      <t>キタモトシ</t>
    </rPh>
    <rPh sb="3" eb="5">
      <t>ホンジュク</t>
    </rPh>
    <rPh sb="17" eb="19">
      <t>キタモト</t>
    </rPh>
    <rPh sb="20" eb="21">
      <t>カイ</t>
    </rPh>
    <rPh sb="22" eb="24">
      <t>ゴウシツ</t>
    </rPh>
    <phoneticPr fontId="2"/>
  </si>
  <si>
    <t>364-0005</t>
    <phoneticPr fontId="2"/>
  </si>
  <si>
    <t>048－592-0511</t>
    <phoneticPr fontId="2"/>
  </si>
  <si>
    <t>R7.7,1</t>
    <phoneticPr fontId="2"/>
  </si>
  <si>
    <t>JR高崎線北本駅より徒歩18分</t>
    <rPh sb="2" eb="5">
      <t>タカサキセン</t>
    </rPh>
    <rPh sb="5" eb="8">
      <t>キタモトエキ</t>
    </rPh>
    <rPh sb="10" eb="12">
      <t>トホ</t>
    </rPh>
    <rPh sb="14" eb="15">
      <t>フン</t>
    </rPh>
    <phoneticPr fontId="2"/>
  </si>
  <si>
    <t>生活介護　TREE　東松山店</t>
    <rPh sb="0" eb="2">
      <t>セイカツ</t>
    </rPh>
    <rPh sb="2" eb="4">
      <t>カイゴ</t>
    </rPh>
    <rPh sb="10" eb="13">
      <t>ヒガシマツヤマ</t>
    </rPh>
    <rPh sb="13" eb="14">
      <t>テン</t>
    </rPh>
    <phoneticPr fontId="2"/>
  </si>
  <si>
    <t>東松山市</t>
    <rPh sb="0" eb="3">
      <t>ヒガシマツヤマ</t>
    </rPh>
    <rPh sb="3" eb="4">
      <t>シ</t>
    </rPh>
    <phoneticPr fontId="2"/>
  </si>
  <si>
    <t>東松山市松本町2‐9‐21</t>
    <rPh sb="0" eb="4">
      <t>ヒガシマツヤマシ</t>
    </rPh>
    <rPh sb="4" eb="7">
      <t>マツモトマチ</t>
    </rPh>
    <phoneticPr fontId="2"/>
  </si>
  <si>
    <t>355-0014</t>
    <phoneticPr fontId="2"/>
  </si>
  <si>
    <t>0493‐53‐5036</t>
    <phoneticPr fontId="2"/>
  </si>
  <si>
    <t>0493‐53‐5037</t>
    <phoneticPr fontId="2"/>
  </si>
  <si>
    <t>東武東上線東松山駅から徒歩23分</t>
    <rPh sb="0" eb="5">
      <t>トウブトウジョウセン</t>
    </rPh>
    <rPh sb="5" eb="8">
      <t>ヒガシマツヤマ</t>
    </rPh>
    <rPh sb="8" eb="9">
      <t>エキ</t>
    </rPh>
    <rPh sb="11" eb="13">
      <t>トホ</t>
    </rPh>
    <rPh sb="15" eb="16">
      <t>フン</t>
    </rPh>
    <phoneticPr fontId="2"/>
  </si>
  <si>
    <t>とちの木北坂戸</t>
    <rPh sb="3" eb="4">
      <t>キ</t>
    </rPh>
    <rPh sb="4" eb="7">
      <t>キタサカド</t>
    </rPh>
    <phoneticPr fontId="2"/>
  </si>
  <si>
    <t>049‐236‐3591</t>
    <phoneticPr fontId="2"/>
  </si>
  <si>
    <t>050‐1447‐4801</t>
    <phoneticPr fontId="2"/>
  </si>
  <si>
    <t>東武東上線北坂戸駅下車徒歩6分</t>
    <rPh sb="5" eb="8">
      <t>キタサカド</t>
    </rPh>
    <rPh sb="8" eb="9">
      <t>エキ</t>
    </rPh>
    <rPh sb="9" eb="11">
      <t>ゲシャ</t>
    </rPh>
    <rPh sb="11" eb="13">
      <t>トホ</t>
    </rPh>
    <rPh sb="14" eb="15">
      <t>フン</t>
    </rPh>
    <phoneticPr fontId="2"/>
  </si>
  <si>
    <t>グループホームこもれび</t>
    <phoneticPr fontId="2"/>
  </si>
  <si>
    <t>355-0011</t>
    <phoneticPr fontId="2"/>
  </si>
  <si>
    <t>0493‐81‐5822</t>
    <phoneticPr fontId="2"/>
  </si>
  <si>
    <t>0493‐81‐5823</t>
    <phoneticPr fontId="2"/>
  </si>
  <si>
    <t>東武東上線東松山駅から車6分</t>
    <rPh sb="0" eb="5">
      <t>トウブトウジョウセン</t>
    </rPh>
    <rPh sb="5" eb="8">
      <t>ヒガシマツヤマ</t>
    </rPh>
    <rPh sb="8" eb="9">
      <t>エキ</t>
    </rPh>
    <rPh sb="11" eb="12">
      <t>クルマ</t>
    </rPh>
    <rPh sb="13" eb="14">
      <t>プン</t>
    </rPh>
    <phoneticPr fontId="2"/>
  </si>
  <si>
    <t>久喜中央2丁目6-23　OhanaⅠ　2階</t>
    <rPh sb="0" eb="2">
      <t>クキ</t>
    </rPh>
    <rPh sb="2" eb="4">
      <t>チュウオウ</t>
    </rPh>
    <rPh sb="5" eb="7">
      <t>チョウメ</t>
    </rPh>
    <rPh sb="20" eb="21">
      <t>カイ</t>
    </rPh>
    <phoneticPr fontId="2"/>
  </si>
  <si>
    <t>東武伊勢崎線久喜駅西口下車徒歩５分</t>
    <rPh sb="0" eb="2">
      <t>トウブ</t>
    </rPh>
    <rPh sb="2" eb="5">
      <t>イセサキ</t>
    </rPh>
    <rPh sb="5" eb="6">
      <t>セン</t>
    </rPh>
    <rPh sb="6" eb="8">
      <t>クキ</t>
    </rPh>
    <rPh sb="8" eb="9">
      <t>エキ</t>
    </rPh>
    <rPh sb="9" eb="11">
      <t>ニシグチ</t>
    </rPh>
    <rPh sb="11" eb="13">
      <t>ゲシャ</t>
    </rPh>
    <rPh sb="13" eb="15">
      <t>トホ</t>
    </rPh>
    <rPh sb="16" eb="17">
      <t>フン</t>
    </rPh>
    <phoneticPr fontId="2"/>
  </si>
  <si>
    <t>リバイブ川口</t>
    <rPh sb="4" eb="6">
      <t>かわぐち</t>
    </rPh>
    <phoneticPr fontId="2" type="Hiragana"/>
  </si>
  <si>
    <t>川口市</t>
    <rPh sb="0" eb="2">
      <t>かわぐち</t>
    </rPh>
    <rPh sb="2" eb="3">
      <t>し</t>
    </rPh>
    <phoneticPr fontId="2" type="Hiragana"/>
  </si>
  <si>
    <t>332-0017</t>
    <phoneticPr fontId="2" type="Hiragana"/>
  </si>
  <si>
    <t>048-299-9604</t>
    <phoneticPr fontId="2" type="Hiragana"/>
  </si>
  <si>
    <t>（電車）川口駅から徒歩３分</t>
    <rPh sb="1" eb="3">
      <t>でんしゃ</t>
    </rPh>
    <rPh sb="4" eb="6">
      <t>かわぐち</t>
    </rPh>
    <rPh sb="6" eb="7">
      <t>えき</t>
    </rPh>
    <rPh sb="9" eb="11">
      <t>とほ</t>
    </rPh>
    <rPh sb="12" eb="13">
      <t>ふん</t>
    </rPh>
    <phoneticPr fontId="20" type="Hiragana"/>
  </si>
  <si>
    <t>ｓｅｌｆ－Ａ・アイステージ川口</t>
    <rPh sb="13" eb="15">
      <t>かわぐち</t>
    </rPh>
    <phoneticPr fontId="2" type="Hiragana"/>
  </si>
  <si>
    <t>333-0843</t>
    <phoneticPr fontId="2" type="Hiragana"/>
  </si>
  <si>
    <t>048-487-7198</t>
    <phoneticPr fontId="2" type="Hiragana"/>
  </si>
  <si>
    <t>（バス）蕨駅東口から新井宿駅行き「上青木北西公園」徒歩２分</t>
    <rPh sb="4" eb="5">
      <t>わらび</t>
    </rPh>
    <rPh sb="5" eb="6">
      <t>えき</t>
    </rPh>
    <rPh sb="6" eb="8">
      <t>ひがしぐち</t>
    </rPh>
    <rPh sb="10" eb="14">
      <t>あらいじゅくえき</t>
    </rPh>
    <rPh sb="14" eb="15">
      <t>ゆ</t>
    </rPh>
    <rPh sb="17" eb="20">
      <t>かみあおき</t>
    </rPh>
    <rPh sb="20" eb="22">
      <t>ほくせい</t>
    </rPh>
    <rPh sb="22" eb="24">
      <t>こうえん</t>
    </rPh>
    <rPh sb="25" eb="27">
      <t>とほ</t>
    </rPh>
    <rPh sb="28" eb="29">
      <t>ふん</t>
    </rPh>
    <phoneticPr fontId="2" type="Hiragana"/>
  </si>
  <si>
    <t>就労移行ITスクール川越</t>
    <rPh sb="0" eb="2">
      <t>シュウロウ</t>
    </rPh>
    <rPh sb="2" eb="4">
      <t>イコウ</t>
    </rPh>
    <rPh sb="10" eb="12">
      <t>カワゴエ</t>
    </rPh>
    <phoneticPr fontId="33"/>
  </si>
  <si>
    <t>川越市</t>
    <rPh sb="0" eb="3">
      <t>カワゴエシ</t>
    </rPh>
    <phoneticPr fontId="33"/>
  </si>
  <si>
    <t>中原町２－１０－１２川越MKビル２階</t>
    <rPh sb="0" eb="2">
      <t>ナカハラ</t>
    </rPh>
    <rPh sb="2" eb="3">
      <t>マチ</t>
    </rPh>
    <rPh sb="10" eb="12">
      <t>カワゴエ</t>
    </rPh>
    <rPh sb="17" eb="18">
      <t>カイ</t>
    </rPh>
    <phoneticPr fontId="33"/>
  </si>
  <si>
    <t>西武新宿線本川越駅より徒歩４分</t>
    <rPh sb="0" eb="5">
      <t>セイブシンジュクセン</t>
    </rPh>
    <rPh sb="4" eb="6">
      <t>ニシシンジュク</t>
    </rPh>
    <rPh sb="5" eb="8">
      <t>ホンカワゴエ</t>
    </rPh>
    <rPh sb="8" eb="9">
      <t>エキ</t>
    </rPh>
    <rPh sb="11" eb="13">
      <t>トホ</t>
    </rPh>
    <rPh sb="14" eb="15">
      <t>フン</t>
    </rPh>
    <phoneticPr fontId="33"/>
  </si>
  <si>
    <t>ディーキャリア川越第二オフィス</t>
    <rPh sb="7" eb="9">
      <t>カワゴエ</t>
    </rPh>
    <rPh sb="9" eb="11">
      <t>ダイニ</t>
    </rPh>
    <phoneticPr fontId="33"/>
  </si>
  <si>
    <t>脇田本町６－４</t>
    <rPh sb="0" eb="4">
      <t>ワキタホンマチ</t>
    </rPh>
    <phoneticPr fontId="33"/>
  </si>
  <si>
    <t>049-293-7542</t>
  </si>
  <si>
    <t>049-293-7543</t>
  </si>
  <si>
    <t>JR・東武東上線川越駅徒歩３分</t>
    <rPh sb="3" eb="8">
      <t>トウブトウジョウセン</t>
    </rPh>
    <rPh sb="8" eb="10">
      <t>カワゴエ</t>
    </rPh>
    <rPh sb="10" eb="11">
      <t>エキ</t>
    </rPh>
    <rPh sb="11" eb="13">
      <t>トホ</t>
    </rPh>
    <rPh sb="14" eb="15">
      <t>フン</t>
    </rPh>
    <phoneticPr fontId="33"/>
  </si>
  <si>
    <t>上福岡駅西口より徒歩１８分
従たる事業所　川越市諏訪町21-2グレイスメイビル101号室</t>
    <rPh sb="0" eb="3">
      <t>カミフクオカ</t>
    </rPh>
    <rPh sb="3" eb="4">
      <t>エキ</t>
    </rPh>
    <rPh sb="4" eb="6">
      <t>ニシグチ</t>
    </rPh>
    <rPh sb="8" eb="10">
      <t>トホ</t>
    </rPh>
    <rPh sb="12" eb="13">
      <t>フン</t>
    </rPh>
    <rPh sb="14" eb="15">
      <t>ジュウ</t>
    </rPh>
    <rPh sb="17" eb="20">
      <t>ジギョウショ</t>
    </rPh>
    <rPh sb="21" eb="24">
      <t>カワゴエシ</t>
    </rPh>
    <phoneticPr fontId="2"/>
  </si>
  <si>
    <t>かなうラボ白幡</t>
    <rPh sb="5" eb="7">
      <t>シラハタ</t>
    </rPh>
    <phoneticPr fontId="2"/>
  </si>
  <si>
    <t>南区白幡５－６－２０　ウイングビル１０２</t>
    <phoneticPr fontId="2"/>
  </si>
  <si>
    <t>048-755-9725</t>
    <phoneticPr fontId="2"/>
  </si>
  <si>
    <t>048-610-8563</t>
    <phoneticPr fontId="2"/>
  </si>
  <si>
    <t>JR武蔵浦和駅から徒歩６分</t>
    <rPh sb="2" eb="4">
      <t>ムサシ</t>
    </rPh>
    <phoneticPr fontId="2"/>
  </si>
  <si>
    <t>ウェルリンク</t>
    <phoneticPr fontId="2"/>
  </si>
  <si>
    <t>見沼区大和田２－７７８</t>
    <rPh sb="0" eb="2">
      <t>ミヌマ</t>
    </rPh>
    <rPh sb="2" eb="3">
      <t>ク</t>
    </rPh>
    <rPh sb="3" eb="6">
      <t>オオワダ</t>
    </rPh>
    <phoneticPr fontId="2"/>
  </si>
  <si>
    <t>337-0053</t>
    <phoneticPr fontId="2"/>
  </si>
  <si>
    <t>048-793-4327</t>
    <phoneticPr fontId="2"/>
  </si>
  <si>
    <t>048-793-4627</t>
    <phoneticPr fontId="2"/>
  </si>
  <si>
    <t>東武野田線大和田駅より徒歩11分</t>
    <rPh sb="0" eb="2">
      <t>トウブ</t>
    </rPh>
    <rPh sb="2" eb="5">
      <t>ノダセン</t>
    </rPh>
    <rPh sb="5" eb="8">
      <t>オオワダ</t>
    </rPh>
    <rPh sb="8" eb="9">
      <t>エキ</t>
    </rPh>
    <rPh sb="11" eb="13">
      <t>トホ</t>
    </rPh>
    <rPh sb="15" eb="16">
      <t>フン</t>
    </rPh>
    <phoneticPr fontId="2"/>
  </si>
  <si>
    <t>視覚障害者サポートセンターすきっぷ</t>
    <rPh sb="0" eb="2">
      <t>シカク</t>
    </rPh>
    <rPh sb="2" eb="5">
      <t>ショウガイシャ</t>
    </rPh>
    <phoneticPr fontId="5"/>
  </si>
  <si>
    <t>浦和区常盤１－３－９　ロイヤルプラザ常盤１０１</t>
    <phoneticPr fontId="2"/>
  </si>
  <si>
    <t>048-711-9283</t>
  </si>
  <si>
    <t>048-711-9312</t>
  </si>
  <si>
    <t>JR浦和駅から徒歩８分</t>
    <phoneticPr fontId="2"/>
  </si>
  <si>
    <t>就労支援Ａ型　あじさい</t>
    <rPh sb="0" eb="4">
      <t>シュウロウシエン</t>
    </rPh>
    <rPh sb="5" eb="6">
      <t>カタ</t>
    </rPh>
    <phoneticPr fontId="12"/>
  </si>
  <si>
    <t>トワエールさいたま</t>
  </si>
  <si>
    <t>北区宮原町２－３２－５　島村第三ビル２Ｆ</t>
  </si>
  <si>
    <t>090-6483-7225</t>
  </si>
  <si>
    <t>JR高崎線宮原駅より徒歩８分
埼玉新都市交通伊奈線(ニューシャトル)東宮原駅より徒歩7分</t>
    <rPh sb="2" eb="5">
      <t>タカサキセン</t>
    </rPh>
    <rPh sb="5" eb="8">
      <t>ミヤハラエキ</t>
    </rPh>
    <rPh sb="10" eb="12">
      <t>トホ</t>
    </rPh>
    <rPh sb="13" eb="14">
      <t>フン</t>
    </rPh>
    <rPh sb="40" eb="42">
      <t>トホ</t>
    </rPh>
    <rPh sb="43" eb="44">
      <t>フン</t>
    </rPh>
    <phoneticPr fontId="2"/>
  </si>
  <si>
    <t>リバイブ北越谷</t>
    <rPh sb="4" eb="7">
      <t>キタコシガヤ</t>
    </rPh>
    <phoneticPr fontId="2"/>
  </si>
  <si>
    <t>北越谷二丁目４２番１１号北越谷西口ビル１Ｆ</t>
    <rPh sb="0" eb="3">
      <t>キタコシガヤ</t>
    </rPh>
    <rPh sb="3" eb="4">
      <t>フタ</t>
    </rPh>
    <rPh sb="4" eb="6">
      <t>チョウメ</t>
    </rPh>
    <rPh sb="8" eb="9">
      <t>バン</t>
    </rPh>
    <rPh sb="11" eb="12">
      <t>ゴウ</t>
    </rPh>
    <phoneticPr fontId="2"/>
  </si>
  <si>
    <t>048-967-5738</t>
    <phoneticPr fontId="2"/>
  </si>
  <si>
    <t>東武スカイツリーライン北越谷駅から徒歩１分</t>
    <rPh sb="0" eb="2">
      <t>トウブ</t>
    </rPh>
    <rPh sb="11" eb="12">
      <t>キタ</t>
    </rPh>
    <rPh sb="12" eb="15">
      <t>コシガヤエキ</t>
    </rPh>
    <rPh sb="17" eb="19">
      <t>トホ</t>
    </rPh>
    <rPh sb="20" eb="21">
      <t>プン</t>
    </rPh>
    <phoneticPr fontId="2"/>
  </si>
  <si>
    <t>ウーリー大袋</t>
    <rPh sb="4" eb="6">
      <t>オオブクロ</t>
    </rPh>
    <phoneticPr fontId="2"/>
  </si>
  <si>
    <t>下間久里８８番地７石﨑ビル２階</t>
    <phoneticPr fontId="2"/>
  </si>
  <si>
    <t>343-0045</t>
    <phoneticPr fontId="2"/>
  </si>
  <si>
    <t>048-978-3397</t>
    <phoneticPr fontId="2"/>
  </si>
  <si>
    <t>東武スカイツリーライ大袋駅から徒歩9分</t>
    <rPh sb="0" eb="2">
      <t>トウブ</t>
    </rPh>
    <rPh sb="10" eb="12">
      <t>オオブクロ</t>
    </rPh>
    <rPh sb="12" eb="13">
      <t>エキ</t>
    </rPh>
    <rPh sb="15" eb="17">
      <t>トホ</t>
    </rPh>
    <rPh sb="18" eb="19">
      <t>プン</t>
    </rPh>
    <phoneticPr fontId="2"/>
  </si>
  <si>
    <t>04-2941-4885</t>
    <phoneticPr fontId="2"/>
  </si>
  <si>
    <t>(有)中西電機</t>
    <rPh sb="1" eb="2">
      <t>ユウ</t>
    </rPh>
    <rPh sb="3" eb="7">
      <t>ナカニシデンキ</t>
    </rPh>
    <phoneticPr fontId="2"/>
  </si>
  <si>
    <t>ナカニシカフェ</t>
    <phoneticPr fontId="2"/>
  </si>
  <si>
    <t>末広一丁目６４番地３</t>
    <rPh sb="0" eb="2">
      <t>スエヒロ</t>
    </rPh>
    <rPh sb="2" eb="5">
      <t>イッチョウメ</t>
    </rPh>
    <rPh sb="7" eb="9">
      <t>バンチ</t>
    </rPh>
    <phoneticPr fontId="2"/>
  </si>
  <si>
    <t>360-0031</t>
    <phoneticPr fontId="2"/>
  </si>
  <si>
    <t>048-577-6167</t>
    <phoneticPr fontId="2"/>
  </si>
  <si>
    <t>048-525-2972</t>
    <phoneticPr fontId="2"/>
  </si>
  <si>
    <t>JR高崎線熊谷駅下車徒歩９分</t>
    <rPh sb="2" eb="5">
      <t>タカサキセン</t>
    </rPh>
    <rPh sb="5" eb="8">
      <t>クマガヤエキ</t>
    </rPh>
    <rPh sb="8" eb="10">
      <t>ゲシャ</t>
    </rPh>
    <rPh sb="10" eb="12">
      <t>トホ</t>
    </rPh>
    <rPh sb="13" eb="14">
      <t>フン</t>
    </rPh>
    <phoneticPr fontId="2"/>
  </si>
  <si>
    <t>さくら工房</t>
    <rPh sb="3" eb="5">
      <t>コウボウ</t>
    </rPh>
    <phoneticPr fontId="2"/>
  </si>
  <si>
    <t>東栄二丁目１番２０号</t>
    <rPh sb="0" eb="2">
      <t>ヒガシサカエ</t>
    </rPh>
    <rPh sb="2" eb="5">
      <t>ニチョウメ</t>
    </rPh>
    <rPh sb="6" eb="7">
      <t>バン</t>
    </rPh>
    <rPh sb="9" eb="10">
      <t>ゴウ</t>
    </rPh>
    <phoneticPr fontId="2"/>
  </si>
  <si>
    <t>347-0064</t>
    <phoneticPr fontId="2"/>
  </si>
  <si>
    <t>0480-38-6735</t>
    <phoneticPr fontId="2"/>
  </si>
  <si>
    <t>0480-38-6736</t>
    <phoneticPr fontId="2"/>
  </si>
  <si>
    <t>東武伊勢崎線加須駅下車徒歩１３分</t>
    <rPh sb="0" eb="6">
      <t>トウブイセサキセン</t>
    </rPh>
    <rPh sb="6" eb="9">
      <t>カゾエキ</t>
    </rPh>
    <rPh sb="9" eb="11">
      <t>ゲシャ</t>
    </rPh>
    <rPh sb="11" eb="13">
      <t>トホ</t>
    </rPh>
    <rPh sb="15" eb="16">
      <t>フン</t>
    </rPh>
    <phoneticPr fontId="2"/>
  </si>
  <si>
    <t>ユア・ストーリー</t>
    <phoneticPr fontId="2"/>
  </si>
  <si>
    <t>佐間１－２１－２</t>
    <rPh sb="0" eb="2">
      <t>サマ</t>
    </rPh>
    <phoneticPr fontId="2"/>
  </si>
  <si>
    <t>361-0032</t>
    <phoneticPr fontId="2"/>
  </si>
  <si>
    <t>048-501-7783</t>
    <phoneticPr fontId="2"/>
  </si>
  <si>
    <t>秩父鉄道行田駅下車徒歩２０分</t>
    <rPh sb="0" eb="4">
      <t>チチブテツドウ</t>
    </rPh>
    <rPh sb="4" eb="7">
      <t>ギョウダエキ</t>
    </rPh>
    <rPh sb="7" eb="9">
      <t>ゲシャ</t>
    </rPh>
    <rPh sb="9" eb="11">
      <t>トホ</t>
    </rPh>
    <rPh sb="13" eb="14">
      <t>フン</t>
    </rPh>
    <phoneticPr fontId="2"/>
  </si>
  <si>
    <t>ウーリー加須</t>
    <rPh sb="4" eb="6">
      <t>カゾ</t>
    </rPh>
    <phoneticPr fontId="2"/>
  </si>
  <si>
    <t>南町１４番２１号</t>
    <rPh sb="0" eb="2">
      <t>ミナミチョウ</t>
    </rPh>
    <rPh sb="4" eb="5">
      <t>バン</t>
    </rPh>
    <rPh sb="7" eb="8">
      <t>ゴウ</t>
    </rPh>
    <phoneticPr fontId="2"/>
  </si>
  <si>
    <t>347-0031</t>
    <phoneticPr fontId="2"/>
  </si>
  <si>
    <t>0480-61-4855</t>
    <phoneticPr fontId="2"/>
  </si>
  <si>
    <t>東武伊勢崎線加須駅下車徒歩１３分</t>
    <rPh sb="0" eb="9">
      <t>トウブイセサキセンカゾエキ</t>
    </rPh>
    <rPh sb="9" eb="13">
      <t>ゲシャトホ</t>
    </rPh>
    <rPh sb="15" eb="16">
      <t>フン</t>
    </rPh>
    <phoneticPr fontId="2"/>
  </si>
  <si>
    <t>ウーリー深谷</t>
    <rPh sb="4" eb="6">
      <t>フカヤ</t>
    </rPh>
    <phoneticPr fontId="2"/>
  </si>
  <si>
    <t>西島町３丁目９－３ジーアイビル２階</t>
    <rPh sb="0" eb="2">
      <t>ニシジマ</t>
    </rPh>
    <rPh sb="2" eb="3">
      <t>マチ</t>
    </rPh>
    <rPh sb="4" eb="6">
      <t>チョウメ</t>
    </rPh>
    <rPh sb="16" eb="17">
      <t>カイ</t>
    </rPh>
    <phoneticPr fontId="2"/>
  </si>
  <si>
    <t>048-574-4800</t>
    <phoneticPr fontId="2"/>
  </si>
  <si>
    <t>JR高崎線深谷駅下車徒歩３分</t>
    <rPh sb="2" eb="5">
      <t>タカサキセン</t>
    </rPh>
    <rPh sb="5" eb="7">
      <t>フカヤ</t>
    </rPh>
    <rPh sb="7" eb="8">
      <t>エキ</t>
    </rPh>
    <rPh sb="8" eb="10">
      <t>ゲシャ</t>
    </rPh>
    <rPh sb="10" eb="12">
      <t>トホ</t>
    </rPh>
    <rPh sb="13" eb="14">
      <t>フン</t>
    </rPh>
    <phoneticPr fontId="2"/>
  </si>
  <si>
    <t>(特非)ひだまり</t>
    <rPh sb="1" eb="2">
      <t>トク</t>
    </rPh>
    <rPh sb="2" eb="3">
      <t>ヒ</t>
    </rPh>
    <phoneticPr fontId="2"/>
  </si>
  <si>
    <t>児玉郡上里町</t>
    <rPh sb="0" eb="6">
      <t>コダマグンカミサトマチ</t>
    </rPh>
    <phoneticPr fontId="2"/>
  </si>
  <si>
    <t>金久保４２番地４</t>
    <rPh sb="0" eb="3">
      <t>カナクボ</t>
    </rPh>
    <rPh sb="5" eb="7">
      <t>バンチ</t>
    </rPh>
    <phoneticPr fontId="2"/>
  </si>
  <si>
    <t>369-0301</t>
    <phoneticPr fontId="2"/>
  </si>
  <si>
    <t>JR高崎線神保原駅下車徒歩２０分</t>
    <rPh sb="5" eb="7">
      <t>ジンボ</t>
    </rPh>
    <rPh sb="7" eb="8">
      <t>ハラ</t>
    </rPh>
    <rPh sb="8" eb="9">
      <t>エキ</t>
    </rPh>
    <rPh sb="9" eb="11">
      <t>ゲシャ</t>
    </rPh>
    <rPh sb="11" eb="13">
      <t>トホ</t>
    </rPh>
    <rPh sb="15" eb="16">
      <t>フン</t>
    </rPh>
    <phoneticPr fontId="2"/>
  </si>
  <si>
    <t>048-577-8493</t>
    <phoneticPr fontId="2"/>
  </si>
  <si>
    <t>048-577-8497</t>
    <phoneticPr fontId="2" type="Hiragana"/>
  </si>
  <si>
    <t>048-884-8552</t>
  </si>
  <si>
    <t>048-884-8552</t>
    <phoneticPr fontId="2"/>
  </si>
  <si>
    <t>スタジオワークデザイン</t>
  </si>
  <si>
    <t>川越市</t>
    <rPh sb="0" eb="3">
      <t>カワゴエシ</t>
    </rPh>
    <phoneticPr fontId="33"/>
  </si>
  <si>
    <t>小仙波町2-25-1</t>
    <rPh sb="0" eb="4">
      <t>コセンバマチ</t>
    </rPh>
    <phoneticPr fontId="33"/>
  </si>
  <si>
    <t>049-272-7217</t>
  </si>
  <si>
    <t>西武バス仙波下バス停より徒歩３分</t>
    <rPh sb="0" eb="2">
      <t>セイブ</t>
    </rPh>
    <rPh sb="4" eb="6">
      <t>センバ</t>
    </rPh>
    <rPh sb="6" eb="7">
      <t>シタ</t>
    </rPh>
    <rPh sb="9" eb="10">
      <t>テイ</t>
    </rPh>
    <rPh sb="12" eb="14">
      <t>トホ</t>
    </rPh>
    <rPh sb="15" eb="16">
      <t>フン</t>
    </rPh>
    <phoneticPr fontId="33"/>
  </si>
  <si>
    <t>療育園そらいろ</t>
    <rPh sb="0" eb="3">
      <t>リョウイクエン</t>
    </rPh>
    <phoneticPr fontId="2"/>
  </si>
  <si>
    <t>登戸町15-5 山新ビル1F</t>
    <rPh sb="0" eb="3">
      <t>ノボリトチョウ</t>
    </rPh>
    <rPh sb="8" eb="10">
      <t>ヤマシン</t>
    </rPh>
    <phoneticPr fontId="2"/>
  </si>
  <si>
    <t>343-0846</t>
    <phoneticPr fontId="2"/>
  </si>
  <si>
    <t>048-989-2294</t>
    <phoneticPr fontId="2"/>
  </si>
  <si>
    <t>048-940-7296</t>
    <phoneticPr fontId="2"/>
  </si>
  <si>
    <t>東部スカイツリーライン新越谷駅徒歩10分</t>
    <phoneticPr fontId="2"/>
  </si>
  <si>
    <t>ライフサポートみんとせんげん台</t>
    <rPh sb="14" eb="15">
      <t>ダイ</t>
    </rPh>
    <phoneticPr fontId="2"/>
  </si>
  <si>
    <t>千間台東1-19-9　2階</t>
    <rPh sb="0" eb="4">
      <t>センゲンダイヒガシ</t>
    </rPh>
    <rPh sb="12" eb="13">
      <t>カイ</t>
    </rPh>
    <phoneticPr fontId="2"/>
  </si>
  <si>
    <t>048-940-9393</t>
    <phoneticPr fontId="2"/>
  </si>
  <si>
    <t>048-940-9394</t>
    <phoneticPr fontId="2"/>
  </si>
  <si>
    <t>東部スカイツリーラインせんげん台駅徒歩3分</t>
    <rPh sb="15" eb="16">
      <t>ダイ</t>
    </rPh>
    <rPh sb="16" eb="17">
      <t>エキ</t>
    </rPh>
    <phoneticPr fontId="2"/>
  </si>
  <si>
    <t>就労定着支援事業所　ウェルビーチャレンジ南越谷駅前センター</t>
    <rPh sb="0" eb="9">
      <t>シュウロウテイチャクシエンジギョウショ</t>
    </rPh>
    <rPh sb="20" eb="25">
      <t>ミナミコシガヤエキマエ</t>
    </rPh>
    <phoneticPr fontId="2"/>
  </si>
  <si>
    <t>南越谷一丁目１２番地11イーストサンビル2　3階</t>
    <rPh sb="0" eb="3">
      <t>ミナミコシガヤ</t>
    </rPh>
    <rPh sb="3" eb="4">
      <t>1</t>
    </rPh>
    <rPh sb="4" eb="6">
      <t>チョウメ</t>
    </rPh>
    <rPh sb="8" eb="10">
      <t>バンチ</t>
    </rPh>
    <rPh sb="23" eb="24">
      <t>カイ</t>
    </rPh>
    <phoneticPr fontId="2"/>
  </si>
  <si>
    <t>東部スカイツリーライン新越谷駅徒歩1分</t>
    <phoneticPr fontId="2"/>
  </si>
  <si>
    <t>でじるみ　埼玉越谷</t>
    <rPh sb="5" eb="7">
      <t>サイタマ</t>
    </rPh>
    <rPh sb="7" eb="9">
      <t>コシガヤ</t>
    </rPh>
    <phoneticPr fontId="2"/>
  </si>
  <si>
    <t>赤山本町4-1</t>
    <rPh sb="0" eb="4">
      <t>アカヤマホンチョウ</t>
    </rPh>
    <phoneticPr fontId="2"/>
  </si>
  <si>
    <t>048-962-5250</t>
    <phoneticPr fontId="2"/>
  </si>
  <si>
    <t>東部スカイツリーライン越谷駅徒歩1分</t>
    <phoneticPr fontId="2"/>
  </si>
  <si>
    <t>いろんなしごと東浦和</t>
    <rPh sb="7" eb="8">
      <t>ヒガシ</t>
    </rPh>
    <rPh sb="8" eb="10">
      <t>ウラワ</t>
    </rPh>
    <phoneticPr fontId="7"/>
  </si>
  <si>
    <t>048-606-4868</t>
  </si>
  <si>
    <t>050-3488-9213</t>
  </si>
  <si>
    <t>ＪＲ東浦和駅から徒歩13分</t>
    <rPh sb="2" eb="6">
      <t>ヒガシウラワエキ</t>
    </rPh>
    <rPh sb="8" eb="10">
      <t>トホ</t>
    </rPh>
    <rPh sb="12" eb="13">
      <t>フン</t>
    </rPh>
    <phoneticPr fontId="2"/>
  </si>
  <si>
    <t>かなうラボ大宮駅前</t>
    <rPh sb="5" eb="8">
      <t>オオミヤエキ</t>
    </rPh>
    <rPh sb="8" eb="9">
      <t>マエ</t>
    </rPh>
    <phoneticPr fontId="5"/>
  </si>
  <si>
    <t>大宮区宮町２－８１　いちご大宮ビル１階</t>
  </si>
  <si>
    <t>048-755-9725</t>
  </si>
  <si>
    <t>JR大宮駅東口より徒歩８分</t>
    <rPh sb="2" eb="4">
      <t>オオミヤ</t>
    </rPh>
    <rPh sb="4" eb="5">
      <t>エキ</t>
    </rPh>
    <rPh sb="5" eb="6">
      <t>ヒガシ</t>
    </rPh>
    <rPh sb="6" eb="7">
      <t>クチ</t>
    </rPh>
    <rPh sb="9" eb="11">
      <t>トホ</t>
    </rPh>
    <rPh sb="12" eb="13">
      <t>フン</t>
    </rPh>
    <phoneticPr fontId="2"/>
  </si>
  <si>
    <t>就労継続支援B型事業所MiraJob浦和</t>
    <rPh sb="0" eb="6">
      <t>シュウロウケイゾクシエン</t>
    </rPh>
    <rPh sb="7" eb="8">
      <t>カタ</t>
    </rPh>
    <rPh sb="8" eb="11">
      <t>ジギョウショ</t>
    </rPh>
    <rPh sb="18" eb="20">
      <t>ウラワ</t>
    </rPh>
    <phoneticPr fontId="5"/>
  </si>
  <si>
    <t>330-0075</t>
  </si>
  <si>
    <t>070-7572-3910</t>
  </si>
  <si>
    <t>JR与野駅より徒歩5分</t>
    <rPh sb="2" eb="4">
      <t>ヨノ</t>
    </rPh>
    <rPh sb="4" eb="5">
      <t>エキ</t>
    </rPh>
    <rPh sb="7" eb="9">
      <t>トホ</t>
    </rPh>
    <rPh sb="10" eb="11">
      <t>フン</t>
    </rPh>
    <phoneticPr fontId="2"/>
  </si>
  <si>
    <t>プリムローズⅤ</t>
  </si>
  <si>
    <t>331-0060</t>
  </si>
  <si>
    <t>西部バスびん沼自然公園入口停留所より徒歩１２分</t>
    <rPh sb="0" eb="2">
      <t>セイブ</t>
    </rPh>
    <rPh sb="6" eb="7">
      <t>ヌマ</t>
    </rPh>
    <rPh sb="7" eb="9">
      <t>シゼン</t>
    </rPh>
    <rPh sb="9" eb="11">
      <t>コウエン</t>
    </rPh>
    <rPh sb="11" eb="13">
      <t>イリグチ</t>
    </rPh>
    <rPh sb="13" eb="16">
      <t>テイリュウジョ</t>
    </rPh>
    <rPh sb="18" eb="20">
      <t>トホ</t>
    </rPh>
    <rPh sb="22" eb="23">
      <t>フン</t>
    </rPh>
    <phoneticPr fontId="2"/>
  </si>
  <si>
    <t>リハスワーク岩槻</t>
    <rPh sb="6" eb="8">
      <t>いわつき</t>
    </rPh>
    <phoneticPr fontId="5" type="Hiragana"/>
  </si>
  <si>
    <t>岩槻区本町４－３－２　セントラルヒルズ１階</t>
    <rPh sb="20" eb="21">
      <t>カイ</t>
    </rPh>
    <phoneticPr fontId="2"/>
  </si>
  <si>
    <t>048-878-8843</t>
  </si>
  <si>
    <t>JR岩槻駅より徒歩8分</t>
    <rPh sb="2" eb="4">
      <t>イワツキ</t>
    </rPh>
    <rPh sb="4" eb="5">
      <t>エキ</t>
    </rPh>
    <rPh sb="7" eb="9">
      <t>トホ</t>
    </rPh>
    <rPh sb="10" eb="11">
      <t>フン</t>
    </rPh>
    <phoneticPr fontId="2"/>
  </si>
  <si>
    <t>就労定着支援事業所　ウェルビーチャレンジ大宮東口センター</t>
    <rPh sb="0" eb="6">
      <t>シュウロウテイチャクシエン</t>
    </rPh>
    <rPh sb="6" eb="9">
      <t>ジギョウショ</t>
    </rPh>
    <rPh sb="20" eb="22">
      <t>オオミヤ</t>
    </rPh>
    <rPh sb="22" eb="24">
      <t>ヒガシグチ</t>
    </rPh>
    <phoneticPr fontId="7"/>
  </si>
  <si>
    <t>JR大宮駅より徒歩6分</t>
    <rPh sb="2" eb="4">
      <t>オオミヤ</t>
    </rPh>
    <rPh sb="4" eb="5">
      <t>エキ</t>
    </rPh>
    <rPh sb="7" eb="9">
      <t>トホ</t>
    </rPh>
    <rPh sb="10" eb="11">
      <t>フン</t>
    </rPh>
    <phoneticPr fontId="2"/>
  </si>
  <si>
    <t>緑区東浦和２－４０－２</t>
  </si>
  <si>
    <t>浦和区針ヶ谷３－３－７</t>
  </si>
  <si>
    <t>西区塚本町３－１４０－１</t>
  </si>
  <si>
    <t>大宮区大門町３－６１　第２GSビル５階</t>
  </si>
  <si>
    <t>大宮駅東口から国際興業バス中川循環「与野道」下車徒歩5分</t>
    <rPh sb="0" eb="3">
      <t>オオミヤエキ</t>
    </rPh>
    <rPh sb="3" eb="5">
      <t>ヒガシグチ</t>
    </rPh>
    <rPh sb="7" eb="9">
      <t>コクサイ</t>
    </rPh>
    <rPh sb="9" eb="11">
      <t>コウギョウ</t>
    </rPh>
    <rPh sb="13" eb="15">
      <t>ナカガワ</t>
    </rPh>
    <rPh sb="15" eb="17">
      <t>ジュンカン</t>
    </rPh>
    <rPh sb="18" eb="20">
      <t>ヨノ</t>
    </rPh>
    <rPh sb="20" eb="21">
      <t>ドウ</t>
    </rPh>
    <rPh sb="22" eb="24">
      <t>ゲシャ</t>
    </rPh>
    <rPh sb="24" eb="26">
      <t>トホ</t>
    </rPh>
    <rPh sb="27" eb="28">
      <t>フン</t>
    </rPh>
    <phoneticPr fontId="37"/>
  </si>
  <si>
    <t>ユウノキ</t>
    <phoneticPr fontId="2" type="Hiragana"/>
  </si>
  <si>
    <t>大宮駅下車徒歩8分</t>
  </si>
  <si>
    <t>JR南浦和駅から徒歩13分
従たる事業所（緑区東浦和3-1-32-104）</t>
    <rPh sb="2" eb="6">
      <t>ミナミウラワエキ</t>
    </rPh>
    <rPh sb="8" eb="10">
      <t>トホ</t>
    </rPh>
    <rPh sb="12" eb="13">
      <t>フン</t>
    </rPh>
    <phoneticPr fontId="2"/>
  </si>
  <si>
    <t>048-053-3892</t>
    <phoneticPr fontId="2"/>
  </si>
  <si>
    <t>048-053-3893</t>
    <phoneticPr fontId="2"/>
  </si>
  <si>
    <t>久喜駅西口から徒歩1分</t>
    <phoneticPr fontId="2"/>
  </si>
  <si>
    <t>就労支援ＢＡＮＤＳ</t>
  </si>
  <si>
    <t>小久喜1087-3</t>
    <phoneticPr fontId="5"/>
  </si>
  <si>
    <t>349-0217</t>
    <phoneticPr fontId="5"/>
  </si>
  <si>
    <t>070-3336-1184</t>
    <phoneticPr fontId="5"/>
  </si>
  <si>
    <t>JR白岡駅徒歩３分</t>
    <rPh sb="2" eb="4">
      <t>シラオカ</t>
    </rPh>
    <rPh sb="4" eb="5">
      <t>エキ</t>
    </rPh>
    <rPh sb="5" eb="7">
      <t>トホ</t>
    </rPh>
    <rPh sb="8" eb="9">
      <t>フン</t>
    </rPh>
    <phoneticPr fontId="5"/>
  </si>
  <si>
    <t>きらりはーと</t>
    <phoneticPr fontId="2"/>
  </si>
  <si>
    <t>平沼1-12-11</t>
    <phoneticPr fontId="2"/>
  </si>
  <si>
    <t>342-0056</t>
    <phoneticPr fontId="2"/>
  </si>
  <si>
    <t>070-8579-4480</t>
    <phoneticPr fontId="2"/>
  </si>
  <si>
    <t>JR武蔵野線吉川駅北口より東武バス「中野尻」」下車徒歩2分</t>
    <rPh sb="2" eb="6">
      <t>ムサシノセン</t>
    </rPh>
    <rPh sb="6" eb="9">
      <t>ヨシカワエキ</t>
    </rPh>
    <rPh sb="9" eb="11">
      <t>キタグチ</t>
    </rPh>
    <rPh sb="13" eb="15">
      <t>トウブ</t>
    </rPh>
    <rPh sb="18" eb="21">
      <t>ナカノジリ</t>
    </rPh>
    <rPh sb="23" eb="25">
      <t>ゲシャ</t>
    </rPh>
    <rPh sb="25" eb="27">
      <t>トホ</t>
    </rPh>
    <rPh sb="28" eb="29">
      <t>フン</t>
    </rPh>
    <phoneticPr fontId="2"/>
  </si>
  <si>
    <t>ユースタイルホーム　久喜上内　共同生活援助</t>
    <rPh sb="10" eb="12">
      <t>クキ</t>
    </rPh>
    <rPh sb="12" eb="14">
      <t>ウエウチ</t>
    </rPh>
    <rPh sb="15" eb="21">
      <t>キョウドウセイカツエンジョ</t>
    </rPh>
    <phoneticPr fontId="2"/>
  </si>
  <si>
    <t>上内533-1</t>
    <rPh sb="0" eb="1">
      <t>ウエ</t>
    </rPh>
    <rPh sb="1" eb="2">
      <t>ナイ</t>
    </rPh>
    <phoneticPr fontId="2"/>
  </si>
  <si>
    <t>340-0211</t>
  </si>
  <si>
    <t>0480-53-7350</t>
    <phoneticPr fontId="2"/>
  </si>
  <si>
    <t>050-6875-7544</t>
    <phoneticPr fontId="2"/>
  </si>
  <si>
    <t>東武伊勢崎線鷲宮駅徒歩２２分
※共同生活援助との併設</t>
    <rPh sb="0" eb="6">
      <t>トウブイセサキセン</t>
    </rPh>
    <rPh sb="6" eb="9">
      <t>ワシノミヤエキ</t>
    </rPh>
    <rPh sb="9" eb="11">
      <t>トホ</t>
    </rPh>
    <rPh sb="13" eb="14">
      <t>フン</t>
    </rPh>
    <phoneticPr fontId="2"/>
  </si>
  <si>
    <t>ユースタイルホーム　八潮　共同生活援助</t>
    <rPh sb="10" eb="12">
      <t>ヤシオ</t>
    </rPh>
    <rPh sb="13" eb="19">
      <t>キョウドウセイカツエンジョ</t>
    </rPh>
    <phoneticPr fontId="2"/>
  </si>
  <si>
    <t>八潮5-1-3</t>
    <rPh sb="0" eb="2">
      <t>ヤシオ</t>
    </rPh>
    <phoneticPr fontId="2"/>
  </si>
  <si>
    <t>050-1722-7117</t>
    <phoneticPr fontId="2"/>
  </si>
  <si>
    <t>050-6883-5426</t>
    <phoneticPr fontId="2"/>
  </si>
  <si>
    <t>つくばエクスプレス八潮駅より徒歩９分
※共同生活援助との併設</t>
    <rPh sb="14" eb="16">
      <t>トホ</t>
    </rPh>
    <rPh sb="17" eb="18">
      <t>フン</t>
    </rPh>
    <phoneticPr fontId="2"/>
  </si>
  <si>
    <t>のぞみ</t>
    <phoneticPr fontId="2"/>
  </si>
  <si>
    <t>ダリアホーム行田</t>
    <rPh sb="6" eb="8">
      <t>ギョウダ</t>
    </rPh>
    <phoneticPr fontId="2"/>
  </si>
  <si>
    <t>藤原町三丁目１０番１</t>
    <rPh sb="0" eb="3">
      <t>フジワラチョウ</t>
    </rPh>
    <rPh sb="3" eb="6">
      <t>サンチョウメ</t>
    </rPh>
    <rPh sb="8" eb="9">
      <t>バン</t>
    </rPh>
    <phoneticPr fontId="2"/>
  </si>
  <si>
    <t>秩父鉄道「東行田」駅より徒歩２３分
※共同生活援助との併設</t>
    <rPh sb="0" eb="4">
      <t>チチブテツドウ</t>
    </rPh>
    <rPh sb="5" eb="8">
      <t>ヒガシギョウダ</t>
    </rPh>
    <rPh sb="9" eb="10">
      <t>エキ</t>
    </rPh>
    <rPh sb="12" eb="14">
      <t>トホ</t>
    </rPh>
    <rPh sb="16" eb="17">
      <t>フン</t>
    </rPh>
    <rPh sb="19" eb="21">
      <t>キョウドウ</t>
    </rPh>
    <rPh sb="21" eb="23">
      <t>セイカツ</t>
    </rPh>
    <rPh sb="23" eb="25">
      <t>エンジョ</t>
    </rPh>
    <rPh sb="27" eb="29">
      <t>ヘイセツ</t>
    </rPh>
    <phoneticPr fontId="2"/>
  </si>
  <si>
    <t>JR高崎線北上尾駅から徒歩約13分
R7.8,1よりべに花きっちん（出張所追加）</t>
    <rPh sb="2" eb="5">
      <t>タカサキセン</t>
    </rPh>
    <rPh sb="5" eb="8">
      <t>キタアゲオ</t>
    </rPh>
    <rPh sb="8" eb="9">
      <t>エキ</t>
    </rPh>
    <rPh sb="11" eb="13">
      <t>トホ</t>
    </rPh>
    <rPh sb="13" eb="14">
      <t>ヤク</t>
    </rPh>
    <rPh sb="16" eb="17">
      <t>フン</t>
    </rPh>
    <rPh sb="28" eb="29">
      <t>ハナ</t>
    </rPh>
    <rPh sb="34" eb="37">
      <t>シュッチョウジョ</t>
    </rPh>
    <rPh sb="37" eb="39">
      <t>ツイカ</t>
    </rPh>
    <phoneticPr fontId="2"/>
  </si>
  <si>
    <t>TooM</t>
    <phoneticPr fontId="2"/>
  </si>
  <si>
    <t>大字東三ツ木２７５－３</t>
    <rPh sb="0" eb="2">
      <t>オオアザ</t>
    </rPh>
    <rPh sb="2" eb="3">
      <t>ヒガシ</t>
    </rPh>
    <rPh sb="3" eb="4">
      <t>ミ</t>
    </rPh>
    <rPh sb="5" eb="6">
      <t>キ</t>
    </rPh>
    <phoneticPr fontId="2"/>
  </si>
  <si>
    <t>090‐7222‐7307</t>
    <phoneticPr fontId="2"/>
  </si>
  <si>
    <t>西武新宿線新狭山駅から徒歩10分</t>
    <rPh sb="0" eb="5">
      <t>セイブシンジュクセン</t>
    </rPh>
    <rPh sb="5" eb="9">
      <t>シンサヤマエキ</t>
    </rPh>
    <rPh sb="11" eb="13">
      <t>トホ</t>
    </rPh>
    <rPh sb="15" eb="16">
      <t>フン</t>
    </rPh>
    <phoneticPr fontId="2"/>
  </si>
  <si>
    <t>すずらんアニスタeスポーツWORLD上尾</t>
    <rPh sb="18" eb="20">
      <t>アゲオ</t>
    </rPh>
    <phoneticPr fontId="2"/>
  </si>
  <si>
    <t>柏座1丁目2番３ー１０３号</t>
    <phoneticPr fontId="2"/>
  </si>
  <si>
    <t>Cocorport 所沢第3Office</t>
    <phoneticPr fontId="2"/>
  </si>
  <si>
    <t>048-580-5387</t>
    <phoneticPr fontId="2"/>
  </si>
  <si>
    <t>クレセル</t>
    <phoneticPr fontId="2"/>
  </si>
  <si>
    <t>上２６５番地１</t>
    <rPh sb="0" eb="1">
      <t>ウエ</t>
    </rPh>
    <rPh sb="4" eb="6">
      <t>バンチ</t>
    </rPh>
    <phoneticPr fontId="2"/>
  </si>
  <si>
    <t>362-0001</t>
    <phoneticPr fontId="2"/>
  </si>
  <si>
    <t>048‐729‐6666</t>
    <phoneticPr fontId="2"/>
  </si>
  <si>
    <t>048‐729‐6655</t>
    <phoneticPr fontId="2"/>
  </si>
  <si>
    <t>JR高崎線　北上尾駅から徒歩15分</t>
    <rPh sb="2" eb="5">
      <t>タカサキセン</t>
    </rPh>
    <rPh sb="6" eb="10">
      <t>キタアゲオエキ</t>
    </rPh>
    <rPh sb="12" eb="14">
      <t>トホ</t>
    </rPh>
    <rPh sb="16" eb="17">
      <t>フン</t>
    </rPh>
    <phoneticPr fontId="2"/>
  </si>
  <si>
    <t>なちゅーる毛呂山</t>
    <rPh sb="5" eb="8">
      <t>モロヤマ</t>
    </rPh>
    <phoneticPr fontId="2"/>
  </si>
  <si>
    <t>毛呂山町</t>
    <rPh sb="0" eb="4">
      <t>モロヤママチ</t>
    </rPh>
    <phoneticPr fontId="2"/>
  </si>
  <si>
    <t>前久保南1丁目11番3号</t>
    <rPh sb="0" eb="3">
      <t>マエクボ</t>
    </rPh>
    <rPh sb="3" eb="4">
      <t>ミナミ</t>
    </rPh>
    <rPh sb="5" eb="7">
      <t>チョウメ</t>
    </rPh>
    <rPh sb="9" eb="10">
      <t>バン</t>
    </rPh>
    <rPh sb="11" eb="12">
      <t>ゴウ</t>
    </rPh>
    <phoneticPr fontId="2"/>
  </si>
  <si>
    <t>350-0463</t>
    <phoneticPr fontId="2"/>
  </si>
  <si>
    <t>070‐4430‐0777</t>
    <phoneticPr fontId="2"/>
  </si>
  <si>
    <t>東武越生線　東毛呂駅から徒歩5分</t>
    <rPh sb="0" eb="2">
      <t>トウブ</t>
    </rPh>
    <rPh sb="2" eb="4">
      <t>オゴセ</t>
    </rPh>
    <rPh sb="4" eb="5">
      <t>セン</t>
    </rPh>
    <rPh sb="6" eb="9">
      <t>ヒガシモロ</t>
    </rPh>
    <rPh sb="9" eb="10">
      <t>エキ</t>
    </rPh>
    <rPh sb="12" eb="14">
      <t>トホ</t>
    </rPh>
    <rPh sb="15" eb="16">
      <t>フン</t>
    </rPh>
    <phoneticPr fontId="2"/>
  </si>
  <si>
    <t>049-359-8904</t>
    <phoneticPr fontId="2"/>
  </si>
  <si>
    <t>049-359-8905</t>
    <phoneticPr fontId="2"/>
  </si>
  <si>
    <t>就労定着支援事業所　ワークアップさやま</t>
    <rPh sb="0" eb="2">
      <t>シュウロウ</t>
    </rPh>
    <rPh sb="2" eb="4">
      <t>テイチャク</t>
    </rPh>
    <rPh sb="4" eb="6">
      <t>シエン</t>
    </rPh>
    <rPh sb="6" eb="9">
      <t>ジギョウショ</t>
    </rPh>
    <phoneticPr fontId="2"/>
  </si>
  <si>
    <t>入間川１７５１番９</t>
    <rPh sb="0" eb="3">
      <t>イルマガワ</t>
    </rPh>
    <rPh sb="7" eb="8">
      <t>バン</t>
    </rPh>
    <phoneticPr fontId="2"/>
  </si>
  <si>
    <t>04-2997‐8870</t>
    <phoneticPr fontId="2"/>
  </si>
  <si>
    <t>04-2997‐8871</t>
    <phoneticPr fontId="2"/>
  </si>
  <si>
    <t>多機能型支援施設　ワークアップさやま</t>
    <rPh sb="0" eb="3">
      <t>タキノウ</t>
    </rPh>
    <rPh sb="3" eb="4">
      <t>ガタ</t>
    </rPh>
    <rPh sb="4" eb="6">
      <t>シエン</t>
    </rPh>
    <rPh sb="6" eb="8">
      <t>シセツ</t>
    </rPh>
    <phoneticPr fontId="2"/>
  </si>
  <si>
    <t>就労継続支援B型事業所フルサポートNIIZA</t>
    <rPh sb="0" eb="6">
      <t>シュウロウケイゾクシエン</t>
    </rPh>
    <rPh sb="7" eb="8">
      <t>ガタ</t>
    </rPh>
    <rPh sb="8" eb="11">
      <t>ジギョウショ</t>
    </rPh>
    <phoneticPr fontId="2"/>
  </si>
  <si>
    <t>畑中三丁目５－１３</t>
    <rPh sb="0" eb="2">
      <t>ハタナカ</t>
    </rPh>
    <rPh sb="2" eb="5">
      <t>サンチョウメ</t>
    </rPh>
    <phoneticPr fontId="2"/>
  </si>
  <si>
    <t>352-0012</t>
    <phoneticPr fontId="2"/>
  </si>
  <si>
    <t>090‐6298‐3838</t>
    <phoneticPr fontId="2"/>
  </si>
  <si>
    <t>東武東上線朝霞台駅より車で8分</t>
    <rPh sb="0" eb="5">
      <t>トウブトウジョウセン</t>
    </rPh>
    <rPh sb="5" eb="9">
      <t>アサカダイエキ</t>
    </rPh>
    <rPh sb="11" eb="12">
      <t>クルマ</t>
    </rPh>
    <rPh sb="14" eb="15">
      <t>フン</t>
    </rPh>
    <phoneticPr fontId="2"/>
  </si>
  <si>
    <t>ケアハウスすまいる</t>
    <phoneticPr fontId="2"/>
  </si>
  <si>
    <t>東大久保金子街道１４３０番地１３</t>
    <rPh sb="0" eb="4">
      <t>ヒガシオオクボ</t>
    </rPh>
    <rPh sb="4" eb="6">
      <t>カネコ</t>
    </rPh>
    <rPh sb="6" eb="8">
      <t>カイドウ</t>
    </rPh>
    <rPh sb="12" eb="13">
      <t>バン</t>
    </rPh>
    <rPh sb="13" eb="14">
      <t>チ</t>
    </rPh>
    <phoneticPr fontId="2"/>
  </si>
  <si>
    <t>354-0001</t>
    <phoneticPr fontId="2"/>
  </si>
  <si>
    <t>049-293-9575</t>
    <phoneticPr fontId="2"/>
  </si>
  <si>
    <t>東武東上線鶴瀬駅東口より東部バスららぽーと富士見行バス乗車、終点下車。ららぽーと富士見より西武バス大宮駅西口行き乗車、びん沼自然公園停留所下車徒歩５分　※共同生活援助との併設</t>
    <rPh sb="0" eb="5">
      <t>トウブトウジョウセン</t>
    </rPh>
    <rPh sb="5" eb="8">
      <t>ツルセエキ</t>
    </rPh>
    <rPh sb="8" eb="10">
      <t>ヒガシグチ</t>
    </rPh>
    <rPh sb="12" eb="14">
      <t>トウブ</t>
    </rPh>
    <rPh sb="21" eb="25">
      <t>フジミイキ</t>
    </rPh>
    <rPh sb="27" eb="29">
      <t>ジョウシャ</t>
    </rPh>
    <rPh sb="30" eb="32">
      <t>シュウテン</t>
    </rPh>
    <rPh sb="32" eb="34">
      <t>ゲシャ</t>
    </rPh>
    <rPh sb="40" eb="43">
      <t>フジミ</t>
    </rPh>
    <rPh sb="45" eb="47">
      <t>セイブ</t>
    </rPh>
    <rPh sb="49" eb="52">
      <t>オオミヤエキ</t>
    </rPh>
    <rPh sb="52" eb="54">
      <t>ニシグチ</t>
    </rPh>
    <rPh sb="54" eb="55">
      <t>ユ</t>
    </rPh>
    <rPh sb="56" eb="58">
      <t>ジョウシャ</t>
    </rPh>
    <rPh sb="61" eb="62">
      <t>ヌマ</t>
    </rPh>
    <rPh sb="62" eb="64">
      <t>シゼン</t>
    </rPh>
    <rPh sb="64" eb="66">
      <t>コウエン</t>
    </rPh>
    <rPh sb="66" eb="69">
      <t>テイリュウジョ</t>
    </rPh>
    <rPh sb="69" eb="71">
      <t>ゲシャ</t>
    </rPh>
    <rPh sb="71" eb="73">
      <t>トホ</t>
    </rPh>
    <rPh sb="74" eb="75">
      <t>フン</t>
    </rPh>
    <rPh sb="77" eb="83">
      <t>キョウドウセイカツエンジョ</t>
    </rPh>
    <rPh sb="85" eb="87">
      <t>ヘイセツ</t>
    </rPh>
    <phoneticPr fontId="2"/>
  </si>
  <si>
    <t>ウーリー入間</t>
    <rPh sb="4" eb="6">
      <t>イルマ</t>
    </rPh>
    <phoneticPr fontId="2"/>
  </si>
  <si>
    <t>上藤沢３７５－５９２階</t>
    <rPh sb="0" eb="3">
      <t>カミフジサワ</t>
    </rPh>
    <rPh sb="10" eb="11">
      <t>カイ</t>
    </rPh>
    <phoneticPr fontId="2"/>
  </si>
  <si>
    <t>04-2966-9093</t>
    <phoneticPr fontId="2"/>
  </si>
  <si>
    <t>西武池袋線武蔵藤沢駅より徒歩１５分</t>
    <rPh sb="0" eb="5">
      <t>セイブイケブクロセン</t>
    </rPh>
    <rPh sb="5" eb="9">
      <t>ムサシフジサワ</t>
    </rPh>
    <rPh sb="9" eb="10">
      <t>エキ</t>
    </rPh>
    <rPh sb="12" eb="14">
      <t>トホ</t>
    </rPh>
    <rPh sb="16" eb="17">
      <t>フン</t>
    </rPh>
    <phoneticPr fontId="2"/>
  </si>
  <si>
    <t>ジョブ・キャンパス</t>
    <phoneticPr fontId="2"/>
  </si>
  <si>
    <t>新座市</t>
    <phoneticPr fontId="2"/>
  </si>
  <si>
    <t>新堀１－６－５</t>
    <rPh sb="0" eb="2">
      <t>シンボリ</t>
    </rPh>
    <phoneticPr fontId="2"/>
  </si>
  <si>
    <t>352-0032</t>
    <phoneticPr fontId="2"/>
  </si>
  <si>
    <t>042-420-7457</t>
  </si>
  <si>
    <t>042-420-7458</t>
    <phoneticPr fontId="2"/>
  </si>
  <si>
    <t>Cocorport 所沢第3Office</t>
  </si>
  <si>
    <t>359-1124</t>
  </si>
  <si>
    <t>04-2997-8515</t>
  </si>
  <si>
    <t>04-2997-8516</t>
  </si>
  <si>
    <t>(福)檸檬会</t>
    <rPh sb="3" eb="5">
      <t>レモン</t>
    </rPh>
    <rPh sb="5" eb="6">
      <t>カイ</t>
    </rPh>
    <phoneticPr fontId="2"/>
  </si>
  <si>
    <t>Toy Museum Cafe</t>
  </si>
  <si>
    <t>美南３丁目２５－１　東街区１階</t>
    <rPh sb="0" eb="2">
      <t>ミナミ</t>
    </rPh>
    <rPh sb="3" eb="5">
      <t>チョウメ</t>
    </rPh>
    <rPh sb="10" eb="11">
      <t>ヒガシ</t>
    </rPh>
    <rPh sb="11" eb="13">
      <t>ガイク</t>
    </rPh>
    <rPh sb="14" eb="15">
      <t>カイ</t>
    </rPh>
    <phoneticPr fontId="2"/>
  </si>
  <si>
    <t>342-0038</t>
  </si>
  <si>
    <t>048-940-2976</t>
  </si>
  <si>
    <t>048-940-2977</t>
  </si>
  <si>
    <t>JR武蔵野線吉川美南駅より徒歩４分</t>
    <rPh sb="2" eb="6">
      <t>ムサシノセン</t>
    </rPh>
    <rPh sb="6" eb="10">
      <t>ヨシカワミナミ</t>
    </rPh>
    <rPh sb="10" eb="11">
      <t>エキ</t>
    </rPh>
    <rPh sb="13" eb="15">
      <t>トホ</t>
    </rPh>
    <rPh sb="16" eb="17">
      <t>フン</t>
    </rPh>
    <phoneticPr fontId="2"/>
  </si>
  <si>
    <t>モカ三郷</t>
    <rPh sb="2" eb="4">
      <t>ミサト</t>
    </rPh>
    <phoneticPr fontId="2"/>
  </si>
  <si>
    <t>三郷2丁目1-5　ウインズビル303号室</t>
    <rPh sb="0" eb="2">
      <t>ミサト</t>
    </rPh>
    <rPh sb="3" eb="5">
      <t>チョウメ</t>
    </rPh>
    <rPh sb="18" eb="20">
      <t>ゴウシツ</t>
    </rPh>
    <phoneticPr fontId="2"/>
  </si>
  <si>
    <t>341-0024</t>
  </si>
  <si>
    <t>048-949-0052</t>
  </si>
  <si>
    <t>JR武蔵野線三郷駅より徒歩1分</t>
    <rPh sb="2" eb="6">
      <t>ムサシノセン</t>
    </rPh>
    <rPh sb="6" eb="8">
      <t>ミサト</t>
    </rPh>
    <rPh sb="8" eb="9">
      <t>エキ</t>
    </rPh>
    <rPh sb="11" eb="13">
      <t>トホ</t>
    </rPh>
    <rPh sb="14" eb="15">
      <t>フン</t>
    </rPh>
    <phoneticPr fontId="2"/>
  </si>
  <si>
    <t>340-0824</t>
  </si>
  <si>
    <t>048-954-4213</t>
  </si>
  <si>
    <t>048-954-4214</t>
  </si>
  <si>
    <t>中央6丁目1番29　OhanaⅡ　1階</t>
    <rPh sb="0" eb="2">
      <t>チュウオウ</t>
    </rPh>
    <rPh sb="3" eb="5">
      <t>チョウメ</t>
    </rPh>
    <rPh sb="6" eb="7">
      <t>バン</t>
    </rPh>
    <rPh sb="18" eb="19">
      <t>カイ</t>
    </rPh>
    <phoneticPr fontId="2"/>
  </si>
  <si>
    <t>344-0067</t>
  </si>
  <si>
    <t>048-812-4560</t>
  </si>
  <si>
    <t>048-812-4561</t>
  </si>
  <si>
    <t>東武スカイツリーライン春日部駅西口から徒歩6分</t>
    <rPh sb="11" eb="14">
      <t>カスカベ</t>
    </rPh>
    <rPh sb="14" eb="15">
      <t>エキ</t>
    </rPh>
    <rPh sb="15" eb="17">
      <t>ニシグチ</t>
    </rPh>
    <rPh sb="19" eb="21">
      <t>トホ</t>
    </rPh>
    <rPh sb="22" eb="23">
      <t>フン</t>
    </rPh>
    <phoneticPr fontId="2"/>
  </si>
  <si>
    <t>けやき大袋</t>
    <rPh sb="3" eb="5">
      <t>オオブクロ</t>
    </rPh>
    <phoneticPr fontId="2"/>
  </si>
  <si>
    <t>袋山1424-1 髙橋ビル2階B</t>
    <rPh sb="0" eb="2">
      <t>フクロヤマ</t>
    </rPh>
    <rPh sb="9" eb="10">
      <t>タカ</t>
    </rPh>
    <rPh sb="10" eb="11">
      <t>ハシ</t>
    </rPh>
    <rPh sb="14" eb="15">
      <t>カイ</t>
    </rPh>
    <phoneticPr fontId="2"/>
  </si>
  <si>
    <t>048-970-3388</t>
    <phoneticPr fontId="2"/>
  </si>
  <si>
    <t>048-970-3389</t>
    <phoneticPr fontId="2"/>
  </si>
  <si>
    <t>東部スカイツリーライン大袋駅徒歩3分</t>
    <rPh sb="11" eb="13">
      <t>オオブクロ</t>
    </rPh>
    <phoneticPr fontId="2"/>
  </si>
  <si>
    <t>就労継続支援B型事業所NeoWorｋ東大宮</t>
    <rPh sb="0" eb="2">
      <t>しゅうろう</t>
    </rPh>
    <rPh sb="2" eb="4">
      <t>けいぞく</t>
    </rPh>
    <rPh sb="4" eb="6">
      <t>しえん</t>
    </rPh>
    <rPh sb="7" eb="8">
      <t>かた</t>
    </rPh>
    <rPh sb="8" eb="11">
      <t>じぎょうしょ</t>
    </rPh>
    <rPh sb="18" eb="19">
      <t>ひがし</t>
    </rPh>
    <rPh sb="19" eb="21">
      <t>おおみや</t>
    </rPh>
    <phoneticPr fontId="36" type="Hiragana"/>
  </si>
  <si>
    <t>見沼区東大宮１－７７－６</t>
    <phoneticPr fontId="37"/>
  </si>
  <si>
    <t>080-4795-4879</t>
  </si>
  <si>
    <t>JR東大宮駅から徒歩１５分</t>
    <rPh sb="2" eb="3">
      <t>ヒガシ</t>
    </rPh>
    <rPh sb="3" eb="5">
      <t>オオミヤ</t>
    </rPh>
    <rPh sb="5" eb="6">
      <t>エキ</t>
    </rPh>
    <rPh sb="8" eb="10">
      <t>トホ</t>
    </rPh>
    <rPh sb="12" eb="13">
      <t>フン</t>
    </rPh>
    <phoneticPr fontId="37"/>
  </si>
  <si>
    <t>キズキビジネスカレッジ大宮校</t>
    <rPh sb="11" eb="13">
      <t>おおみや</t>
    </rPh>
    <rPh sb="13" eb="14">
      <t>こう</t>
    </rPh>
    <phoneticPr fontId="38" type="Hiragana"/>
  </si>
  <si>
    <t>大宮区宮町２－７９－７　プラスビル２階</t>
    <rPh sb="0" eb="3">
      <t>オオミヤク</t>
    </rPh>
    <rPh sb="3" eb="5">
      <t>ミヤチョウ</t>
    </rPh>
    <rPh sb="18" eb="19">
      <t>カイ</t>
    </rPh>
    <phoneticPr fontId="36"/>
  </si>
  <si>
    <t>090-5556-0286</t>
  </si>
  <si>
    <t>JR大宮駅東口より徒歩9分</t>
    <rPh sb="2" eb="5">
      <t>オオミヤエキ</t>
    </rPh>
    <rPh sb="5" eb="6">
      <t>ヒガシ</t>
    </rPh>
    <rPh sb="6" eb="7">
      <t>クチ</t>
    </rPh>
    <rPh sb="9" eb="11">
      <t>トホ</t>
    </rPh>
    <rPh sb="12" eb="13">
      <t>フン</t>
    </rPh>
    <phoneticPr fontId="37"/>
  </si>
  <si>
    <t>なごみ</t>
  </si>
  <si>
    <t>浦和区岸町７－６－１３　全埼玉県パンビル　４-B号室</t>
    <phoneticPr fontId="37"/>
  </si>
  <si>
    <t>048-400-2364</t>
  </si>
  <si>
    <t>048-400-2365</t>
  </si>
  <si>
    <t>JR浦和駅西口から徒歩10分</t>
    <rPh sb="2" eb="5">
      <t>ウラワエキ</t>
    </rPh>
    <rPh sb="5" eb="7">
      <t>ニシグチ</t>
    </rPh>
    <rPh sb="9" eb="11">
      <t>トホ</t>
    </rPh>
    <rPh sb="13" eb="14">
      <t>フン</t>
    </rPh>
    <phoneticPr fontId="37"/>
  </si>
  <si>
    <t>生活介護ぽっかぽか</t>
    <rPh sb="0" eb="2">
      <t>セイカツ</t>
    </rPh>
    <rPh sb="2" eb="4">
      <t>カイゴ</t>
    </rPh>
    <phoneticPr fontId="36"/>
  </si>
  <si>
    <t>岩槻区本丸３－２４－４３</t>
    <rPh sb="0" eb="2">
      <t>イワツキ</t>
    </rPh>
    <rPh sb="2" eb="3">
      <t>ク</t>
    </rPh>
    <rPh sb="3" eb="5">
      <t>ホンマル</t>
    </rPh>
    <phoneticPr fontId="36"/>
  </si>
  <si>
    <t>339-0058</t>
  </si>
  <si>
    <t>048-731-8121</t>
  </si>
  <si>
    <t>048-731-8122</t>
  </si>
  <si>
    <t>東武アーバンパークライン東岩槻駅より徒歩17分</t>
    <rPh sb="0" eb="2">
      <t>トウブ</t>
    </rPh>
    <rPh sb="12" eb="13">
      <t>ヒガシ</t>
    </rPh>
    <rPh sb="13" eb="15">
      <t>イワツキ</t>
    </rPh>
    <rPh sb="15" eb="16">
      <t>エキ</t>
    </rPh>
    <rPh sb="18" eb="20">
      <t>トホ</t>
    </rPh>
    <rPh sb="22" eb="23">
      <t>フン</t>
    </rPh>
    <phoneticPr fontId="37"/>
  </si>
  <si>
    <t>就労定着支援ディーキャリアITエキスパート大宮事業所</t>
    <rPh sb="0" eb="2">
      <t>シュウロウ</t>
    </rPh>
    <rPh sb="2" eb="4">
      <t>テイチャク</t>
    </rPh>
    <rPh sb="4" eb="6">
      <t>シエン</t>
    </rPh>
    <rPh sb="21" eb="23">
      <t>オオミヤ</t>
    </rPh>
    <rPh sb="23" eb="26">
      <t>ジギョウショ</t>
    </rPh>
    <phoneticPr fontId="36"/>
  </si>
  <si>
    <t>大宮区桜木町４－２４０　山崎ビル２階東</t>
    <phoneticPr fontId="36"/>
  </si>
  <si>
    <t>330-0854</t>
    <phoneticPr fontId="37"/>
  </si>
  <si>
    <t>048-662-9722</t>
    <phoneticPr fontId="37"/>
  </si>
  <si>
    <t>048-662-9723</t>
    <phoneticPr fontId="37"/>
  </si>
  <si>
    <t>JR大宮駅から徒歩７分</t>
    <rPh sb="2" eb="4">
      <t>オオミヤ</t>
    </rPh>
    <rPh sb="4" eb="5">
      <t>エキ</t>
    </rPh>
    <rPh sb="7" eb="9">
      <t>トホ</t>
    </rPh>
    <rPh sb="10" eb="11">
      <t>フン</t>
    </rPh>
    <phoneticPr fontId="37"/>
  </si>
  <si>
    <t>かなうラボ埼玉会館前</t>
    <rPh sb="4" eb="6">
      <t>さいたま</t>
    </rPh>
    <rPh sb="6" eb="8">
      <t>かいかん</t>
    </rPh>
    <rPh sb="8" eb="9">
      <t>まえ</t>
    </rPh>
    <phoneticPr fontId="37" type="Hiragana"/>
  </si>
  <si>
    <t>浦和区高砂３－６－１けやきビル６階</t>
    <phoneticPr fontId="37"/>
  </si>
  <si>
    <t>330-0063</t>
    <phoneticPr fontId="37" type="Hiragana"/>
  </si>
  <si>
    <t>048-755-9725</t>
    <phoneticPr fontId="37" type="Hiragana"/>
  </si>
  <si>
    <t>048-610-8563</t>
    <phoneticPr fontId="37" type="Hiragana"/>
  </si>
  <si>
    <t>JR浦和駅から徒歩９分</t>
    <rPh sb="2" eb="5">
      <t>ウラワエキ</t>
    </rPh>
    <rPh sb="7" eb="9">
      <t>トホ</t>
    </rPh>
    <rPh sb="10" eb="11">
      <t>フン</t>
    </rPh>
    <phoneticPr fontId="37"/>
  </si>
  <si>
    <t>かなうラボ沼影</t>
    <rPh sb="5" eb="7">
      <t>ヌマカゲ</t>
    </rPh>
    <phoneticPr fontId="40"/>
  </si>
  <si>
    <t>南区沼影１-１８－９</t>
    <phoneticPr fontId="37"/>
  </si>
  <si>
    <t>336-0027</t>
    <phoneticPr fontId="37"/>
  </si>
  <si>
    <t>048-755-9725</t>
    <phoneticPr fontId="37"/>
  </si>
  <si>
    <t>049-610-8563</t>
    <phoneticPr fontId="37"/>
  </si>
  <si>
    <t>JR武蔵浦和駅から徒歩６分</t>
    <rPh sb="2" eb="6">
      <t>ムサシウラワ</t>
    </rPh>
    <rPh sb="6" eb="7">
      <t>エキ</t>
    </rPh>
    <rPh sb="9" eb="11">
      <t>トホ</t>
    </rPh>
    <rPh sb="12" eb="13">
      <t>フン</t>
    </rPh>
    <phoneticPr fontId="37"/>
  </si>
  <si>
    <t>日中支援型障がい者グループホームこなみ春岡（短期入所）</t>
  </si>
  <si>
    <t>見沼区春岡１－２３－５</t>
    <rPh sb="0" eb="2">
      <t>ミヌマ</t>
    </rPh>
    <rPh sb="2" eb="3">
      <t>ク</t>
    </rPh>
    <rPh sb="3" eb="5">
      <t>ハルオカ</t>
    </rPh>
    <phoneticPr fontId="37"/>
  </si>
  <si>
    <t>337-0008</t>
    <phoneticPr fontId="37"/>
  </si>
  <si>
    <t>048-796-8183</t>
    <phoneticPr fontId="37"/>
  </si>
  <si>
    <t>小仙波911-1</t>
    <phoneticPr fontId="2" type="Hiragana"/>
  </si>
  <si>
    <t>でじるみ埼玉川越</t>
  </si>
  <si>
    <t>川越市</t>
    <rPh sb="0" eb="3">
      <t>カワゴエシ</t>
    </rPh>
    <phoneticPr fontId="33"/>
  </si>
  <si>
    <t>石田64-3石田ビル201号</t>
  </si>
  <si>
    <t>049-298-5853</t>
  </si>
  <si>
    <t>049-298-5854</t>
  </si>
  <si>
    <t>東武バス康正会病院前バス停より徒歩9分</t>
    <rPh sb="0" eb="2">
      <t>トウブ</t>
    </rPh>
    <rPh sb="4" eb="6">
      <t>ヤスマサ</t>
    </rPh>
    <rPh sb="6" eb="7">
      <t>カイ</t>
    </rPh>
    <rPh sb="7" eb="9">
      <t>ビョウイン</t>
    </rPh>
    <rPh sb="9" eb="10">
      <t>マエ</t>
    </rPh>
    <rPh sb="12" eb="13">
      <t>テイ</t>
    </rPh>
    <rPh sb="15" eb="17">
      <t>トホ</t>
    </rPh>
    <rPh sb="18" eb="19">
      <t>フン</t>
    </rPh>
    <phoneticPr fontId="33"/>
  </si>
  <si>
    <t>お仕事サプリKOHAKU</t>
  </si>
  <si>
    <t>並木241-1　1階店舗B</t>
  </si>
  <si>
    <t>350-0023</t>
  </si>
  <si>
    <t>090-1045-5239</t>
  </si>
  <si>
    <t>JR線南古谷駅徒歩1分</t>
    <rPh sb="2" eb="3">
      <t>セン</t>
    </rPh>
    <rPh sb="3" eb="6">
      <t>ミナミフルヤ</t>
    </rPh>
    <rPh sb="6" eb="7">
      <t>エキ</t>
    </rPh>
    <rPh sb="7" eb="9">
      <t>トホ</t>
    </rPh>
    <rPh sb="10" eb="11">
      <t>フン</t>
    </rPh>
    <phoneticPr fontId="33"/>
  </si>
  <si>
    <t>医療法人越魂会</t>
  </si>
  <si>
    <t>ここいろてらす</t>
  </si>
  <si>
    <t>新宿町3-7-2</t>
    <rPh sb="0" eb="2">
      <t>シンジュク</t>
    </rPh>
    <rPh sb="2" eb="3">
      <t>チョウ</t>
    </rPh>
    <phoneticPr fontId="33"/>
  </si>
  <si>
    <t>049-291-4977</t>
  </si>
  <si>
    <t>JR・東武東上線川越駅徒歩1３分</t>
    <rPh sb="3" eb="8">
      <t>トウブトウジョウセン</t>
    </rPh>
    <rPh sb="8" eb="10">
      <t>カワゴエ</t>
    </rPh>
    <rPh sb="10" eb="11">
      <t>エキ</t>
    </rPh>
    <rPh sb="11" eb="13">
      <t>トホ</t>
    </rPh>
    <rPh sb="15" eb="16">
      <t>フン</t>
    </rPh>
    <phoneticPr fontId="33"/>
  </si>
  <si>
    <t>049-291-4976</t>
  </si>
  <si>
    <t>ヨルベアル東川口</t>
    <rPh sb="5" eb="8">
      <t>ひがしかわぐち</t>
    </rPh>
    <phoneticPr fontId="2" type="Hiragana"/>
  </si>
  <si>
    <t>川口市</t>
    <rPh sb="0" eb="2">
      <t>かわぐち</t>
    </rPh>
    <rPh sb="2" eb="3">
      <t>し</t>
    </rPh>
    <phoneticPr fontId="2" type="Hiragana"/>
  </si>
  <si>
    <t>333-0801</t>
    <phoneticPr fontId="2" type="Hiragana"/>
  </si>
  <si>
    <t>050-3117-4277</t>
    <phoneticPr fontId="2" type="Hiragana"/>
  </si>
  <si>
    <t>050-3117-4276</t>
    <phoneticPr fontId="2" type="Hiragana"/>
  </si>
  <si>
    <t>（電車）東川口駅から徒歩３分</t>
    <rPh sb="1" eb="3">
      <t>でんしゃ</t>
    </rPh>
    <rPh sb="4" eb="5">
      <t>ひがし</t>
    </rPh>
    <rPh sb="5" eb="7">
      <t>かわぐち</t>
    </rPh>
    <rPh sb="7" eb="8">
      <t>えき</t>
    </rPh>
    <rPh sb="10" eb="12">
      <t>とほ</t>
    </rPh>
    <rPh sb="13" eb="14">
      <t>ふん</t>
    </rPh>
    <phoneticPr fontId="2" type="Hiragana"/>
  </si>
  <si>
    <t>うらら</t>
    <phoneticPr fontId="2" type="Hiragana"/>
  </si>
  <si>
    <t>333-0815</t>
    <phoneticPr fontId="2" type="Hiragana"/>
  </si>
  <si>
    <t>048-446-6097</t>
    <phoneticPr fontId="2" type="Hiragana"/>
  </si>
  <si>
    <t>048-446-6296</t>
    <phoneticPr fontId="2" type="Hiragana"/>
  </si>
  <si>
    <t>（バス）東川口駅南口から川口駅東口行き「北原台」徒歩２分</t>
    <rPh sb="4" eb="5">
      <t>ひがし</t>
    </rPh>
    <rPh sb="5" eb="7">
      <t>かわぐち</t>
    </rPh>
    <rPh sb="7" eb="8">
      <t>えき</t>
    </rPh>
    <rPh sb="8" eb="10">
      <t>みなみぐち</t>
    </rPh>
    <rPh sb="12" eb="15">
      <t>かわぐちえき</t>
    </rPh>
    <rPh sb="15" eb="17">
      <t>ひがしぐち</t>
    </rPh>
    <rPh sb="17" eb="18">
      <t>い</t>
    </rPh>
    <rPh sb="20" eb="22">
      <t>きたはら</t>
    </rPh>
    <rPh sb="22" eb="23">
      <t>だい</t>
    </rPh>
    <rPh sb="24" eb="26">
      <t>とほ</t>
    </rPh>
    <rPh sb="27" eb="28">
      <t>ふん</t>
    </rPh>
    <phoneticPr fontId="2" type="Hiragana"/>
  </si>
  <si>
    <t>就労
選択</t>
    <rPh sb="0" eb="2">
      <t>しゅうろう</t>
    </rPh>
    <rPh sb="3" eb="5">
      <t>せんたく</t>
    </rPh>
    <phoneticPr fontId="2" type="Hiragana"/>
  </si>
  <si>
    <t>東武越生線川角駅から徒歩２３分
※共同生活援助の空床利用</t>
    <rPh sb="0" eb="2">
      <t>トウブ</t>
    </rPh>
    <rPh sb="2" eb="4">
      <t>オゴセ</t>
    </rPh>
    <rPh sb="4" eb="5">
      <t>セン</t>
    </rPh>
    <rPh sb="5" eb="7">
      <t>カワスミ</t>
    </rPh>
    <rPh sb="7" eb="8">
      <t>エキ</t>
    </rPh>
    <rPh sb="10" eb="12">
      <t>トホ</t>
    </rPh>
    <rPh sb="14" eb="15">
      <t>プン</t>
    </rPh>
    <phoneticPr fontId="2"/>
  </si>
  <si>
    <t>就労選択支援事業所ひだまり</t>
    <rPh sb="0" eb="2">
      <t>シュウロウ</t>
    </rPh>
    <rPh sb="2" eb="4">
      <t>センタク</t>
    </rPh>
    <rPh sb="4" eb="6">
      <t>シエン</t>
    </rPh>
    <rPh sb="6" eb="8">
      <t>ジギョウ</t>
    </rPh>
    <rPh sb="8" eb="9">
      <t>ショ</t>
    </rPh>
    <phoneticPr fontId="2"/>
  </si>
  <si>
    <t>ＪＲ大宮駅から徒歩７分</t>
    <rPh sb="2" eb="5">
      <t>オオミヤエキ</t>
    </rPh>
    <rPh sb="7" eb="9">
      <t>トホ</t>
    </rPh>
    <rPh sb="10" eb="11">
      <t>フン</t>
    </rPh>
    <phoneticPr fontId="2"/>
  </si>
  <si>
    <t>キャリカク北浦和事業所</t>
    <rPh sb="5" eb="6">
      <t>キタ</t>
    </rPh>
    <rPh sb="6" eb="8">
      <t>ウラワ</t>
    </rPh>
    <rPh sb="8" eb="11">
      <t>ジギョウショ</t>
    </rPh>
    <phoneticPr fontId="2"/>
  </si>
  <si>
    <t>浦和区常盤９－１９－６　松村ビル　２A</t>
  </si>
  <si>
    <t>048-400-0478</t>
  </si>
  <si>
    <t>048-400-0479</t>
  </si>
  <si>
    <t>JR北浦和駅から徒歩2分</t>
    <rPh sb="2" eb="6">
      <t>キタウラワエキ</t>
    </rPh>
    <rPh sb="8" eb="10">
      <t>トホ</t>
    </rPh>
    <rPh sb="11" eb="12">
      <t>フン</t>
    </rPh>
    <phoneticPr fontId="2"/>
  </si>
  <si>
    <t>LITALICOワークスさいたま浦和</t>
  </si>
  <si>
    <t>中央区新中里１－３－３　埼大通りメディカルビル４階</t>
  </si>
  <si>
    <t>JR南与野駅から徒歩11分</t>
    <rPh sb="2" eb="3">
      <t>ミナミ</t>
    </rPh>
    <rPh sb="3" eb="5">
      <t>ヨノ</t>
    </rPh>
    <rPh sb="5" eb="6">
      <t>エキ</t>
    </rPh>
    <rPh sb="8" eb="10">
      <t>トホ</t>
    </rPh>
    <rPh sb="12" eb="13">
      <t>フン</t>
    </rPh>
    <phoneticPr fontId="2"/>
  </si>
  <si>
    <t>チャレンジドジャパン大宮センター</t>
    <rPh sb="10" eb="12">
      <t>オオミヤ</t>
    </rPh>
    <phoneticPr fontId="7"/>
  </si>
  <si>
    <t>大宮区吉敷町４－１３－２　Jプロ大宮ビル４階</t>
    <rPh sb="0" eb="3">
      <t>オオミヤク</t>
    </rPh>
    <rPh sb="3" eb="5">
      <t>ヨシキ</t>
    </rPh>
    <rPh sb="5" eb="6">
      <t>チョウ</t>
    </rPh>
    <rPh sb="16" eb="18">
      <t>オオミヤ</t>
    </rPh>
    <rPh sb="21" eb="22">
      <t>カイ</t>
    </rPh>
    <phoneticPr fontId="7"/>
  </si>
  <si>
    <t>ＪＲさいたま新都心駅より徒歩5分</t>
    <rPh sb="6" eb="10">
      <t>シントシンエキ</t>
    </rPh>
    <rPh sb="12" eb="14">
      <t>トホ</t>
    </rPh>
    <rPh sb="15" eb="16">
      <t>フン</t>
    </rPh>
    <phoneticPr fontId="2"/>
  </si>
  <si>
    <t>Engine</t>
  </si>
  <si>
    <t>見沼区大和田町１－９１６－３</t>
  </si>
  <si>
    <t>048-613-8989</t>
  </si>
  <si>
    <t>東武アーバンパークライン大和田駅より徒歩11分</t>
    <rPh sb="0" eb="2">
      <t>トウブ</t>
    </rPh>
    <rPh sb="12" eb="15">
      <t>オオワダ</t>
    </rPh>
    <rPh sb="15" eb="16">
      <t>エキ</t>
    </rPh>
    <rPh sb="18" eb="20">
      <t>トホ</t>
    </rPh>
    <rPh sb="22" eb="23">
      <t>フン</t>
    </rPh>
    <phoneticPr fontId="2"/>
  </si>
  <si>
    <t>Ｃｏｃｏｒｐｏｒｔ南浦和駅前Ｏｆｆｉｃｅ</t>
    <rPh sb="9" eb="12">
      <t>みなみうらわ</t>
    </rPh>
    <rPh sb="12" eb="13">
      <t>えき</t>
    </rPh>
    <rPh sb="13" eb="14">
      <t>まえ</t>
    </rPh>
    <phoneticPr fontId="8" type="Hiragana"/>
  </si>
  <si>
    <t>南区南浦和２－４４－９　榎本第３ビル４階</t>
  </si>
  <si>
    <t>JR南浦和駅から徒歩3分</t>
    <rPh sb="2" eb="3">
      <t>ミナミ</t>
    </rPh>
    <rPh sb="3" eb="5">
      <t>ウラワ</t>
    </rPh>
    <rPh sb="5" eb="6">
      <t>エキ</t>
    </rPh>
    <rPh sb="8" eb="10">
      <t>トホ</t>
    </rPh>
    <rPh sb="11" eb="12">
      <t>フン</t>
    </rPh>
    <phoneticPr fontId="2"/>
  </si>
  <si>
    <t>FITIME大宮</t>
    <rPh sb="6" eb="8">
      <t>おおみや</t>
    </rPh>
    <phoneticPr fontId="8" type="Hiragana"/>
  </si>
  <si>
    <t>ニューシャトル鉄道博物館駅より徒歩７分</t>
    <rPh sb="7" eb="9">
      <t>テツドウ</t>
    </rPh>
    <rPh sb="9" eb="12">
      <t>ハクブツカン</t>
    </rPh>
    <rPh sb="12" eb="13">
      <t>エキ</t>
    </rPh>
    <rPh sb="15" eb="17">
      <t>トホ</t>
    </rPh>
    <rPh sb="18" eb="19">
      <t>フン</t>
    </rPh>
    <phoneticPr fontId="2"/>
  </si>
  <si>
    <t>スタートシップ浦和北</t>
    <rPh sb="7" eb="9">
      <t>うらわ</t>
    </rPh>
    <rPh sb="9" eb="10">
      <t>きた</t>
    </rPh>
    <phoneticPr fontId="8" type="Hiragana"/>
  </si>
  <si>
    <t>浦和区北浦和３－１３－１９　シャトール北浦和</t>
    <rPh sb="0" eb="2">
      <t>ウラワ</t>
    </rPh>
    <rPh sb="2" eb="3">
      <t>ク</t>
    </rPh>
    <rPh sb="3" eb="4">
      <t>キタ</t>
    </rPh>
    <rPh sb="4" eb="6">
      <t>ウラワ</t>
    </rPh>
    <rPh sb="19" eb="20">
      <t>キタ</t>
    </rPh>
    <rPh sb="20" eb="22">
      <t>ウラワ</t>
    </rPh>
    <phoneticPr fontId="5"/>
  </si>
  <si>
    <t>048-711-2750</t>
  </si>
  <si>
    <t>JR北浦和駅から徒歩4分</t>
    <rPh sb="2" eb="6">
      <t>キタウラワエキ</t>
    </rPh>
    <rPh sb="8" eb="10">
      <t>トホ</t>
    </rPh>
    <rPh sb="11" eb="12">
      <t>フン</t>
    </rPh>
    <phoneticPr fontId="2"/>
  </si>
  <si>
    <t>サンフォレスト浦和美園</t>
    <rPh sb="7" eb="9">
      <t>うらわ</t>
    </rPh>
    <rPh sb="9" eb="11">
      <t>みその</t>
    </rPh>
    <phoneticPr fontId="5" type="Hiragana"/>
  </si>
  <si>
    <t>緑区間宮７３４　１階</t>
    <rPh sb="0" eb="2">
      <t>ミドリク</t>
    </rPh>
    <rPh sb="2" eb="4">
      <t>マミヤ</t>
    </rPh>
    <rPh sb="9" eb="10">
      <t>カイ</t>
    </rPh>
    <phoneticPr fontId="5"/>
  </si>
  <si>
    <t>国際興業バス武蔵野学院入口バス停下車徒歩３分</t>
    <rPh sb="0" eb="2">
      <t>コクサイ</t>
    </rPh>
    <rPh sb="2" eb="4">
      <t>コウギョウ</t>
    </rPh>
    <rPh sb="6" eb="9">
      <t>ムサシノ</t>
    </rPh>
    <rPh sb="9" eb="11">
      <t>ガクイン</t>
    </rPh>
    <rPh sb="11" eb="12">
      <t>イ</t>
    </rPh>
    <rPh sb="12" eb="13">
      <t>グチ</t>
    </rPh>
    <rPh sb="15" eb="16">
      <t>テイ</t>
    </rPh>
    <rPh sb="16" eb="18">
      <t>ゲシャ</t>
    </rPh>
    <rPh sb="18" eb="20">
      <t>トホ</t>
    </rPh>
    <rPh sb="21" eb="22">
      <t>フン</t>
    </rPh>
    <phoneticPr fontId="2"/>
  </si>
  <si>
    <t>就労選択支援ディーキャリア大宮事業所</t>
    <rPh sb="0" eb="2">
      <t>シュウロウ</t>
    </rPh>
    <rPh sb="2" eb="4">
      <t>センタク</t>
    </rPh>
    <rPh sb="4" eb="6">
      <t>シエン</t>
    </rPh>
    <rPh sb="13" eb="15">
      <t>オオミヤ</t>
    </rPh>
    <rPh sb="15" eb="18">
      <t>ジギョウショ</t>
    </rPh>
    <phoneticPr fontId="7"/>
  </si>
  <si>
    <t>大宮区桜木町４－２４０　山崎ビル２階東</t>
    <rPh sb="0" eb="2">
      <t>おおみや</t>
    </rPh>
    <phoneticPr fontId="2" type="Hiragana"/>
  </si>
  <si>
    <t>チャレンジドジャパン大宮センター</t>
    <rPh sb="10" eb="12">
      <t>オオミヤ</t>
    </rPh>
    <phoneticPr fontId="3"/>
  </si>
  <si>
    <t>048-711-2750</t>
    <phoneticPr fontId="2" type="Hiragana"/>
  </si>
  <si>
    <t>子どもデイサービスいるか</t>
    <rPh sb="0" eb="1">
      <t>コ</t>
    </rPh>
    <phoneticPr fontId="2"/>
  </si>
  <si>
    <t>蒲生茜町41-1</t>
    <rPh sb="0" eb="4">
      <t>ガモウアカネチョウ</t>
    </rPh>
    <phoneticPr fontId="2"/>
  </si>
  <si>
    <t>343-0838</t>
    <phoneticPr fontId="2"/>
  </si>
  <si>
    <t>048-930-7211</t>
    <phoneticPr fontId="2"/>
  </si>
  <si>
    <t>048-930-7212</t>
    <phoneticPr fontId="2"/>
  </si>
  <si>
    <t>東部スカイツリーライン蒲生駅徒歩10分</t>
    <rPh sb="11" eb="13">
      <t>ガモウ</t>
    </rPh>
    <phoneticPr fontId="2"/>
  </si>
  <si>
    <t>越ケ谷1-11-36 TOHO36ビル4F</t>
    <rPh sb="0" eb="3">
      <t>コシガヤ</t>
    </rPh>
    <phoneticPr fontId="2"/>
  </si>
  <si>
    <t>東京スカイツリーライン越谷駅徒歩4分</t>
    <rPh sb="0" eb="2">
      <t>トウキョウ</t>
    </rPh>
    <rPh sb="11" eb="14">
      <t>コシガヤエキ</t>
    </rPh>
    <rPh sb="14" eb="16">
      <t>トホ</t>
    </rPh>
    <rPh sb="17" eb="18">
      <t>フン</t>
    </rPh>
    <phoneticPr fontId="2"/>
  </si>
  <si>
    <t>就労選択支援事業所　ウェルビー川越駅前第３センター</t>
  </si>
  <si>
    <t>川越市</t>
    <rPh sb="0" eb="3">
      <t>カワゴエシ</t>
    </rPh>
    <phoneticPr fontId="33"/>
  </si>
  <si>
    <t>川越市</t>
    <rPh sb="0" eb="3">
      <t>カワゴエシ</t>
    </rPh>
    <phoneticPr fontId="2"/>
  </si>
  <si>
    <t>脇田本町９－１６　YKビル６階</t>
    <phoneticPr fontId="2"/>
  </si>
  <si>
    <t>JR・東武東上線川越駅徒歩４分</t>
    <phoneticPr fontId="2"/>
  </si>
  <si>
    <t>就労定着支援ディーキャリア川越事業所</t>
  </si>
  <si>
    <t>脇田町18-1川越駅前ビル4階</t>
  </si>
  <si>
    <t>049-256-9600</t>
  </si>
  <si>
    <t>049-256-9601</t>
  </si>
  <si>
    <t>JR・東武東上線川越駅徒歩２分</t>
  </si>
  <si>
    <t>就労選択支援ディーキャリア川越事業所</t>
  </si>
  <si>
    <t>あしたのタネ川越六軒町</t>
  </si>
  <si>
    <t>六軒町2-16-5インパクト川越5階</t>
  </si>
  <si>
    <t>350-0041</t>
  </si>
  <si>
    <t>あいらんど　川越</t>
  </si>
  <si>
    <t>池辺323-2</t>
  </si>
  <si>
    <t>350-1171</t>
  </si>
  <si>
    <t>080-5676-4396</t>
  </si>
  <si>
    <t>重度心身障害児者対象　児童発達支援・放課後等デイサービスと多機能
西武新宿線南大塚駅から徒歩28分</t>
    <rPh sb="0" eb="4">
      <t>ジュウドシンシン</t>
    </rPh>
    <rPh sb="4" eb="6">
      <t>ショウガイ</t>
    </rPh>
    <rPh sb="6" eb="7">
      <t>ジ</t>
    </rPh>
    <rPh sb="7" eb="8">
      <t>シャ</t>
    </rPh>
    <rPh sb="8" eb="10">
      <t>タイショウ</t>
    </rPh>
    <rPh sb="11" eb="13">
      <t>ジドウ</t>
    </rPh>
    <rPh sb="13" eb="15">
      <t>ハッタツ</t>
    </rPh>
    <rPh sb="15" eb="17">
      <t>シエン</t>
    </rPh>
    <rPh sb="18" eb="22">
      <t>ホウカゴトウ</t>
    </rPh>
    <rPh sb="29" eb="32">
      <t>タキノウ</t>
    </rPh>
    <rPh sb="38" eb="42">
      <t>ミナミオオツカエキ</t>
    </rPh>
    <rPh sb="44" eb="46">
      <t>トホ</t>
    </rPh>
    <rPh sb="48" eb="49">
      <t>フン</t>
    </rPh>
    <phoneticPr fontId="33"/>
  </si>
  <si>
    <t>JR・東武東上線川越駅徒歩２分</t>
    <phoneticPr fontId="33"/>
  </si>
  <si>
    <t>西武バス中原町より徒歩３分</t>
    <rPh sb="4" eb="6">
      <t>ナカハラ</t>
    </rPh>
    <rPh sb="6" eb="7">
      <t>マチ</t>
    </rPh>
    <phoneticPr fontId="33"/>
  </si>
  <si>
    <t>サンフォレスト川口</t>
    <rPh sb="7" eb="9">
      <t>かわぐち</t>
    </rPh>
    <phoneticPr fontId="20" type="Hiragana"/>
  </si>
  <si>
    <t>川口市</t>
    <rPh sb="0" eb="3">
      <t>かわぐちし</t>
    </rPh>
    <phoneticPr fontId="20" type="Hiragana"/>
  </si>
  <si>
    <t>333-0845</t>
  </si>
  <si>
    <t>048-446-9723</t>
  </si>
  <si>
    <t>048-446-9722</t>
  </si>
  <si>
    <t>（バス）川口駅東口から川口市立高校経由鳩ヶ谷公団住宅行き「川口市立高校」から徒歩４分</t>
    <rPh sb="4" eb="7">
      <t>かわぐちえき</t>
    </rPh>
    <rPh sb="7" eb="9">
      <t>ひがしぐち</t>
    </rPh>
    <rPh sb="11" eb="13">
      <t>かわぐち</t>
    </rPh>
    <rPh sb="13" eb="15">
      <t>しりつ</t>
    </rPh>
    <rPh sb="15" eb="17">
      <t>こうこう</t>
    </rPh>
    <rPh sb="17" eb="19">
      <t>けいゆ</t>
    </rPh>
    <rPh sb="19" eb="22">
      <t>はとがや</t>
    </rPh>
    <rPh sb="22" eb="24">
      <t>こうだん</t>
    </rPh>
    <rPh sb="24" eb="26">
      <t>じゅうたく</t>
    </rPh>
    <rPh sb="26" eb="27">
      <t>い</t>
    </rPh>
    <rPh sb="29" eb="35">
      <t>かわぐちしりつこうこう</t>
    </rPh>
    <rPh sb="38" eb="40">
      <t>とほ</t>
    </rPh>
    <rPh sb="41" eb="42">
      <t>ふん</t>
    </rPh>
    <phoneticPr fontId="20" type="Hiragana"/>
  </si>
  <si>
    <t>就労選択支援事業所
ウェルビー西川口センター</t>
    <rPh sb="0" eb="4">
      <t>しゅうろうせんたく</t>
    </rPh>
    <rPh sb="4" eb="6">
      <t>しえん</t>
    </rPh>
    <rPh sb="6" eb="8">
      <t>じぎょう</t>
    </rPh>
    <rPh sb="8" eb="9">
      <t>しょ</t>
    </rPh>
    <rPh sb="15" eb="18">
      <t>にしかわぐち</t>
    </rPh>
    <phoneticPr fontId="20" type="Hiragana"/>
  </si>
  <si>
    <t>048-240-6363</t>
  </si>
  <si>
    <t>048-240-6364</t>
  </si>
  <si>
    <t>（電車）西川口駅から徒歩１分</t>
    <rPh sb="1" eb="3">
      <t>でんしゃ</t>
    </rPh>
    <rPh sb="4" eb="7">
      <t>にしかわぐち</t>
    </rPh>
    <rPh sb="7" eb="8">
      <t>えき</t>
    </rPh>
    <rPh sb="10" eb="12">
      <t>とほ</t>
    </rPh>
    <rPh sb="13" eb="14">
      <t>ふん</t>
    </rPh>
    <phoneticPr fontId="20" type="Hiragana"/>
  </si>
  <si>
    <t>ＳＡＫＵＲＡわらびセンター</t>
  </si>
  <si>
    <t>048-260-3921</t>
  </si>
  <si>
    <t>048-260-3922</t>
  </si>
  <si>
    <t>（電車）蕨駅から徒歩３分</t>
    <rPh sb="1" eb="3">
      <t>でんしゃ</t>
    </rPh>
    <rPh sb="4" eb="5">
      <t>わらび</t>
    </rPh>
    <rPh sb="5" eb="6">
      <t>えき</t>
    </rPh>
    <rPh sb="8" eb="10">
      <t>とほ</t>
    </rPh>
    <rPh sb="11" eb="12">
      <t>ふん</t>
    </rPh>
    <phoneticPr fontId="20" type="Hiragana"/>
  </si>
  <si>
    <t>並木3-1-1　第二福原ビル5階</t>
    <rPh sb="0" eb="2">
      <t>なみき</t>
    </rPh>
    <rPh sb="8" eb="9">
      <t>だい</t>
    </rPh>
    <rPh sb="9" eb="10">
      <t>に</t>
    </rPh>
    <rPh sb="10" eb="12">
      <t>ふくはら</t>
    </rPh>
    <rPh sb="15" eb="16">
      <t>かい</t>
    </rPh>
    <phoneticPr fontId="20" type="Hiragana"/>
  </si>
  <si>
    <t>芝新町4-6YS TOWER6階</t>
    <rPh sb="0" eb="3">
      <t>しばしんまち</t>
    </rPh>
    <rPh sb="15" eb="16">
      <t>かい</t>
    </rPh>
    <phoneticPr fontId="20" type="Hiragana"/>
  </si>
  <si>
    <t>332-0021</t>
    <phoneticPr fontId="2" type="Hiragana"/>
  </si>
  <si>
    <t>048-251-3001</t>
    <phoneticPr fontId="2"/>
  </si>
  <si>
    <t>048-251-3002</t>
    <phoneticPr fontId="2"/>
  </si>
  <si>
    <t>アドライズplus　蕨駅前センター</t>
    <rPh sb="10" eb="13">
      <t>わらびえきまえ</t>
    </rPh>
    <phoneticPr fontId="20" type="Hiragana"/>
  </si>
  <si>
    <t>川口市</t>
    <rPh sb="0" eb="2">
      <t>かわぐち</t>
    </rPh>
    <rPh sb="2" eb="3">
      <t>し</t>
    </rPh>
    <phoneticPr fontId="20" type="Hiragana"/>
  </si>
  <si>
    <t>048-486-9671</t>
  </si>
  <si>
    <t>048-486-9672</t>
  </si>
  <si>
    <t>リビットホーム東川口（短期入所）</t>
    <rPh sb="7" eb="8">
      <t>ひがし</t>
    </rPh>
    <rPh sb="8" eb="10">
      <t>かわぐち</t>
    </rPh>
    <rPh sb="11" eb="15">
      <t>たんきにゅうしょ</t>
    </rPh>
    <phoneticPr fontId="20" type="Hiragana"/>
  </si>
  <si>
    <t>安行藤八587</t>
    <rPh sb="0" eb="4">
      <t>あんぎょうとうはち</t>
    </rPh>
    <phoneticPr fontId="20" type="Hiragana"/>
  </si>
  <si>
    <t>334-0051</t>
  </si>
  <si>
    <t>048-229-1491</t>
  </si>
  <si>
    <t>048-229-1492</t>
  </si>
  <si>
    <t>埼玉高速鉄道　戸塚安行駅から徒歩９分</t>
    <rPh sb="0" eb="2">
      <t>さいたま</t>
    </rPh>
    <rPh sb="2" eb="4">
      <t>こうそく</t>
    </rPh>
    <rPh sb="4" eb="6">
      <t>てつどう</t>
    </rPh>
    <rPh sb="7" eb="9">
      <t>とつか</t>
    </rPh>
    <rPh sb="9" eb="11">
      <t>あんぎょう</t>
    </rPh>
    <rPh sb="11" eb="12">
      <t>えき</t>
    </rPh>
    <rPh sb="14" eb="16">
      <t>とほ</t>
    </rPh>
    <rPh sb="17" eb="18">
      <t>ふん</t>
    </rPh>
    <phoneticPr fontId="20" type="Hiragana"/>
  </si>
  <si>
    <t>（株）あしたの花</t>
    <rPh sb="0" eb="3">
      <t>カブ</t>
    </rPh>
    <rPh sb="7" eb="8">
      <t>ハナ</t>
    </rPh>
    <phoneticPr fontId="2"/>
  </si>
  <si>
    <t>あしたのタネ上尾駅前</t>
    <rPh sb="6" eb="10">
      <t>アゲオエキマエ</t>
    </rPh>
    <phoneticPr fontId="2"/>
  </si>
  <si>
    <t>谷津２丁目１－３７ミキビル３Ｆ</t>
    <phoneticPr fontId="2"/>
  </si>
  <si>
    <t>048₋788₋4770</t>
    <phoneticPr fontId="2"/>
  </si>
  <si>
    <t>048₋788₋4771</t>
    <phoneticPr fontId="2"/>
  </si>
  <si>
    <t>JR高崎線上尾駅から徒歩2分</t>
    <rPh sb="2" eb="5">
      <t>タカサキセン</t>
    </rPh>
    <rPh sb="5" eb="8">
      <t>アゲオエキ</t>
    </rPh>
    <rPh sb="10" eb="12">
      <t>トホ</t>
    </rPh>
    <rPh sb="13" eb="14">
      <t>フン</t>
    </rPh>
    <phoneticPr fontId="2"/>
  </si>
  <si>
    <t>入間東部むさしの作業所</t>
    <rPh sb="0" eb="4">
      <t>イルマトウブ</t>
    </rPh>
    <rPh sb="8" eb="11">
      <t>サギョウショ</t>
    </rPh>
    <phoneticPr fontId="2"/>
  </si>
  <si>
    <t>上南畑３２６２－１</t>
    <phoneticPr fontId="2"/>
  </si>
  <si>
    <t>354-0002</t>
    <phoneticPr fontId="2"/>
  </si>
  <si>
    <t>049‐252‐5270</t>
    <phoneticPr fontId="2"/>
  </si>
  <si>
    <t>049‐252‐5279</t>
    <phoneticPr fontId="2"/>
  </si>
  <si>
    <t>東武東上線鶴瀬駅から車で5分</t>
    <rPh sb="0" eb="5">
      <t>トウブトウジョウセン</t>
    </rPh>
    <rPh sb="5" eb="8">
      <t>ツルセエキ</t>
    </rPh>
    <rPh sb="10" eb="11">
      <t>クルマ</t>
    </rPh>
    <rPh sb="13" eb="14">
      <t>フン</t>
    </rPh>
    <phoneticPr fontId="2"/>
  </si>
  <si>
    <t>障害者就労支援事業所りん</t>
    <rPh sb="0" eb="3">
      <t>ショウガイシャ</t>
    </rPh>
    <rPh sb="3" eb="10">
      <t>シュウロウシエンジギョウショ</t>
    </rPh>
    <phoneticPr fontId="2"/>
  </si>
  <si>
    <t>志賀４６９－１</t>
    <phoneticPr fontId="2"/>
  </si>
  <si>
    <t>090‐8840‐1862</t>
    <phoneticPr fontId="2"/>
  </si>
  <si>
    <t>0493‐62‐1862</t>
    <phoneticPr fontId="2"/>
  </si>
  <si>
    <t>東武東上線武蔵嵐山駅から徒歩13分</t>
    <rPh sb="0" eb="5">
      <t>トウブトウジョウセン</t>
    </rPh>
    <rPh sb="5" eb="10">
      <t>ムサシランザンエキ</t>
    </rPh>
    <rPh sb="12" eb="14">
      <t>トホ</t>
    </rPh>
    <rPh sb="16" eb="17">
      <t>フン</t>
    </rPh>
    <phoneticPr fontId="2"/>
  </si>
  <si>
    <t>Ｏａｓｉｓ　Ｌｅａｒｎｉｎｇ　Ｃｅｎｔｅｒ</t>
    <phoneticPr fontId="2"/>
  </si>
  <si>
    <t>本町４丁目３番地６号　ソレイユタカトー</t>
    <phoneticPr fontId="2"/>
  </si>
  <si>
    <t>048‐452‐8643</t>
    <phoneticPr fontId="2"/>
  </si>
  <si>
    <t>048－445-2235</t>
    <phoneticPr fontId="2"/>
  </si>
  <si>
    <t>JR埼京線戸田公園駅から徒歩8分</t>
    <rPh sb="2" eb="5">
      <t>サイキョウセン</t>
    </rPh>
    <rPh sb="5" eb="10">
      <t>トダコウエンエキ</t>
    </rPh>
    <rPh sb="12" eb="14">
      <t>トホ</t>
    </rPh>
    <rPh sb="15" eb="16">
      <t>フン</t>
    </rPh>
    <phoneticPr fontId="2"/>
  </si>
  <si>
    <t>ＢＥ　ＹＯＵＲＳＥＬＦ</t>
    <phoneticPr fontId="2"/>
  </si>
  <si>
    <t>新座市</t>
    <rPh sb="0" eb="2">
      <t>ニイザ</t>
    </rPh>
    <rPh sb="2" eb="3">
      <t>シ</t>
    </rPh>
    <phoneticPr fontId="2"/>
  </si>
  <si>
    <t>大和田１丁目２３番６号コーラルリーフ１Ｆ</t>
    <phoneticPr fontId="2"/>
  </si>
  <si>
    <t>048－233-7036</t>
    <phoneticPr fontId="2"/>
  </si>
  <si>
    <t>050－4561－5127</t>
    <phoneticPr fontId="2"/>
  </si>
  <si>
    <t>JR武蔵野線新座駅より徒歩11分</t>
    <rPh sb="2" eb="6">
      <t>ムサシノセン</t>
    </rPh>
    <rPh sb="6" eb="9">
      <t>ニイザエキ</t>
    </rPh>
    <rPh sb="11" eb="13">
      <t>トホ</t>
    </rPh>
    <rPh sb="15" eb="16">
      <t>フン</t>
    </rPh>
    <phoneticPr fontId="2"/>
  </si>
  <si>
    <t>多機能型重症児デイサービスいちご</t>
    <rPh sb="0" eb="7">
      <t>タキノウガタジュウショウジ</t>
    </rPh>
    <phoneticPr fontId="2"/>
  </si>
  <si>
    <t>騎西１０１８－４</t>
    <rPh sb="0" eb="2">
      <t>キサイ</t>
    </rPh>
    <phoneticPr fontId="2"/>
  </si>
  <si>
    <t>347-0105</t>
    <phoneticPr fontId="2"/>
  </si>
  <si>
    <t>0480-73-0015</t>
    <phoneticPr fontId="2"/>
  </si>
  <si>
    <t>0480-73-1115</t>
    <phoneticPr fontId="2"/>
  </si>
  <si>
    <t>東武伊勢崎線加須駅より徒歩５分、「加須駅南口」バス停より朝日自動車鴻巣駅東口行乗車、「騎西二丁目」バス停下車徒歩３分</t>
    <rPh sb="0" eb="6">
      <t>トウブイセサキセン</t>
    </rPh>
    <rPh sb="6" eb="9">
      <t>カゾエキ</t>
    </rPh>
    <rPh sb="11" eb="13">
      <t>トホ</t>
    </rPh>
    <rPh sb="14" eb="15">
      <t>フン</t>
    </rPh>
    <rPh sb="17" eb="19">
      <t>カゾ</t>
    </rPh>
    <rPh sb="19" eb="22">
      <t>エキミナミグチ</t>
    </rPh>
    <rPh sb="25" eb="26">
      <t>テイ</t>
    </rPh>
    <rPh sb="28" eb="33">
      <t>アサヒジドウシャ</t>
    </rPh>
    <rPh sb="33" eb="38">
      <t>コウノスエキヒガシグチ</t>
    </rPh>
    <rPh sb="38" eb="39">
      <t>イキ</t>
    </rPh>
    <rPh sb="39" eb="41">
      <t>ジョウシャ</t>
    </rPh>
    <rPh sb="43" eb="45">
      <t>キサイ</t>
    </rPh>
    <rPh sb="45" eb="48">
      <t>ニチョウメ</t>
    </rPh>
    <rPh sb="51" eb="52">
      <t>テイ</t>
    </rPh>
    <rPh sb="52" eb="54">
      <t>ゲシャ</t>
    </rPh>
    <rPh sb="54" eb="56">
      <t>トホ</t>
    </rPh>
    <rPh sb="57" eb="58">
      <t>フン</t>
    </rPh>
    <phoneticPr fontId="2"/>
  </si>
  <si>
    <t>桜沢544-8</t>
    <rPh sb="0" eb="2">
      <t>サクラザワ</t>
    </rPh>
    <phoneticPr fontId="2"/>
  </si>
  <si>
    <t>048-598-4823</t>
    <phoneticPr fontId="2"/>
  </si>
  <si>
    <t>東武東上線玉淀駅より徒歩５分</t>
    <rPh sb="0" eb="5">
      <t>トウブトウジョウセン</t>
    </rPh>
    <rPh sb="5" eb="8">
      <t>タマヨドエキ</t>
    </rPh>
    <rPh sb="10" eb="12">
      <t>トホ</t>
    </rPh>
    <rPh sb="13" eb="14">
      <t>フン</t>
    </rPh>
    <phoneticPr fontId="2"/>
  </si>
  <si>
    <t>上之２７１５番地１</t>
    <rPh sb="0" eb="1">
      <t>ウエ</t>
    </rPh>
    <rPh sb="1" eb="2">
      <t>ノ</t>
    </rPh>
    <rPh sb="6" eb="8">
      <t>バンチ</t>
    </rPh>
    <phoneticPr fontId="2"/>
  </si>
  <si>
    <t>東大輪1410-4</t>
    <rPh sb="0" eb="1">
      <t>ヒガシ</t>
    </rPh>
    <rPh sb="1" eb="2">
      <t>ダイ</t>
    </rPh>
    <rPh sb="2" eb="3">
      <t>ワ</t>
    </rPh>
    <phoneticPr fontId="2"/>
  </si>
  <si>
    <t>東鷲宮駅から徒歩22分</t>
    <rPh sb="0" eb="1">
      <t>ヒガシ</t>
    </rPh>
    <rPh sb="1" eb="3">
      <t>ワシミヤ</t>
    </rPh>
    <rPh sb="3" eb="4">
      <t>エキ</t>
    </rPh>
    <rPh sb="6" eb="8">
      <t>トホ</t>
    </rPh>
    <rPh sb="10" eb="11">
      <t>フン</t>
    </rPh>
    <phoneticPr fontId="2"/>
  </si>
  <si>
    <t>サンフォレスト（株）</t>
    <rPh sb="7" eb="10">
      <t>カブ</t>
    </rPh>
    <phoneticPr fontId="2"/>
  </si>
  <si>
    <t>（同）藤の里</t>
    <rPh sb="1" eb="2">
      <t>ドウ</t>
    </rPh>
    <rPh sb="3" eb="4">
      <t>フジ</t>
    </rPh>
    <rPh sb="5" eb="6">
      <t>サト</t>
    </rPh>
    <phoneticPr fontId="2"/>
  </si>
  <si>
    <t>藤の里　春日部駅前</t>
    <rPh sb="0" eb="1">
      <t>フジ</t>
    </rPh>
    <rPh sb="2" eb="3">
      <t>サト</t>
    </rPh>
    <rPh sb="4" eb="9">
      <t>カスカベエキマエ</t>
    </rPh>
    <phoneticPr fontId="2"/>
  </si>
  <si>
    <t>中妻４１９</t>
    <rPh sb="0" eb="2">
      <t>ナカツマ</t>
    </rPh>
    <phoneticPr fontId="2"/>
  </si>
  <si>
    <t>340-0213</t>
    <phoneticPr fontId="2"/>
  </si>
  <si>
    <t>JR・東武伊勢崎線久喜駅西口からバス「東明寺前」下車徒歩７分</t>
    <rPh sb="3" eb="5">
      <t>トウブ</t>
    </rPh>
    <rPh sb="5" eb="9">
      <t>イセサキセン</t>
    </rPh>
    <rPh sb="9" eb="12">
      <t>クキエキ</t>
    </rPh>
    <rPh sb="12" eb="14">
      <t>ニシグチ</t>
    </rPh>
    <rPh sb="19" eb="23">
      <t>トウミョウジマエ</t>
    </rPh>
    <rPh sb="24" eb="26">
      <t>ゲシャ</t>
    </rPh>
    <rPh sb="26" eb="28">
      <t>トホ</t>
    </rPh>
    <rPh sb="29" eb="30">
      <t>フン</t>
    </rPh>
    <phoneticPr fontId="2"/>
  </si>
  <si>
    <t>Ｓｔｏｒｙ’ｓ　Ｆａｃｔｏｒｙ　鷲宮</t>
    <phoneticPr fontId="2"/>
  </si>
  <si>
    <t>(株)ネアス</t>
    <rPh sb="1" eb="2">
      <t>カブ</t>
    </rPh>
    <phoneticPr fontId="2"/>
  </si>
  <si>
    <t>ラシクラボ浦和</t>
    <rPh sb="5" eb="7">
      <t>ウラワ</t>
    </rPh>
    <phoneticPr fontId="5"/>
  </si>
  <si>
    <t>浦和区高砂３－２－１０　草野高砂ビル２階</t>
    <rPh sb="0" eb="2">
      <t>ウラワ</t>
    </rPh>
    <rPh sb="2" eb="3">
      <t>ク</t>
    </rPh>
    <rPh sb="3" eb="5">
      <t>タカサゴ</t>
    </rPh>
    <rPh sb="12" eb="14">
      <t>クサノ</t>
    </rPh>
    <rPh sb="14" eb="16">
      <t>タカサゴ</t>
    </rPh>
    <rPh sb="19" eb="20">
      <t>カイ</t>
    </rPh>
    <phoneticPr fontId="5"/>
  </si>
  <si>
    <t>048-606-4515</t>
  </si>
  <si>
    <t>048-606-4516</t>
  </si>
  <si>
    <t>JR浦和駅から徒歩８分</t>
    <rPh sb="2" eb="5">
      <t>ウラワエキ</t>
    </rPh>
    <rPh sb="7" eb="9">
      <t>トホ</t>
    </rPh>
    <rPh sb="10" eb="11">
      <t>フン</t>
    </rPh>
    <phoneticPr fontId="2"/>
  </si>
  <si>
    <t>見沼区東大宮５－３２－８－１０１</t>
  </si>
  <si>
    <t>JR東大宮駅から徒歩4分</t>
    <rPh sb="2" eb="3">
      <t>ヒガシ</t>
    </rPh>
    <rPh sb="3" eb="5">
      <t>オオミヤ</t>
    </rPh>
    <rPh sb="5" eb="6">
      <t>エキ</t>
    </rPh>
    <rPh sb="8" eb="10">
      <t>トホ</t>
    </rPh>
    <rPh sb="11" eb="12">
      <t>フン</t>
    </rPh>
    <phoneticPr fontId="2"/>
  </si>
  <si>
    <t>バーガーテラス大宮店</t>
    <rPh sb="7" eb="9">
      <t>おおみや</t>
    </rPh>
    <rPh sb="9" eb="10">
      <t>てん</t>
    </rPh>
    <phoneticPr fontId="5" type="Hiragana"/>
  </si>
  <si>
    <t>大宮区高鼻町２－１－１　</t>
  </si>
  <si>
    <t>048-871-7170</t>
  </si>
  <si>
    <t>048-871-7177</t>
  </si>
  <si>
    <t>ＪＲ大宮駅から徒歩12分</t>
    <rPh sb="2" eb="4">
      <t>オオミヤ</t>
    </rPh>
    <rPh sb="4" eb="5">
      <t>エキ</t>
    </rPh>
    <rPh sb="7" eb="9">
      <t>トホ</t>
    </rPh>
    <rPh sb="11" eb="12">
      <t>フン</t>
    </rPh>
    <phoneticPr fontId="2"/>
  </si>
  <si>
    <t>就労選択支援センターsize</t>
    <rPh sb="0" eb="2">
      <t>しゅうろう</t>
    </rPh>
    <rPh sb="2" eb="4">
      <t>せんたく</t>
    </rPh>
    <rPh sb="4" eb="6">
      <t>しえん</t>
    </rPh>
    <phoneticPr fontId="5" type="Hiragana"/>
  </si>
  <si>
    <t>048-871-8866</t>
  </si>
  <si>
    <t>048-871-8993</t>
  </si>
  <si>
    <t>ＪＲ大宮駅から徒歩13分</t>
    <rPh sb="2" eb="4">
      <t>オオミヤ</t>
    </rPh>
    <rPh sb="4" eb="5">
      <t>エキ</t>
    </rPh>
    <rPh sb="7" eb="9">
      <t>トホ</t>
    </rPh>
    <rPh sb="11" eb="12">
      <t>フン</t>
    </rPh>
    <phoneticPr fontId="2"/>
  </si>
  <si>
    <t>LITALICOワークス武蔵浦和</t>
    <rPh sb="12" eb="16">
      <t>ムサシウラワ</t>
    </rPh>
    <phoneticPr fontId="7"/>
  </si>
  <si>
    <t>JR武蔵浦和駅から徒歩３分</t>
    <rPh sb="2" eb="7">
      <t>ムサシウラワエキ</t>
    </rPh>
    <rPh sb="9" eb="11">
      <t>トホ</t>
    </rPh>
    <rPh sb="12" eb="13">
      <t>フン</t>
    </rPh>
    <phoneticPr fontId="2"/>
  </si>
  <si>
    <t>脳卒中・身体障害専門就労支援センター「リハス」さいたま浦和</t>
    <rPh sb="0" eb="3">
      <t>ノウソッチュウ</t>
    </rPh>
    <rPh sb="4" eb="6">
      <t>シンタイ</t>
    </rPh>
    <rPh sb="6" eb="8">
      <t>ショウガイ</t>
    </rPh>
    <rPh sb="8" eb="10">
      <t>センモン</t>
    </rPh>
    <rPh sb="10" eb="14">
      <t>シュウロウシエン</t>
    </rPh>
    <rPh sb="27" eb="29">
      <t>ウラワ</t>
    </rPh>
    <phoneticPr fontId="2"/>
  </si>
  <si>
    <t>浦和区仲町１－１１－１８　カーサ浦和１階</t>
  </si>
  <si>
    <t>076-220-7258</t>
  </si>
  <si>
    <t>JR浦和駅から徒歩７分</t>
    <rPh sb="2" eb="5">
      <t>ウラワエキ</t>
    </rPh>
    <rPh sb="7" eb="9">
      <t>トホ</t>
    </rPh>
    <rPh sb="10" eb="11">
      <t>フン</t>
    </rPh>
    <phoneticPr fontId="2"/>
  </si>
  <si>
    <t>霞ヶ関駅から徒歩13分
従たる事業所（ラボリ川越HUB　川越市田町3番地5-201）</t>
    <rPh sb="6" eb="8">
      <t>トホ</t>
    </rPh>
    <rPh sb="10" eb="11">
      <t>フン</t>
    </rPh>
    <phoneticPr fontId="2"/>
  </si>
  <si>
    <t>東武東上線坂戸駅から川越観光バス大橋行き「善能寺」下車徒歩5分
R7.1.31　就労移行支援　休止</t>
    <rPh sb="0" eb="5">
      <t>トウブトウジョウセン</t>
    </rPh>
    <rPh sb="5" eb="7">
      <t>サカド</t>
    </rPh>
    <rPh sb="7" eb="8">
      <t>エキ</t>
    </rPh>
    <rPh sb="10" eb="12">
      <t>カワゴエ</t>
    </rPh>
    <rPh sb="12" eb="14">
      <t>カンコウ</t>
    </rPh>
    <rPh sb="16" eb="18">
      <t>オオハシ</t>
    </rPh>
    <rPh sb="18" eb="19">
      <t>イキ</t>
    </rPh>
    <rPh sb="21" eb="24">
      <t>ゼンノウジ</t>
    </rPh>
    <rPh sb="25" eb="27">
      <t>ゲシャ</t>
    </rPh>
    <rPh sb="40" eb="46">
      <t>シュウロウイコウシエン</t>
    </rPh>
    <rPh sb="47" eb="49">
      <t>キュウシ</t>
    </rPh>
    <phoneticPr fontId="2"/>
  </si>
  <si>
    <t>３たす</t>
  </si>
  <si>
    <t>比企郡吉見町大字大和田字下東町１９７番地２</t>
    <phoneticPr fontId="2"/>
  </si>
  <si>
    <t>355-0127</t>
    <phoneticPr fontId="2"/>
  </si>
  <si>
    <t>0493‐54‐4667</t>
  </si>
  <si>
    <t>―</t>
    <phoneticPr fontId="2"/>
  </si>
  <si>
    <t>医療法人　昭友会</t>
    <rPh sb="0" eb="4">
      <t>イリョウホウジン</t>
    </rPh>
    <rPh sb="5" eb="6">
      <t>アキラ</t>
    </rPh>
    <rPh sb="6" eb="7">
      <t>ユウ</t>
    </rPh>
    <rPh sb="7" eb="8">
      <t>カイ</t>
    </rPh>
    <phoneticPr fontId="2"/>
  </si>
  <si>
    <t>就労選択支援事業所　ハーモニー</t>
    <rPh sb="0" eb="4">
      <t>シュウロウセンタク</t>
    </rPh>
    <phoneticPr fontId="2"/>
  </si>
  <si>
    <t>大字羽尾496‐5</t>
    <rPh sb="0" eb="2">
      <t>オオアザ</t>
    </rPh>
    <rPh sb="2" eb="4">
      <t>ハネオ</t>
    </rPh>
    <phoneticPr fontId="2"/>
  </si>
  <si>
    <t>0493‐56‐4875</t>
    <phoneticPr fontId="2"/>
  </si>
  <si>
    <t>0493‐56‐4877</t>
    <phoneticPr fontId="2"/>
  </si>
  <si>
    <t>東武東上線　森林公園駅　徒歩7分</t>
    <rPh sb="0" eb="5">
      <t>トウブトウジョウセン</t>
    </rPh>
    <rPh sb="6" eb="10">
      <t>シンリンコウエン</t>
    </rPh>
    <rPh sb="10" eb="11">
      <t>エキ</t>
    </rPh>
    <rPh sb="12" eb="14">
      <t>トホ</t>
    </rPh>
    <rPh sb="15" eb="16">
      <t>フン</t>
    </rPh>
    <phoneticPr fontId="2"/>
  </si>
  <si>
    <t>就労継続支援B型事業所かがやき桶川</t>
    <rPh sb="0" eb="6">
      <t>シュウロウケイゾクシエン</t>
    </rPh>
    <rPh sb="7" eb="8">
      <t>ガタ</t>
    </rPh>
    <rPh sb="8" eb="11">
      <t>ジギョウショ</t>
    </rPh>
    <rPh sb="15" eb="17">
      <t>オケガワ</t>
    </rPh>
    <phoneticPr fontId="2"/>
  </si>
  <si>
    <t>若宮1丁目2番16号　伸光ビル6F</t>
    <rPh sb="0" eb="2">
      <t>ワカミヤ</t>
    </rPh>
    <rPh sb="3" eb="5">
      <t>チョウメ</t>
    </rPh>
    <rPh sb="6" eb="7">
      <t>バン</t>
    </rPh>
    <rPh sb="9" eb="10">
      <t>ゴウ</t>
    </rPh>
    <rPh sb="11" eb="12">
      <t>シン</t>
    </rPh>
    <rPh sb="12" eb="13">
      <t>ヒカリ</t>
    </rPh>
    <phoneticPr fontId="2"/>
  </si>
  <si>
    <t>JR高崎線桶川駅から徒歩6分</t>
    <rPh sb="2" eb="5">
      <t>タカサキセン</t>
    </rPh>
    <rPh sb="5" eb="8">
      <t>オケガワエキ</t>
    </rPh>
    <rPh sb="10" eb="12">
      <t>トホ</t>
    </rPh>
    <rPh sb="13" eb="14">
      <t>フン</t>
    </rPh>
    <phoneticPr fontId="2"/>
  </si>
  <si>
    <t>LIFE・LILY</t>
    <phoneticPr fontId="2"/>
  </si>
  <si>
    <t>豊岡4－7－6
みのわアパート１階</t>
    <rPh sb="0" eb="2">
      <t>トヨオカ</t>
    </rPh>
    <rPh sb="16" eb="17">
      <t>カイ</t>
    </rPh>
    <phoneticPr fontId="2"/>
  </si>
  <si>
    <t>042－003-6661</t>
    <phoneticPr fontId="2"/>
  </si>
  <si>
    <t>042－003-666１</t>
    <phoneticPr fontId="2"/>
  </si>
  <si>
    <t>入間市駅から1.3㎞　車で４分</t>
    <rPh sb="0" eb="4">
      <t>イルマシエキ</t>
    </rPh>
    <rPh sb="11" eb="12">
      <t>クルマ</t>
    </rPh>
    <rPh sb="14" eb="15">
      <t>フン</t>
    </rPh>
    <phoneticPr fontId="2"/>
  </si>
  <si>
    <t>icoil</t>
    <phoneticPr fontId="2"/>
  </si>
  <si>
    <t>大井629－1</t>
    <rPh sb="0" eb="2">
      <t>オオイ</t>
    </rPh>
    <phoneticPr fontId="2"/>
  </si>
  <si>
    <t>356-0053</t>
    <phoneticPr fontId="2"/>
  </si>
  <si>
    <t>049－270-0885</t>
    <phoneticPr fontId="2"/>
  </si>
  <si>
    <t>049－270-0871</t>
    <phoneticPr fontId="2"/>
  </si>
  <si>
    <t>東武東上線ふじみ野駅から徒歩15分</t>
    <rPh sb="0" eb="5">
      <t>トウブトウジョウセン</t>
    </rPh>
    <rPh sb="8" eb="10">
      <t>ノエキ</t>
    </rPh>
    <rPh sb="12" eb="14">
      <t>トホ</t>
    </rPh>
    <rPh sb="16" eb="17">
      <t>フン</t>
    </rPh>
    <phoneticPr fontId="2"/>
  </si>
  <si>
    <t>(株)Ｈｕ．ｄｏｔ</t>
    <rPh sb="1" eb="2">
      <t>カブ</t>
    </rPh>
    <phoneticPr fontId="2"/>
  </si>
  <si>
    <t>カレーパン＆ＩＴワークス　春日部ベース</t>
    <rPh sb="13" eb="16">
      <t>カスカベ</t>
    </rPh>
    <phoneticPr fontId="2"/>
  </si>
  <si>
    <t>粕壁一丁目4-1　市川ビル２Ｆ</t>
    <rPh sb="0" eb="2">
      <t>カスカベ</t>
    </rPh>
    <rPh sb="2" eb="5">
      <t>イッチョウメ</t>
    </rPh>
    <rPh sb="9" eb="11">
      <t>イチカワ</t>
    </rPh>
    <phoneticPr fontId="2"/>
  </si>
  <si>
    <t>048-796-5897</t>
    <phoneticPr fontId="2"/>
  </si>
  <si>
    <t>048-796-5898</t>
    <phoneticPr fontId="2"/>
  </si>
  <si>
    <t>東武伊勢崎線春日部駅東口徒歩３分</t>
    <rPh sb="0" eb="2">
      <t>トウブ</t>
    </rPh>
    <rPh sb="2" eb="6">
      <t>イセサキセン</t>
    </rPh>
    <rPh sb="6" eb="9">
      <t>カスカベ</t>
    </rPh>
    <rPh sb="9" eb="10">
      <t>エキ</t>
    </rPh>
    <rPh sb="10" eb="12">
      <t>ヒガシグチ</t>
    </rPh>
    <rPh sb="12" eb="14">
      <t>トホ</t>
    </rPh>
    <rPh sb="15" eb="16">
      <t>フン</t>
    </rPh>
    <phoneticPr fontId="2"/>
  </si>
  <si>
    <t>（同）コスモス</t>
    <rPh sb="1" eb="2">
      <t>ドウ</t>
    </rPh>
    <phoneticPr fontId="2"/>
  </si>
  <si>
    <t>コスモス久喜</t>
    <rPh sb="4" eb="6">
      <t>クキ</t>
    </rPh>
    <phoneticPr fontId="2"/>
  </si>
  <si>
    <t>0480-44-9077</t>
    <phoneticPr fontId="2"/>
  </si>
  <si>
    <t>0480-44-9078</t>
    <phoneticPr fontId="2"/>
  </si>
  <si>
    <t>生活介護事業所びーんず　そら豆</t>
    <rPh sb="0" eb="7">
      <t>セイカツカイゴジギョウショ</t>
    </rPh>
    <rPh sb="14" eb="15">
      <t>マメ</t>
    </rPh>
    <phoneticPr fontId="2"/>
  </si>
  <si>
    <t>上柳２６－２</t>
    <rPh sb="0" eb="2">
      <t>カミヤナギ</t>
    </rPh>
    <phoneticPr fontId="2"/>
  </si>
  <si>
    <t>048-884-9472</t>
    <phoneticPr fontId="2"/>
  </si>
  <si>
    <t>048-884-9473</t>
    <phoneticPr fontId="2"/>
  </si>
  <si>
    <t>東武野田線南桜井駅下車徒歩34分</t>
    <rPh sb="0" eb="2">
      <t>トウブ</t>
    </rPh>
    <rPh sb="2" eb="5">
      <t>ノダセン</t>
    </rPh>
    <rPh sb="5" eb="9">
      <t>ミナミサクライエキ</t>
    </rPh>
    <rPh sb="9" eb="11">
      <t>ゲシャ</t>
    </rPh>
    <rPh sb="11" eb="13">
      <t>トホ</t>
    </rPh>
    <rPh sb="15" eb="16">
      <t>フン</t>
    </rPh>
    <phoneticPr fontId="2"/>
  </si>
  <si>
    <t>ヴェルペングリルコマ</t>
    <phoneticPr fontId="2"/>
  </si>
  <si>
    <t>猿田128-3</t>
    <rPh sb="0" eb="2">
      <t>サルタ</t>
    </rPh>
    <phoneticPr fontId="2"/>
  </si>
  <si>
    <t>358-1236</t>
    <phoneticPr fontId="2"/>
  </si>
  <si>
    <t>042-978-9530</t>
    <phoneticPr fontId="2"/>
  </si>
  <si>
    <t>042-978-9540</t>
    <phoneticPr fontId="2"/>
  </si>
  <si>
    <t>JR八高線高麗川駅より徒歩10分</t>
    <rPh sb="2" eb="5">
      <t>ハチコウセン</t>
    </rPh>
    <rPh sb="5" eb="9">
      <t>コマガワエキ</t>
    </rPh>
    <rPh sb="11" eb="13">
      <t>トホ</t>
    </rPh>
    <rPh sb="15" eb="16">
      <t>フン</t>
    </rPh>
    <phoneticPr fontId="2"/>
  </si>
  <si>
    <t>就労継続支援A型事業所　こもれび</t>
    <rPh sb="0" eb="2">
      <t>シュウロウ</t>
    </rPh>
    <rPh sb="2" eb="4">
      <t>ケイゾク</t>
    </rPh>
    <rPh sb="4" eb="6">
      <t>シエン</t>
    </rPh>
    <rPh sb="7" eb="8">
      <t>ガタ</t>
    </rPh>
    <rPh sb="8" eb="11">
      <t>ジギョウショ</t>
    </rPh>
    <phoneticPr fontId="2"/>
  </si>
  <si>
    <t>相模町五丁目３３５番地１</t>
    <rPh sb="0" eb="3">
      <t>サガミチョウ</t>
    </rPh>
    <rPh sb="3" eb="4">
      <t>イ</t>
    </rPh>
    <rPh sb="4" eb="6">
      <t>チョウメ</t>
    </rPh>
    <rPh sb="9" eb="11">
      <t>バンチ</t>
    </rPh>
    <phoneticPr fontId="2"/>
  </si>
  <si>
    <t>JR武蔵野線　越谷レイクタウン駅より徒歩20分</t>
    <rPh sb="2" eb="6">
      <t>ムサシノセン</t>
    </rPh>
    <rPh sb="7" eb="9">
      <t>コシガヤ</t>
    </rPh>
    <rPh sb="15" eb="16">
      <t>エキ</t>
    </rPh>
    <rPh sb="18" eb="20">
      <t>トホ</t>
    </rPh>
    <rPh sb="22" eb="23">
      <t>フン</t>
    </rPh>
    <phoneticPr fontId="2"/>
  </si>
  <si>
    <t>就労継続支援B型事業所NeoWork七里</t>
    <rPh sb="0" eb="2">
      <t>しゅうろう</t>
    </rPh>
    <rPh sb="2" eb="4">
      <t>けいぞく</t>
    </rPh>
    <rPh sb="4" eb="6">
      <t>しえん</t>
    </rPh>
    <rPh sb="7" eb="8">
      <t>かた</t>
    </rPh>
    <rPh sb="8" eb="11">
      <t>じぎょうしょ</t>
    </rPh>
    <rPh sb="18" eb="20">
      <t>ななさと</t>
    </rPh>
    <phoneticPr fontId="5" type="Hiragana"/>
  </si>
  <si>
    <t>見沼区大字東門前８５－１７</t>
  </si>
  <si>
    <t>東武野田線七里駅より徒歩14分</t>
    <rPh sb="0" eb="2">
      <t>トウブ</t>
    </rPh>
    <rPh sb="2" eb="5">
      <t>ノダセン</t>
    </rPh>
    <rPh sb="5" eb="7">
      <t>ナナサト</t>
    </rPh>
    <rPh sb="7" eb="8">
      <t>エキ</t>
    </rPh>
    <rPh sb="10" eb="12">
      <t>トホ</t>
    </rPh>
    <rPh sb="14" eb="15">
      <t>フン</t>
    </rPh>
    <phoneticPr fontId="2"/>
  </si>
  <si>
    <t>337-0016</t>
  </si>
  <si>
    <t>仲良し作業所　駅前事業所</t>
    <rPh sb="0" eb="2">
      <t>ナカヨ</t>
    </rPh>
    <rPh sb="3" eb="5">
      <t>サギョウ</t>
    </rPh>
    <rPh sb="5" eb="6">
      <t>ジョ</t>
    </rPh>
    <rPh sb="7" eb="9">
      <t>エキマエ</t>
    </rPh>
    <rPh sb="9" eb="12">
      <t>ジギョウショ</t>
    </rPh>
    <phoneticPr fontId="2"/>
  </si>
  <si>
    <t>見沼区東大宮５－６－２</t>
    <rPh sb="0" eb="2">
      <t>ミヌマ</t>
    </rPh>
    <rPh sb="2" eb="3">
      <t>ク</t>
    </rPh>
    <rPh sb="3" eb="4">
      <t>ヒガシ</t>
    </rPh>
    <rPh sb="4" eb="6">
      <t>オオミヤ</t>
    </rPh>
    <phoneticPr fontId="2"/>
  </si>
  <si>
    <t>048-699-1907</t>
  </si>
  <si>
    <t>048-699-1908</t>
  </si>
  <si>
    <t>ＪＲ東大宮駅より徒歩２分</t>
    <rPh sb="2" eb="3">
      <t>ヒガシ</t>
    </rPh>
    <rPh sb="3" eb="5">
      <t>オオミヤ</t>
    </rPh>
    <rPh sb="5" eb="6">
      <t>エキ</t>
    </rPh>
    <rPh sb="8" eb="10">
      <t>トホ</t>
    </rPh>
    <rPh sb="11" eb="12">
      <t>フン</t>
    </rPh>
    <phoneticPr fontId="2"/>
  </si>
  <si>
    <t>かなうラボ宮原</t>
    <rPh sb="4" eb="6">
      <t>ミヤハラ</t>
    </rPh>
    <phoneticPr fontId="5"/>
  </si>
  <si>
    <t>北区宮原町１－２１０　ガーデンズ大宮４Ｆ－３</t>
    <rPh sb="4" eb="5">
      <t>マチ</t>
    </rPh>
    <phoneticPr fontId="2"/>
  </si>
  <si>
    <t>ニューシャトル加茂宮駅より徒歩.6分</t>
    <rPh sb="7" eb="11">
      <t>カモノミヤエキ</t>
    </rPh>
    <rPh sb="13" eb="15">
      <t>トホ</t>
    </rPh>
    <rPh sb="17" eb="18">
      <t>フン</t>
    </rPh>
    <phoneticPr fontId="2"/>
  </si>
  <si>
    <t>就労継続支援B型事業所　みらLABO</t>
    <rPh sb="0" eb="2">
      <t>しゅうろう</t>
    </rPh>
    <rPh sb="2" eb="4">
      <t>けいぞく</t>
    </rPh>
    <rPh sb="4" eb="6">
      <t>しえん</t>
    </rPh>
    <rPh sb="7" eb="8">
      <t>かた</t>
    </rPh>
    <rPh sb="8" eb="11">
      <t>じぎょうしょ</t>
    </rPh>
    <phoneticPr fontId="5" type="Hiragana"/>
  </si>
  <si>
    <t>見沼区大和田１－１１１１　ファーストハイム１０６号室</t>
    <rPh sb="3" eb="6">
      <t>オオワダ</t>
    </rPh>
    <rPh sb="24" eb="26">
      <t>ゴウシツ</t>
    </rPh>
    <phoneticPr fontId="2"/>
  </si>
  <si>
    <t>050-1808-5321</t>
  </si>
  <si>
    <t>東武野田線大和田駅より徒歩10分</t>
    <rPh sb="0" eb="2">
      <t>トウブ</t>
    </rPh>
    <rPh sb="2" eb="5">
      <t>ノダセン</t>
    </rPh>
    <rPh sb="5" eb="8">
      <t>オオワダ</t>
    </rPh>
    <rPh sb="8" eb="9">
      <t>エキ</t>
    </rPh>
    <rPh sb="11" eb="13">
      <t>トホ</t>
    </rPh>
    <rPh sb="15" eb="16">
      <t>フン</t>
    </rPh>
    <phoneticPr fontId="2"/>
  </si>
  <si>
    <t>グループホームMIKAN</t>
  </si>
  <si>
    <t>北区日進町２－２３６－５</t>
    <rPh sb="2" eb="5">
      <t>ニッシンチョウ</t>
    </rPh>
    <phoneticPr fontId="2"/>
  </si>
  <si>
    <t>048-782-5778</t>
  </si>
  <si>
    <t>ＪＲ日進駅より徒歩７分</t>
  </si>
  <si>
    <t>大宮区下町２－５５　明邦下町ビルＮｏ．１８　１階</t>
    <rPh sb="0" eb="3">
      <t>オオミヤク</t>
    </rPh>
    <rPh sb="3" eb="5">
      <t>ゲノマチ</t>
    </rPh>
    <rPh sb="10" eb="11">
      <t>アキラ</t>
    </rPh>
    <rPh sb="11" eb="12">
      <t>クニ</t>
    </rPh>
    <rPh sb="12" eb="14">
      <t>シタマチ</t>
    </rPh>
    <rPh sb="23" eb="24">
      <t>カイ</t>
    </rPh>
    <phoneticPr fontId="3"/>
  </si>
  <si>
    <t>北区東大成２－７１８－２</t>
    <rPh sb="0" eb="2">
      <t>キタク</t>
    </rPh>
    <rPh sb="2" eb="3">
      <t>ヒガシ</t>
    </rPh>
    <rPh sb="3" eb="5">
      <t>オオナリ</t>
    </rPh>
    <phoneticPr fontId="2"/>
  </si>
  <si>
    <t>Cocorport　川越第2Office</t>
    <rPh sb="10" eb="12">
      <t>カワゴエ</t>
    </rPh>
    <rPh sb="12" eb="13">
      <t>ダイ</t>
    </rPh>
    <phoneticPr fontId="27"/>
  </si>
  <si>
    <t>川越市</t>
    <rPh sb="0" eb="3">
      <t>カワゴエシ</t>
    </rPh>
    <phoneticPr fontId="33"/>
  </si>
  <si>
    <t>JR・東武東上線川越駅徒歩３分</t>
    <rPh sb="3" eb="8">
      <t>トウブトウジョウセン</t>
    </rPh>
    <rPh sb="8" eb="11">
      <t>カワゴエエキ</t>
    </rPh>
    <rPh sb="11" eb="13">
      <t>トホ</t>
    </rPh>
    <rPh sb="14" eb="15">
      <t>フン</t>
    </rPh>
    <phoneticPr fontId="2"/>
  </si>
  <si>
    <t>菅原町20-25　シンザン2階</t>
    <phoneticPr fontId="2"/>
  </si>
  <si>
    <t>049-238-5624</t>
    <phoneticPr fontId="2"/>
  </si>
  <si>
    <t>350-0822</t>
    <phoneticPr fontId="2"/>
  </si>
  <si>
    <t>就労選択支援Jastポータル</t>
    <rPh sb="0" eb="2">
      <t>シュウロウ</t>
    </rPh>
    <rPh sb="2" eb="4">
      <t>センタク</t>
    </rPh>
    <rPh sb="4" eb="6">
      <t>シエン</t>
    </rPh>
    <phoneticPr fontId="2"/>
  </si>
  <si>
    <t>山田1431-1</t>
    <phoneticPr fontId="2"/>
  </si>
  <si>
    <t>東武バス浄国寺より徒歩２分</t>
    <rPh sb="0" eb="2">
      <t>トウブ</t>
    </rPh>
    <rPh sb="4" eb="5">
      <t>ジョウ</t>
    </rPh>
    <rPh sb="5" eb="6">
      <t>コク</t>
    </rPh>
    <rPh sb="6" eb="7">
      <t>テラ</t>
    </rPh>
    <phoneticPr fontId="2"/>
  </si>
  <si>
    <t>manaby川越事業所</t>
    <rPh sb="6" eb="8">
      <t>カワゴエ</t>
    </rPh>
    <rPh sb="8" eb="11">
      <t>ジギョウショ</t>
    </rPh>
    <phoneticPr fontId="1"/>
  </si>
  <si>
    <t>脇田町33-17</t>
  </si>
  <si>
    <t>049-277-3430</t>
  </si>
  <si>
    <t>049-277-3429</t>
  </si>
  <si>
    <t>JR・東武東上線川越駅徒歩5分</t>
  </si>
  <si>
    <t>中央6丁目1番29　OhanaⅡ 2階</t>
    <rPh sb="0" eb="2">
      <t>チュウオウ</t>
    </rPh>
    <rPh sb="3" eb="5">
      <t>チョウメ</t>
    </rPh>
    <rPh sb="6" eb="7">
      <t>バン</t>
    </rPh>
    <rPh sb="18" eb="19">
      <t>カイ</t>
    </rPh>
    <phoneticPr fontId="2"/>
  </si>
  <si>
    <t>048-731-8091</t>
    <phoneticPr fontId="2"/>
  </si>
  <si>
    <t>048-731-8092</t>
    <phoneticPr fontId="2"/>
  </si>
  <si>
    <t>0480-47-0126</t>
  </si>
  <si>
    <t>0480-47-0168</t>
  </si>
  <si>
    <t>〇</t>
    <phoneticPr fontId="2"/>
  </si>
  <si>
    <t>多機能型事業所ラボリ</t>
    <rPh sb="0" eb="4">
      <t>タキノウガタ</t>
    </rPh>
    <rPh sb="4" eb="7">
      <t>ジギョウショ</t>
    </rPh>
    <phoneticPr fontId="2"/>
  </si>
  <si>
    <t>薬師町27番地9
Laショパーズ・シティー203</t>
    <rPh sb="0" eb="3">
      <t>ヤクシマチ</t>
    </rPh>
    <rPh sb="5" eb="7">
      <t>バンチ</t>
    </rPh>
    <phoneticPr fontId="2"/>
  </si>
  <si>
    <t>049‐227-3115</t>
    <phoneticPr fontId="2"/>
  </si>
  <si>
    <t>049‐227‐3114</t>
    <phoneticPr fontId="2"/>
  </si>
  <si>
    <t>東武東上線北坂戸駅東口</t>
    <rPh sb="0" eb="5">
      <t>トウブトウジョウセン</t>
    </rPh>
    <rPh sb="5" eb="9">
      <t>キタサカドエキ</t>
    </rPh>
    <rPh sb="9" eb="11">
      <t>ヒガシグチ</t>
    </rPh>
    <phoneticPr fontId="2"/>
  </si>
  <si>
    <t>就労移行支援事業所レーヴ</t>
    <rPh sb="0" eb="6">
      <t>シュウロウイコウシエン</t>
    </rPh>
    <rPh sb="6" eb="9">
      <t>ジギョウショ</t>
    </rPh>
    <phoneticPr fontId="2"/>
  </si>
  <si>
    <t>本町4‐4₋20　東亜ビル1F</t>
    <rPh sb="9" eb="11">
      <t>トウア</t>
    </rPh>
    <phoneticPr fontId="2"/>
  </si>
  <si>
    <t>080‐5732‐3052</t>
    <phoneticPr fontId="2"/>
  </si>
  <si>
    <t>ＮＰＯ法人みらい</t>
  </si>
  <si>
    <t>生活介護事業所Ｌｉｍ</t>
    <phoneticPr fontId="2"/>
  </si>
  <si>
    <t>菖蒲町三箇字堤下841番地1</t>
    <phoneticPr fontId="2"/>
  </si>
  <si>
    <t>346-0104</t>
    <phoneticPr fontId="2"/>
  </si>
  <si>
    <t>0480-37-8464</t>
    <phoneticPr fontId="2"/>
  </si>
  <si>
    <t>0480-37-8466</t>
    <phoneticPr fontId="2"/>
  </si>
  <si>
    <t>JR白岡駅から菖蒲仲橋行きバス「三箇上出」下車徒歩５分</t>
    <rPh sb="2" eb="4">
      <t>シラオカ</t>
    </rPh>
    <rPh sb="4" eb="5">
      <t>エキ</t>
    </rPh>
    <rPh sb="7" eb="9">
      <t>ショウブ</t>
    </rPh>
    <rPh sb="9" eb="10">
      <t>ナカ</t>
    </rPh>
    <rPh sb="10" eb="11">
      <t>バシ</t>
    </rPh>
    <rPh sb="11" eb="12">
      <t>ユ</t>
    </rPh>
    <rPh sb="16" eb="18">
      <t>サンガ</t>
    </rPh>
    <rPh sb="18" eb="20">
      <t>カミデ</t>
    </rPh>
    <rPh sb="21" eb="23">
      <t>ゲシャ</t>
    </rPh>
    <rPh sb="23" eb="25">
      <t>トホ</t>
    </rPh>
    <rPh sb="26" eb="27">
      <t>フン</t>
    </rPh>
    <phoneticPr fontId="2"/>
  </si>
  <si>
    <t>埼葛北障がい者就労選択支援センター</t>
    <rPh sb="0" eb="2">
      <t>サイカツ</t>
    </rPh>
    <rPh sb="2" eb="3">
      <t>キタ</t>
    </rPh>
    <rPh sb="3" eb="4">
      <t>ショウ</t>
    </rPh>
    <rPh sb="6" eb="7">
      <t>シャ</t>
    </rPh>
    <rPh sb="7" eb="9">
      <t>シュウロウ</t>
    </rPh>
    <rPh sb="9" eb="11">
      <t>センタク</t>
    </rPh>
    <rPh sb="11" eb="13">
      <t>シエン</t>
    </rPh>
    <phoneticPr fontId="2"/>
  </si>
  <si>
    <t>蓮田一丁目３　十王ビルⅡ２０５</t>
    <rPh sb="0" eb="2">
      <t>ハスダ</t>
    </rPh>
    <rPh sb="2" eb="5">
      <t>イッチョウメ</t>
    </rPh>
    <rPh sb="7" eb="9">
      <t>ジュウオウ</t>
    </rPh>
    <phoneticPr fontId="2"/>
  </si>
  <si>
    <t>349-0115</t>
    <phoneticPr fontId="5"/>
  </si>
  <si>
    <t>048-795-9077</t>
    <phoneticPr fontId="5"/>
  </si>
  <si>
    <t>蓮田駅徒歩7分（アバンティ蓮田)</t>
    <phoneticPr fontId="2"/>
  </si>
  <si>
    <t>(合)ＨＹ</t>
    <rPh sb="1" eb="2">
      <t>ゴウ</t>
    </rPh>
    <phoneticPr fontId="2"/>
  </si>
  <si>
    <t>ステップリンク</t>
    <phoneticPr fontId="2"/>
  </si>
  <si>
    <t>牛島１５９６－１
シーズ貸事務所１階・２階</t>
    <rPh sb="0" eb="2">
      <t>ウシジマ</t>
    </rPh>
    <rPh sb="12" eb="16">
      <t>カシジムショ</t>
    </rPh>
    <rPh sb="17" eb="18">
      <t>カイ</t>
    </rPh>
    <rPh sb="20" eb="21">
      <t>カイ</t>
    </rPh>
    <phoneticPr fontId="2"/>
  </si>
  <si>
    <t>048-793-4823</t>
    <phoneticPr fontId="2"/>
  </si>
  <si>
    <t>048-793-4824</t>
    <phoneticPr fontId="2"/>
  </si>
  <si>
    <t>東武野田線藤の牛島駅徒歩３分</t>
    <rPh sb="0" eb="2">
      <t>トウブ</t>
    </rPh>
    <rPh sb="2" eb="5">
      <t>ノダセン</t>
    </rPh>
    <rPh sb="5" eb="6">
      <t>フジ</t>
    </rPh>
    <rPh sb="7" eb="9">
      <t>ウシジマ</t>
    </rPh>
    <rPh sb="9" eb="10">
      <t>エキ</t>
    </rPh>
    <rPh sb="10" eb="12">
      <t>トホ</t>
    </rPh>
    <rPh sb="13" eb="14">
      <t>フン</t>
    </rPh>
    <phoneticPr fontId="2"/>
  </si>
  <si>
    <t>カルディアくき</t>
    <phoneticPr fontId="2"/>
  </si>
  <si>
    <t>就労継続支援Ｂ型事業所　Ai　LiKE　宮原</t>
    <rPh sb="0" eb="2">
      <t>シュウロウ</t>
    </rPh>
    <rPh sb="2" eb="4">
      <t>ケイゾク</t>
    </rPh>
    <rPh sb="4" eb="6">
      <t>シエン</t>
    </rPh>
    <rPh sb="7" eb="8">
      <t>ガタ</t>
    </rPh>
    <rPh sb="8" eb="10">
      <t>ジギョウ</t>
    </rPh>
    <rPh sb="10" eb="11">
      <t>ショ</t>
    </rPh>
    <rPh sb="20" eb="22">
      <t>ミヤハラ</t>
    </rPh>
    <phoneticPr fontId="7"/>
  </si>
  <si>
    <t>北区宮原町３－３７６－１　サンフィール大宮宮原４０４</t>
    <rPh sb="0" eb="2">
      <t>きたく</t>
    </rPh>
    <rPh sb="2" eb="4">
      <t>みやはら</t>
    </rPh>
    <rPh sb="4" eb="5">
      <t>まち</t>
    </rPh>
    <rPh sb="19" eb="21">
      <t>おおみや</t>
    </rPh>
    <rPh sb="21" eb="23">
      <t>みやはら</t>
    </rPh>
    <phoneticPr fontId="5" type="Hiragana"/>
  </si>
  <si>
    <t>048-606-4933</t>
  </si>
  <si>
    <t>〇</t>
  </si>
  <si>
    <t>ＪＲ宮原駅東口から徒歩１分</t>
    <rPh sb="5" eb="7">
      <t>ヒガシグチ</t>
    </rPh>
    <phoneticPr fontId="2"/>
  </si>
  <si>
    <t>MARU BASE</t>
  </si>
  <si>
    <t>北区吉野町１－２０－２ 山本ビル1階</t>
    <rPh sb="0" eb="2">
      <t>キタク</t>
    </rPh>
    <rPh sb="2" eb="5">
      <t>ヨシノチョウ</t>
    </rPh>
    <rPh sb="12" eb="14">
      <t>ヤマモト</t>
    </rPh>
    <rPh sb="17" eb="18">
      <t>カイ</t>
    </rPh>
    <phoneticPr fontId="7"/>
  </si>
  <si>
    <t>048-871-5809</t>
  </si>
  <si>
    <t>048-871-2297</t>
  </si>
  <si>
    <t>ニューシャトル線今羽駅より徒歩２分</t>
    <rPh sb="7" eb="8">
      <t>セン</t>
    </rPh>
    <rPh sb="8" eb="9">
      <t>イマ</t>
    </rPh>
    <rPh sb="10" eb="11">
      <t>エキ</t>
    </rPh>
    <rPh sb="13" eb="15">
      <t>トホ</t>
    </rPh>
    <rPh sb="16" eb="17">
      <t>フン</t>
    </rPh>
    <phoneticPr fontId="2"/>
  </si>
  <si>
    <t>うらわ学園</t>
    <rPh sb="3" eb="5">
      <t>ガクエン</t>
    </rPh>
    <phoneticPr fontId="9"/>
  </si>
  <si>
    <t>浦和区領家１－６－１５　ホーマット北浦和１F事務所</t>
    <rPh sb="22" eb="24">
      <t>ジム</t>
    </rPh>
    <rPh sb="24" eb="25">
      <t>ショ</t>
    </rPh>
    <phoneticPr fontId="5"/>
  </si>
  <si>
    <t>048-711-5630</t>
  </si>
  <si>
    <t>ＪＲ北浦和駅東口より徒歩15分
最寄バス停：国際興業バス「本太中学校」</t>
    <rPh sb="2" eb="6">
      <t>キタウラワエキ</t>
    </rPh>
    <rPh sb="6" eb="8">
      <t>ヒガシグチ</t>
    </rPh>
    <rPh sb="10" eb="12">
      <t>トホ</t>
    </rPh>
    <rPh sb="14" eb="15">
      <t>フン</t>
    </rPh>
    <rPh sb="16" eb="18">
      <t>モヨリ</t>
    </rPh>
    <rPh sb="20" eb="21">
      <t>テイ</t>
    </rPh>
    <rPh sb="22" eb="24">
      <t>コクサイ</t>
    </rPh>
    <rPh sb="24" eb="26">
      <t>コウギョウ</t>
    </rPh>
    <rPh sb="29" eb="31">
      <t>モトブト</t>
    </rPh>
    <rPh sb="31" eb="34">
      <t>チュウガッコウ</t>
    </rPh>
    <phoneticPr fontId="2"/>
  </si>
  <si>
    <t>＆Ｕ　ＳＴＵＤＩＯ</t>
  </si>
  <si>
    <t>北区宮原町２－１６－１　松原ビル３Ｆ</t>
  </si>
  <si>
    <t>048-871-7393</t>
  </si>
  <si>
    <t>048-871-7394</t>
  </si>
  <si>
    <t>ＪＲ宮原駅東口から徒歩４分</t>
    <rPh sb="2" eb="4">
      <t>ミヤハラ</t>
    </rPh>
    <rPh sb="4" eb="5">
      <t>エキ</t>
    </rPh>
    <rPh sb="5" eb="6">
      <t>ヒガシ</t>
    </rPh>
    <rPh sb="6" eb="7">
      <t>クチ</t>
    </rPh>
    <rPh sb="9" eb="11">
      <t>トホ</t>
    </rPh>
    <rPh sb="12" eb="13">
      <t>フン</t>
    </rPh>
    <phoneticPr fontId="2"/>
  </si>
  <si>
    <t>NEROLI</t>
  </si>
  <si>
    <t>中央区本町西１－７－２０　１Ｂ号室</t>
    <rPh sb="0" eb="3">
      <t>チュウオウク</t>
    </rPh>
    <rPh sb="3" eb="6">
      <t>ホンマチニシ</t>
    </rPh>
    <rPh sb="15" eb="17">
      <t>ゴウシツ</t>
    </rPh>
    <phoneticPr fontId="5"/>
  </si>
  <si>
    <t>338-0004</t>
  </si>
  <si>
    <t>070-4363-1451</t>
  </si>
  <si>
    <t>JR与野本町駅より徒歩12分</t>
    <rPh sb="2" eb="6">
      <t>ヨノホンマチ</t>
    </rPh>
    <rPh sb="6" eb="7">
      <t>エキ</t>
    </rPh>
    <rPh sb="9" eb="11">
      <t>トホ</t>
    </rPh>
    <rPh sb="13" eb="14">
      <t>フン</t>
    </rPh>
    <phoneticPr fontId="2"/>
  </si>
  <si>
    <t>南区太田窪２３３１－１　グリーンハイツ南浦和１０１</t>
    <rPh sb="0" eb="2">
      <t>ミナミク</t>
    </rPh>
    <rPh sb="2" eb="5">
      <t>ダイタクボ</t>
    </rPh>
    <rPh sb="19" eb="22">
      <t>ミナミウラワ</t>
    </rPh>
    <phoneticPr fontId="5"/>
  </si>
  <si>
    <t>国際興業バス「善前」バス停より徒歩１分</t>
    <rPh sb="0" eb="2">
      <t>コクサイ</t>
    </rPh>
    <rPh sb="2" eb="4">
      <t>コウギョウ</t>
    </rPh>
    <rPh sb="7" eb="8">
      <t>ゼン</t>
    </rPh>
    <rPh sb="8" eb="9">
      <t>マエ</t>
    </rPh>
    <rPh sb="12" eb="13">
      <t>テイ</t>
    </rPh>
    <rPh sb="15" eb="17">
      <t>トホ</t>
    </rPh>
    <rPh sb="18" eb="19">
      <t>フン</t>
    </rPh>
    <phoneticPr fontId="2"/>
  </si>
  <si>
    <t>361-0016</t>
  </si>
  <si>
    <t>048-553-1855</t>
  </si>
  <si>
    <t>048-553-1856</t>
  </si>
  <si>
    <t>ＡＭＡＮＥＫＵ鶴ヶ島藤金</t>
    <rPh sb="7" eb="12">
      <t>ツルガシマフジカネ</t>
    </rPh>
    <phoneticPr fontId="2"/>
  </si>
  <si>
    <t>藤金７３７番地１</t>
    <rPh sb="0" eb="2">
      <t>フジガネ</t>
    </rPh>
    <rPh sb="5" eb="7">
      <t>バンチ</t>
    </rPh>
    <phoneticPr fontId="2"/>
  </si>
  <si>
    <t>070-3253-3053</t>
    <phoneticPr fontId="2"/>
  </si>
  <si>
    <t>東武鉄道「鶴ヶ島駅」から徒歩２６分</t>
    <rPh sb="0" eb="4">
      <t>トウブテツドウ</t>
    </rPh>
    <rPh sb="5" eb="9">
      <t>ツルガシマエキ</t>
    </rPh>
    <rPh sb="12" eb="14">
      <t>トホ</t>
    </rPh>
    <rPh sb="16" eb="17">
      <t>フン</t>
    </rPh>
    <phoneticPr fontId="2"/>
  </si>
  <si>
    <t>048-877-1845</t>
    <phoneticPr fontId="2"/>
  </si>
  <si>
    <t>048-674-0632</t>
    <phoneticPr fontId="2"/>
  </si>
  <si>
    <t>ふぉとしす</t>
    <phoneticPr fontId="2"/>
  </si>
  <si>
    <t>南峯２４０－１</t>
    <phoneticPr fontId="2"/>
  </si>
  <si>
    <t>JR八高線金子駅から徒歩10分</t>
    <rPh sb="2" eb="5">
      <t>ハチコウセン</t>
    </rPh>
    <rPh sb="5" eb="8">
      <t>カネコエキ</t>
    </rPh>
    <rPh sb="10" eb="12">
      <t>トホ</t>
    </rPh>
    <rPh sb="14" eb="15">
      <t>フン</t>
    </rPh>
    <phoneticPr fontId="2"/>
  </si>
  <si>
    <t>太陽の丘　双柳</t>
    <rPh sb="0" eb="2">
      <t>タイヨウ</t>
    </rPh>
    <rPh sb="3" eb="4">
      <t>オカ</t>
    </rPh>
    <rPh sb="5" eb="7">
      <t>ナミヤナギ</t>
    </rPh>
    <phoneticPr fontId="2"/>
  </si>
  <si>
    <t>双柳５４０</t>
    <rPh sb="0" eb="2">
      <t>ナミヤナギ</t>
    </rPh>
    <phoneticPr fontId="2"/>
  </si>
  <si>
    <t>042‐980‐6350</t>
    <phoneticPr fontId="2"/>
  </si>
  <si>
    <t>042‐980‐6360</t>
    <phoneticPr fontId="2"/>
  </si>
  <si>
    <t>JR八高線東飯能駅から徒歩14分</t>
    <rPh sb="2" eb="5">
      <t>ハチコウセン</t>
    </rPh>
    <rPh sb="5" eb="9">
      <t>ヒガシハンノウエキ</t>
    </rPh>
    <rPh sb="11" eb="13">
      <t>トホ</t>
    </rPh>
    <rPh sb="15" eb="16">
      <t>フン</t>
    </rPh>
    <phoneticPr fontId="2"/>
  </si>
  <si>
    <t>aloha入間市役所前</t>
    <rPh sb="5" eb="11">
      <t>イルマシヤクショマエ</t>
    </rPh>
    <phoneticPr fontId="2"/>
  </si>
  <si>
    <t>豊岡五丁目981番地1</t>
    <rPh sb="0" eb="2">
      <t>トヨオカ</t>
    </rPh>
    <rPh sb="2" eb="5">
      <t>ゴチョウメ</t>
    </rPh>
    <rPh sb="8" eb="10">
      <t>バンチ</t>
    </rPh>
    <phoneticPr fontId="2"/>
  </si>
  <si>
    <t>358‐0003</t>
    <phoneticPr fontId="2"/>
  </si>
  <si>
    <t>04‐2933‐9432</t>
    <phoneticPr fontId="2"/>
  </si>
  <si>
    <t>04‐2933‐9433</t>
    <phoneticPr fontId="2"/>
  </si>
  <si>
    <t>西武池袋線入間市駅から徒歩15分</t>
    <rPh sb="0" eb="5">
      <t>セイブイケブクロセン</t>
    </rPh>
    <rPh sb="5" eb="9">
      <t>イルマシエキ</t>
    </rPh>
    <rPh sb="11" eb="13">
      <t>トホ</t>
    </rPh>
    <rPh sb="15" eb="16">
      <t>フン</t>
    </rPh>
    <phoneticPr fontId="2"/>
  </si>
  <si>
    <t>就労支援センターにこにこ入間事業所</t>
    <rPh sb="0" eb="4">
      <t>シュウロウシエン</t>
    </rPh>
    <rPh sb="12" eb="17">
      <t>イルマジギョウショ</t>
    </rPh>
    <phoneticPr fontId="2"/>
  </si>
  <si>
    <t>下藤沢９２６－１３</t>
    <rPh sb="1" eb="3">
      <t>フジサワ</t>
    </rPh>
    <phoneticPr fontId="2"/>
  </si>
  <si>
    <t>04‐2968‐9434</t>
    <phoneticPr fontId="2"/>
  </si>
  <si>
    <t>西武池袋線武蔵藤沢駅から徒歩14分</t>
    <rPh sb="0" eb="4">
      <t>セイブイケブクロ</t>
    </rPh>
    <rPh sb="4" eb="5">
      <t>セン</t>
    </rPh>
    <rPh sb="5" eb="10">
      <t>ムサシフジサワエキ</t>
    </rPh>
    <rPh sb="12" eb="14">
      <t>トホ</t>
    </rPh>
    <rPh sb="16" eb="17">
      <t>フン</t>
    </rPh>
    <phoneticPr fontId="2"/>
  </si>
  <si>
    <t>astep　北戸田</t>
    <rPh sb="6" eb="9">
      <t>キタトダ</t>
    </rPh>
    <phoneticPr fontId="2"/>
  </si>
  <si>
    <t>笹目4₋2₋23</t>
    <rPh sb="0" eb="2">
      <t>ササメ</t>
    </rPh>
    <phoneticPr fontId="2"/>
  </si>
  <si>
    <t>048‐424‐4313</t>
    <phoneticPr fontId="2"/>
  </si>
  <si>
    <t>048‐423‐9676</t>
    <phoneticPr fontId="2"/>
  </si>
  <si>
    <t>JR埼京線北戸田駅から徒歩21分</t>
    <rPh sb="2" eb="5">
      <t>サイキョウセン</t>
    </rPh>
    <rPh sb="5" eb="8">
      <t>キタトダ</t>
    </rPh>
    <rPh sb="8" eb="9">
      <t>エキ</t>
    </rPh>
    <rPh sb="11" eb="13">
      <t>トホ</t>
    </rPh>
    <rPh sb="15" eb="16">
      <t>フン</t>
    </rPh>
    <phoneticPr fontId="2"/>
  </si>
  <si>
    <t>Melth東川口</t>
    <rPh sb="5" eb="8">
      <t>ひがしかわぐち</t>
    </rPh>
    <phoneticPr fontId="2" type="Hiragana"/>
  </si>
  <si>
    <t>就労定着支援</t>
    <rPh sb="0" eb="6">
      <t>シュウロウテイチャクシエン</t>
    </rPh>
    <phoneticPr fontId="2"/>
  </si>
  <si>
    <t>就労選択支援</t>
    <rPh sb="0" eb="6">
      <t>シュウロウセンタクシエン</t>
    </rPh>
    <phoneticPr fontId="2"/>
  </si>
  <si>
    <t>ＮＰＯ法人わかばの家</t>
    <rPh sb="3" eb="5">
      <t>ホウジン</t>
    </rPh>
    <rPh sb="9" eb="10">
      <t>イエ</t>
    </rPh>
    <phoneticPr fontId="2"/>
  </si>
  <si>
    <t>西川口カルディア</t>
    <rPh sb="0" eb="3">
      <t>にしかわぐち</t>
    </rPh>
    <phoneticPr fontId="2" type="Hiragana"/>
  </si>
  <si>
    <t>川口市</t>
    <rPh sb="0" eb="3">
      <t>かわぐちし</t>
    </rPh>
    <phoneticPr fontId="2" type="Hiragana"/>
  </si>
  <si>
    <t>西川口1-6-17
扶桑ビル7階</t>
    <rPh sb="0" eb="3">
      <t>にしかわぐち</t>
    </rPh>
    <rPh sb="10" eb="12">
      <t>ふそう</t>
    </rPh>
    <rPh sb="15" eb="16">
      <t>かい</t>
    </rPh>
    <phoneticPr fontId="2" type="Hiragana"/>
  </si>
  <si>
    <t>332-0021</t>
    <phoneticPr fontId="2" type="Hiragana"/>
  </si>
  <si>
    <t>048-287-8030</t>
    <phoneticPr fontId="2"/>
  </si>
  <si>
    <t>〇</t>
    <phoneticPr fontId="2" type="Hiragana"/>
  </si>
  <si>
    <t>（電車）西川口駅西口から徒歩１分</t>
    <rPh sb="1" eb="3">
      <t>でんしゃ</t>
    </rPh>
    <rPh sb="4" eb="8">
      <t>にしかわぐちえき</t>
    </rPh>
    <rPh sb="8" eb="10">
      <t>にしぐち</t>
    </rPh>
    <rPh sb="12" eb="14">
      <t>とほ</t>
    </rPh>
    <rPh sb="15" eb="16">
      <t>ふん</t>
    </rPh>
    <phoneticPr fontId="2" type="Hiragana"/>
  </si>
  <si>
    <t>川口市</t>
    <rPh sb="0" eb="2">
      <t>かわぐち</t>
    </rPh>
    <rPh sb="2" eb="3">
      <t>し</t>
    </rPh>
    <phoneticPr fontId="20" type="Hiragana"/>
  </si>
  <si>
    <t>（電車）川口駅から徒歩３分</t>
    <phoneticPr fontId="2" type="Hiragana"/>
  </si>
  <si>
    <t>西川口1-6-17
扶桑ビル6階</t>
    <rPh sb="0" eb="3">
      <t>にしかわぐち</t>
    </rPh>
    <rPh sb="10" eb="12">
      <t>ふそう</t>
    </rPh>
    <rPh sb="15" eb="16">
      <t>かい</t>
    </rPh>
    <phoneticPr fontId="20" type="Hiragana"/>
  </si>
  <si>
    <t>就労継続支援Ｂ型　ハートライン</t>
    <rPh sb="0" eb="6">
      <t>しゅうろうけいぞくしえん</t>
    </rPh>
    <rPh sb="7" eb="8">
      <t>がた</t>
    </rPh>
    <phoneticPr fontId="20" type="Hiragana"/>
  </si>
  <si>
    <t>048-233-0020</t>
  </si>
  <si>
    <t xml:space="preserve"> （電車）西川口駅から徒歩１４分</t>
  </si>
  <si>
    <t>未来サポート</t>
    <rPh sb="0" eb="2">
      <t>みらい</t>
    </rPh>
    <phoneticPr fontId="20" type="Hiragana"/>
  </si>
  <si>
    <t>333-0834</t>
  </si>
  <si>
    <t>048-487-8166</t>
  </si>
  <si>
    <t>048-487-8162</t>
  </si>
  <si>
    <t xml:space="preserve"> （バス）西川口駅東口から東浦和駅行き「網代橋」徒歩４分</t>
    <rPh sb="5" eb="9">
      <t>にしかわぐちえき</t>
    </rPh>
    <rPh sb="9" eb="11">
      <t>ひがしぐち</t>
    </rPh>
    <rPh sb="13" eb="16">
      <t>ひがしうらわ</t>
    </rPh>
    <rPh sb="16" eb="17">
      <t>えき</t>
    </rPh>
    <rPh sb="17" eb="18">
      <t>い</t>
    </rPh>
    <rPh sb="20" eb="22">
      <t>あじろ</t>
    </rPh>
    <rPh sb="22" eb="23">
      <t>ばし</t>
    </rPh>
    <rPh sb="24" eb="26">
      <t>とほ</t>
    </rPh>
    <rPh sb="27" eb="28">
      <t>ふん</t>
    </rPh>
    <phoneticPr fontId="20" type="Hiragana"/>
  </si>
  <si>
    <t>Well being job Studio</t>
  </si>
  <si>
    <t>333-0862</t>
  </si>
  <si>
    <t>090-8492-4643</t>
  </si>
  <si>
    <t>048-705-8614</t>
  </si>
  <si>
    <t>〇　</t>
  </si>
  <si>
    <t xml:space="preserve"> （バス）東浦和駅から西川口駅東口行き「宮下橋」徒歩４分</t>
    <rPh sb="5" eb="8">
      <t>ひがしうらわ</t>
    </rPh>
    <rPh sb="8" eb="9">
      <t>えき</t>
    </rPh>
    <rPh sb="11" eb="15">
      <t>にしかわぐちえき</t>
    </rPh>
    <rPh sb="15" eb="17">
      <t>ひがしぐち</t>
    </rPh>
    <rPh sb="17" eb="18">
      <t>い</t>
    </rPh>
    <rPh sb="20" eb="22">
      <t>みやした</t>
    </rPh>
    <rPh sb="22" eb="23">
      <t>ばし</t>
    </rPh>
    <rPh sb="24" eb="26">
      <t>とほ</t>
    </rPh>
    <rPh sb="27" eb="28">
      <t>ふん</t>
    </rPh>
    <phoneticPr fontId="20" type="Hiragana"/>
  </si>
  <si>
    <t>川口市障害者短期入所施設　柳崎しらゆりの家</t>
    <rPh sb="0" eb="12">
      <t>かわぐちししょうがいしゃたんきにゅうしょしせつ</t>
    </rPh>
    <rPh sb="13" eb="15">
      <t>やなぎさき</t>
    </rPh>
    <rPh sb="20" eb="21">
      <t>いえ</t>
    </rPh>
    <phoneticPr fontId="20" type="Hiragana"/>
  </si>
  <si>
    <t>JR 武蔵野線「東浦和駅」徒歩20 分／バス「西ヶ原」徒歩3 分／第二産業道路 柳崎一丁目交差点すぐ</t>
    <rPh sb="3" eb="7">
      <t>むさしのせん</t>
    </rPh>
    <rPh sb="8" eb="9">
      <t>ひがし</t>
    </rPh>
    <rPh sb="9" eb="11">
      <t>うらわ</t>
    </rPh>
    <rPh sb="11" eb="12">
      <t>えき</t>
    </rPh>
    <rPh sb="13" eb="15">
      <t>とほ</t>
    </rPh>
    <rPh sb="18" eb="19">
      <t>ぶん</t>
    </rPh>
    <rPh sb="23" eb="26">
      <t>にしがはら</t>
    </rPh>
    <rPh sb="27" eb="29">
      <t>とほ</t>
    </rPh>
    <rPh sb="31" eb="32">
      <t>ぶん</t>
    </rPh>
    <rPh sb="33" eb="35">
      <t>だいに</t>
    </rPh>
    <rPh sb="35" eb="37">
      <t>さんぎょう</t>
    </rPh>
    <rPh sb="37" eb="39">
      <t>どうろ</t>
    </rPh>
    <rPh sb="40" eb="42">
      <t>やなぎさき</t>
    </rPh>
    <rPh sb="42" eb="45">
      <t>いっちょうめ</t>
    </rPh>
    <rPh sb="45" eb="48">
      <t>こうさてん</t>
    </rPh>
    <phoneticPr fontId="20" type="Hiragana"/>
  </si>
  <si>
    <t>333-0861</t>
  </si>
  <si>
    <t>080-3548-0123</t>
  </si>
  <si>
    <t>バースワークス与野本町</t>
    <rPh sb="7" eb="11">
      <t>よのほんまち</t>
    </rPh>
    <phoneticPr fontId="5" type="Hiragana"/>
  </si>
  <si>
    <t>338-0812</t>
  </si>
  <si>
    <t>048-606-4263</t>
  </si>
  <si>
    <t>048-611-7728</t>
  </si>
  <si>
    <t>JR与野本町駅から国際興業バス　神田バス停から徒歩３分</t>
    <rPh sb="2" eb="6">
      <t>ヨノホンマチ</t>
    </rPh>
    <rPh sb="6" eb="7">
      <t>エキ</t>
    </rPh>
    <rPh sb="9" eb="11">
      <t>コクサイ</t>
    </rPh>
    <rPh sb="11" eb="13">
      <t>コウギョウ</t>
    </rPh>
    <rPh sb="16" eb="18">
      <t>カンダ</t>
    </rPh>
    <rPh sb="20" eb="21">
      <t>テイ</t>
    </rPh>
    <rPh sb="23" eb="25">
      <t>トホ</t>
    </rPh>
    <rPh sb="26" eb="27">
      <t>フン</t>
    </rPh>
    <phoneticPr fontId="2"/>
  </si>
  <si>
    <t>桜区神田５０－３</t>
    <phoneticPr fontId="5"/>
  </si>
  <si>
    <t>ありがとうリハビリセンター</t>
  </si>
  <si>
    <t>西区大字宝来７３６－１</t>
  </si>
  <si>
    <t>331-0074</t>
  </si>
  <si>
    <t>048-780-2034</t>
  </si>
  <si>
    <t>048-780-2035</t>
  </si>
  <si>
    <t>JR指扇駅より徒歩１０分</t>
    <rPh sb="2" eb="5">
      <t>サシオウギエキ</t>
    </rPh>
    <rPh sb="7" eb="9">
      <t>トホ</t>
    </rPh>
    <rPh sb="11" eb="12">
      <t>フン</t>
    </rPh>
    <phoneticPr fontId="2"/>
  </si>
  <si>
    <t>オールステージ大宮</t>
    <rPh sb="7" eb="9">
      <t>オオミヤ</t>
    </rPh>
    <phoneticPr fontId="5"/>
  </si>
  <si>
    <t>大宮区桜木町２－８－４　SS桜木町ビル５階</t>
    <rPh sb="0" eb="3">
      <t>オオミヤク</t>
    </rPh>
    <rPh sb="3" eb="6">
      <t>サクラギチョウ</t>
    </rPh>
    <rPh sb="14" eb="16">
      <t>サクラギ</t>
    </rPh>
    <rPh sb="16" eb="17">
      <t>マチ</t>
    </rPh>
    <rPh sb="20" eb="21">
      <t>カイ</t>
    </rPh>
    <phoneticPr fontId="7"/>
  </si>
  <si>
    <t>048-788-5152</t>
  </si>
  <si>
    <t>JR大宮駅より徒歩６分</t>
    <rPh sb="2" eb="5">
      <t>オオミヤエキ</t>
    </rPh>
    <rPh sb="7" eb="9">
      <t>トホ</t>
    </rPh>
    <rPh sb="10" eb="11">
      <t>フン</t>
    </rPh>
    <phoneticPr fontId="2"/>
  </si>
  <si>
    <t>ＪＲ東浦和駅から浦和駅行きバス乗車 花月バス停下車徒歩5分
※児発・放デイとの多機能</t>
    <rPh sb="2" eb="6">
      <t>ヒガシウラワエキ</t>
    </rPh>
    <rPh sb="8" eb="11">
      <t>ウラワエキ</t>
    </rPh>
    <rPh sb="11" eb="12">
      <t>ユ</t>
    </rPh>
    <rPh sb="15" eb="17">
      <t>ジョウシャ</t>
    </rPh>
    <rPh sb="18" eb="20">
      <t>カゲツ</t>
    </rPh>
    <rPh sb="22" eb="23">
      <t>テイ</t>
    </rPh>
    <rPh sb="23" eb="25">
      <t>ゲシャ</t>
    </rPh>
    <rPh sb="25" eb="27">
      <t>トホ</t>
    </rPh>
    <rPh sb="28" eb="29">
      <t>フン</t>
    </rPh>
    <phoneticPr fontId="2"/>
  </si>
  <si>
    <t>日中サービス支援型障がい者グループホーム　リビットホームさいたま三室（短期入所）</t>
    <rPh sb="0" eb="2">
      <t>にっちゅう</t>
    </rPh>
    <rPh sb="6" eb="8">
      <t>しえん</t>
    </rPh>
    <rPh sb="8" eb="9">
      <t>かた</t>
    </rPh>
    <rPh sb="9" eb="10">
      <t>しょう</t>
    </rPh>
    <rPh sb="12" eb="13">
      <t>しゃ</t>
    </rPh>
    <rPh sb="32" eb="34">
      <t>みむろ</t>
    </rPh>
    <rPh sb="35" eb="37">
      <t>たんき</t>
    </rPh>
    <rPh sb="37" eb="39">
      <t>にゅうしょ</t>
    </rPh>
    <phoneticPr fontId="5" type="Hiragana"/>
  </si>
  <si>
    <t>JR北浦和駅から東武バスさいたま市立病院行き乗車「西宿」下車徒歩５分</t>
    <rPh sb="2" eb="3">
      <t>キタ</t>
    </rPh>
    <rPh sb="3" eb="5">
      <t>ウラワ</t>
    </rPh>
    <rPh sb="5" eb="6">
      <t>エキ</t>
    </rPh>
    <rPh sb="8" eb="10">
      <t>トウブ</t>
    </rPh>
    <rPh sb="16" eb="18">
      <t>シリツ</t>
    </rPh>
    <rPh sb="18" eb="20">
      <t>ビョウイン</t>
    </rPh>
    <rPh sb="20" eb="21">
      <t>イ</t>
    </rPh>
    <rPh sb="22" eb="24">
      <t>ジョウシャ</t>
    </rPh>
    <rPh sb="25" eb="27">
      <t>ニシジュク</t>
    </rPh>
    <rPh sb="28" eb="30">
      <t>ゲシャ</t>
    </rPh>
    <rPh sb="30" eb="32">
      <t>トホ</t>
    </rPh>
    <rPh sb="33" eb="34">
      <t>フン</t>
    </rPh>
    <phoneticPr fontId="2"/>
  </si>
  <si>
    <t>就労継続支援B型事業所ライトハウス</t>
    <rPh sb="0" eb="2">
      <t>シュウロウ</t>
    </rPh>
    <rPh sb="2" eb="4">
      <t>ケイゾク</t>
    </rPh>
    <rPh sb="4" eb="6">
      <t>シエン</t>
    </rPh>
    <rPh sb="7" eb="8">
      <t>カタ</t>
    </rPh>
    <rPh sb="8" eb="11">
      <t>ジギョウショ</t>
    </rPh>
    <phoneticPr fontId="35"/>
  </si>
  <si>
    <t>就労選択支援　Ｂｅ　happinessとおり町</t>
    <rPh sb="0" eb="2">
      <t>シュウロウ</t>
    </rPh>
    <rPh sb="2" eb="4">
      <t>センタク</t>
    </rPh>
    <rPh sb="4" eb="6">
      <t>シエン</t>
    </rPh>
    <rPh sb="22" eb="23">
      <t>マチ</t>
    </rPh>
    <phoneticPr fontId="33"/>
  </si>
  <si>
    <t>川越市</t>
    <rPh sb="0" eb="3">
      <t>カワゴエシ</t>
    </rPh>
    <phoneticPr fontId="33"/>
  </si>
  <si>
    <t>通町5-4　第一山田ビル501</t>
    <rPh sb="0" eb="1">
      <t>トオリ</t>
    </rPh>
    <rPh sb="1" eb="2">
      <t>マチ</t>
    </rPh>
    <rPh sb="6" eb="8">
      <t>ダイイチ</t>
    </rPh>
    <rPh sb="8" eb="10">
      <t>ヤマダ</t>
    </rPh>
    <phoneticPr fontId="33"/>
  </si>
  <si>
    <t>350-0044</t>
  </si>
  <si>
    <t>049-277-5644</t>
  </si>
  <si>
    <t>049-277-5645</t>
  </si>
  <si>
    <t>ＪＲ・東武東上線川越駅徒歩12分</t>
  </si>
  <si>
    <t>就労支援のウェリット　川越</t>
    <rPh sb="0" eb="2">
      <t>シュウロウ</t>
    </rPh>
    <rPh sb="2" eb="4">
      <t>シエン</t>
    </rPh>
    <rPh sb="11" eb="13">
      <t>カワゴエ</t>
    </rPh>
    <phoneticPr fontId="33"/>
  </si>
  <si>
    <t>東田町11-21　3Ｆ</t>
    <rPh sb="0" eb="3">
      <t>ヒガシダマチ</t>
    </rPh>
    <phoneticPr fontId="33"/>
  </si>
  <si>
    <t>350-1114</t>
  </si>
  <si>
    <t>090-8174-6486</t>
  </si>
  <si>
    <t>048-783-4302</t>
  </si>
  <si>
    <t>ＪＲ・東武東上線川越駅徒歩10分</t>
  </si>
  <si>
    <t>てんとうむしハウスＬａｂｏ</t>
  </si>
  <si>
    <t>小仙波911-1</t>
    <rPh sb="0" eb="1">
      <t>コ</t>
    </rPh>
    <rPh sb="1" eb="3">
      <t>センバ</t>
    </rPh>
    <phoneticPr fontId="33"/>
  </si>
  <si>
    <t>049-277-5570</t>
  </si>
  <si>
    <t>西武バス川越市民聖苑やすらぎのさとバス停徒歩1分</t>
    <rPh sb="0" eb="2">
      <t>セイブ</t>
    </rPh>
    <rPh sb="4" eb="6">
      <t>カワゴエ</t>
    </rPh>
    <rPh sb="6" eb="8">
      <t>シミン</t>
    </rPh>
    <rPh sb="8" eb="10">
      <t>セイエン</t>
    </rPh>
    <rPh sb="19" eb="20">
      <t>テイ</t>
    </rPh>
    <rPh sb="20" eb="22">
      <t>トホ</t>
    </rPh>
    <rPh sb="23" eb="24">
      <t>プン</t>
    </rPh>
    <phoneticPr fontId="33"/>
  </si>
  <si>
    <t>ＮＰＯ法人恵愛</t>
    <rPh sb="5" eb="6">
      <t>メグミ</t>
    </rPh>
    <rPh sb="6" eb="7">
      <t>アイ</t>
    </rPh>
    <phoneticPr fontId="2"/>
  </si>
  <si>
    <t>グループホーム祉園</t>
    <rPh sb="7" eb="8">
      <t>シ</t>
    </rPh>
    <rPh sb="8" eb="9">
      <t>エン</t>
    </rPh>
    <phoneticPr fontId="2"/>
  </si>
  <si>
    <t>城西３丁目１番３５号</t>
    <rPh sb="0" eb="1">
      <t>シロ</t>
    </rPh>
    <rPh sb="1" eb="2">
      <t>ニシ</t>
    </rPh>
    <rPh sb="3" eb="5">
      <t>チョウメ</t>
    </rPh>
    <rPh sb="6" eb="7">
      <t>バン</t>
    </rPh>
    <rPh sb="9" eb="10">
      <t>ゴウ</t>
    </rPh>
    <phoneticPr fontId="2"/>
  </si>
  <si>
    <t>361-0057</t>
    <phoneticPr fontId="2"/>
  </si>
  <si>
    <t>090-8015-5433</t>
    <phoneticPr fontId="2"/>
  </si>
  <si>
    <t>秩父鉄道持田駅から徒歩１０分</t>
    <rPh sb="0" eb="4">
      <t>チチブテツドウ</t>
    </rPh>
    <rPh sb="4" eb="7">
      <t>モチダエキ</t>
    </rPh>
    <rPh sb="9" eb="11">
      <t>トホ</t>
    </rPh>
    <rPh sb="13" eb="14">
      <t>フン</t>
    </rPh>
    <phoneticPr fontId="2"/>
  </si>
  <si>
    <t>グループホームＨＩＮＡ</t>
    <phoneticPr fontId="2"/>
  </si>
  <si>
    <t>扇町屋５丁目６－２１</t>
    <rPh sb="0" eb="2">
      <t>オウギマチ</t>
    </rPh>
    <rPh sb="2" eb="3">
      <t>ヤ</t>
    </rPh>
    <rPh sb="4" eb="6">
      <t>チョウメ</t>
    </rPh>
    <phoneticPr fontId="2"/>
  </si>
  <si>
    <t>358-0022</t>
    <phoneticPr fontId="2"/>
  </si>
  <si>
    <t>090‐3685‐3924</t>
    <phoneticPr fontId="2"/>
  </si>
  <si>
    <t>042‐932‐0011</t>
    <phoneticPr fontId="2"/>
  </si>
  <si>
    <t>ぱるスイッチ</t>
    <phoneticPr fontId="2"/>
  </si>
  <si>
    <t>（株）きずな</t>
    <phoneticPr fontId="2"/>
  </si>
  <si>
    <t>ショートステイ　あさの</t>
    <phoneticPr fontId="2"/>
  </si>
  <si>
    <t>南後谷753-3</t>
    <phoneticPr fontId="2"/>
  </si>
  <si>
    <t>340-0831</t>
    <phoneticPr fontId="2"/>
  </si>
  <si>
    <t>090-9249-8771</t>
  </si>
  <si>
    <t>草加駅東口からバス「後谷住宅前」下車徒歩４分</t>
    <rPh sb="0" eb="5">
      <t>ソウカエキヒガシグチ</t>
    </rPh>
    <rPh sb="10" eb="15">
      <t>アトヤジュウタクマエ</t>
    </rPh>
    <rPh sb="16" eb="18">
      <t>ゲシャ</t>
    </rPh>
    <rPh sb="18" eb="20">
      <t>トホ</t>
    </rPh>
    <rPh sb="21" eb="22">
      <t>プン</t>
    </rPh>
    <phoneticPr fontId="2"/>
  </si>
  <si>
    <t>Mountain &amp; Valley　一ノ割駅前店</t>
    <rPh sb="18" eb="19">
      <t>イチ</t>
    </rPh>
    <rPh sb="20" eb="21">
      <t>ワリ</t>
    </rPh>
    <rPh sb="21" eb="23">
      <t>エキマエ</t>
    </rPh>
    <rPh sb="23" eb="24">
      <t>テン</t>
    </rPh>
    <phoneticPr fontId="2"/>
  </si>
  <si>
    <t>一ノ割１丁目１１番１号　２階３階</t>
    <rPh sb="0" eb="1">
      <t>イチ</t>
    </rPh>
    <rPh sb="2" eb="3">
      <t>ワリ</t>
    </rPh>
    <rPh sb="3" eb="6">
      <t>イッチョウメ</t>
    </rPh>
    <rPh sb="8" eb="9">
      <t>バン</t>
    </rPh>
    <rPh sb="10" eb="11">
      <t>ゴウ</t>
    </rPh>
    <rPh sb="13" eb="14">
      <t>カイ</t>
    </rPh>
    <rPh sb="15" eb="16">
      <t>カイ</t>
    </rPh>
    <phoneticPr fontId="2"/>
  </si>
  <si>
    <t>048-738-0502</t>
    <phoneticPr fontId="2"/>
  </si>
  <si>
    <t>048-738-0503</t>
    <phoneticPr fontId="2"/>
  </si>
  <si>
    <t>東武スカイツリーライン一ノ割駅徒歩1分</t>
    <rPh sb="0" eb="2">
      <t>トウブ</t>
    </rPh>
    <rPh sb="11" eb="12">
      <t>イチ</t>
    </rPh>
    <rPh sb="13" eb="15">
      <t>ワリエキ</t>
    </rPh>
    <rPh sb="15" eb="17">
      <t>トホ</t>
    </rPh>
    <rPh sb="18" eb="19">
      <t>プン</t>
    </rPh>
    <phoneticPr fontId="2"/>
  </si>
  <si>
    <t>ＳＫＴ(株)</t>
    <rPh sb="4" eb="5">
      <t>カブ</t>
    </rPh>
    <phoneticPr fontId="2"/>
  </si>
  <si>
    <t>Ｕｎｉｔｅｄ　Ｔｏｋｉｇａｗａ　Ｗｏｒｋ　Ｓｔｕｄｉｏ</t>
    <phoneticPr fontId="2"/>
  </si>
  <si>
    <t>西平184-1</t>
  </si>
  <si>
    <t>355-0364</t>
  </si>
  <si>
    <t>090-8689-1652</t>
    <phoneticPr fontId="2"/>
  </si>
  <si>
    <t>04-2949-2362</t>
    <phoneticPr fontId="2"/>
  </si>
  <si>
    <t>JR八高線妙覚駅から車で１２分</t>
    <rPh sb="2" eb="5">
      <t>ハチコウセン</t>
    </rPh>
    <rPh sb="5" eb="7">
      <t>ミョウカク</t>
    </rPh>
    <rPh sb="7" eb="8">
      <t>エキ</t>
    </rPh>
    <rPh sb="10" eb="11">
      <t>クルマ</t>
    </rPh>
    <rPh sb="14" eb="15">
      <t>フン</t>
    </rPh>
    <phoneticPr fontId="2"/>
  </si>
  <si>
    <t>（特非）東松山障害者就労支援センター</t>
    <rPh sb="1" eb="2">
      <t>トク</t>
    </rPh>
    <rPh sb="2" eb="3">
      <t>ヒ</t>
    </rPh>
    <phoneticPr fontId="2"/>
  </si>
  <si>
    <t>障がい者就業総合相談室　リレーションシップセンター久喜</t>
  </si>
  <si>
    <t>久喜中央２－４－１８
第１イグサビル１階</t>
    <rPh sb="0" eb="2">
      <t>クキ</t>
    </rPh>
    <rPh sb="2" eb="4">
      <t>チュウオウ</t>
    </rPh>
    <rPh sb="11" eb="12">
      <t>ダイ</t>
    </rPh>
    <rPh sb="19" eb="20">
      <t>カイ</t>
    </rPh>
    <phoneticPr fontId="2"/>
  </si>
  <si>
    <t>0480-53-8896</t>
    <phoneticPr fontId="2"/>
  </si>
  <si>
    <t>0480-53-8896</t>
  </si>
  <si>
    <t>JR久喜駅西口から徒歩５分</t>
    <rPh sb="2" eb="4">
      <t>クキ</t>
    </rPh>
    <rPh sb="4" eb="5">
      <t>エキ</t>
    </rPh>
    <rPh sb="5" eb="7">
      <t>ニシグチ</t>
    </rPh>
    <rPh sb="9" eb="11">
      <t>トホ</t>
    </rPh>
    <rPh sb="12" eb="13">
      <t>フン</t>
    </rPh>
    <phoneticPr fontId="2"/>
  </si>
  <si>
    <t>リズムハウス東浦和</t>
    <rPh sb="6" eb="9">
      <t>ひがしうらわ</t>
    </rPh>
    <phoneticPr fontId="5" type="Hiragana"/>
  </si>
  <si>
    <t>緑区東浦和７－２２－２</t>
  </si>
  <si>
    <t>048-767-3980</t>
  </si>
  <si>
    <t>048-767-3985</t>
  </si>
  <si>
    <t>Sound Studio Size</t>
  </si>
  <si>
    <t>大宮区東町１－４６　オガワとうちゅうビル２F</t>
    <rPh sb="0" eb="3">
      <t>オオミヤク</t>
    </rPh>
    <rPh sb="3" eb="5">
      <t>ヒガシチョウ</t>
    </rPh>
    <phoneticPr fontId="2"/>
  </si>
  <si>
    <t>JR大宮駅より徒歩13分</t>
    <rPh sb="2" eb="4">
      <t>オオミヤ</t>
    </rPh>
    <rPh sb="4" eb="5">
      <t>エキ</t>
    </rPh>
    <rPh sb="7" eb="9">
      <t>トホ</t>
    </rPh>
    <rPh sb="11" eb="12">
      <t>フン</t>
    </rPh>
    <phoneticPr fontId="2"/>
  </si>
  <si>
    <t>RESTA Campus 大宮店</t>
    <rPh sb="13" eb="15">
      <t>オオミヤ</t>
    </rPh>
    <rPh sb="15" eb="16">
      <t>テン</t>
    </rPh>
    <phoneticPr fontId="5"/>
  </si>
  <si>
    <t>見沼区蓮沼２０１－２　SHB事務所２F</t>
  </si>
  <si>
    <t>337-0015</t>
  </si>
  <si>
    <t>048-796-0505</t>
  </si>
  <si>
    <t>048-796-0605</t>
  </si>
  <si>
    <t>東武野田線大和田駅より徒歩15分</t>
    <rPh sb="0" eb="2">
      <t>トウブ</t>
    </rPh>
    <rPh sb="2" eb="5">
      <t>ノダセン</t>
    </rPh>
    <rPh sb="5" eb="8">
      <t>オオワダ</t>
    </rPh>
    <rPh sb="8" eb="9">
      <t>エキ</t>
    </rPh>
    <rPh sb="11" eb="13">
      <t>トホ</t>
    </rPh>
    <rPh sb="15" eb="16">
      <t>フン</t>
    </rPh>
    <phoneticPr fontId="2"/>
  </si>
  <si>
    <t>Sky's the Limit!大宮</t>
    <rPh sb="16" eb="18">
      <t>オオミヤ</t>
    </rPh>
    <phoneticPr fontId="9"/>
  </si>
  <si>
    <t>大宮区高鼻町１－２０－１　大宮中央ビルディング地下１階</t>
  </si>
  <si>
    <t>JR大宮駅より徒歩10分</t>
    <rPh sb="2" eb="4">
      <t>オオミヤ</t>
    </rPh>
    <rPh sb="4" eb="5">
      <t>エキ</t>
    </rPh>
    <rPh sb="7" eb="9">
      <t>トホ</t>
    </rPh>
    <rPh sb="11" eb="12">
      <t>フン</t>
    </rPh>
    <phoneticPr fontId="2"/>
  </si>
  <si>
    <t>サニースポット東浦和</t>
    <rPh sb="7" eb="8">
      <t>ヒガシ</t>
    </rPh>
    <rPh sb="8" eb="10">
      <t>ウラワ</t>
    </rPh>
    <phoneticPr fontId="5"/>
  </si>
  <si>
    <t>南区大谷口２０１５－２</t>
    <rPh sb="0" eb="2">
      <t>ミナミク</t>
    </rPh>
    <rPh sb="2" eb="5">
      <t>オオヤグチ</t>
    </rPh>
    <phoneticPr fontId="5"/>
  </si>
  <si>
    <t>048-767-7108</t>
  </si>
  <si>
    <t>048-767-7109</t>
  </si>
  <si>
    <t>JR東浦和駅より徒歩20分</t>
    <rPh sb="2" eb="3">
      <t>ヒガシ</t>
    </rPh>
    <rPh sb="3" eb="5">
      <t>ウラワ</t>
    </rPh>
    <rPh sb="5" eb="6">
      <t>エキ</t>
    </rPh>
    <rPh sb="8" eb="10">
      <t>トホ</t>
    </rPh>
    <rPh sb="12" eb="13">
      <t>フン</t>
    </rPh>
    <phoneticPr fontId="2"/>
  </si>
  <si>
    <t>岩槻区表慈恩寺５９５－１</t>
    <rPh sb="0" eb="2">
      <t>イワツキ</t>
    </rPh>
    <rPh sb="2" eb="3">
      <t>ク</t>
    </rPh>
    <rPh sb="3" eb="7">
      <t>オモテジオンジ</t>
    </rPh>
    <phoneticPr fontId="2"/>
  </si>
  <si>
    <t>東部アーバン朴ライン東岩槻駅より徒歩13分</t>
    <rPh sb="0" eb="2">
      <t>トウブ</t>
    </rPh>
    <rPh sb="6" eb="7">
      <t>パク</t>
    </rPh>
    <rPh sb="10" eb="11">
      <t>ヒガシ</t>
    </rPh>
    <rPh sb="11" eb="13">
      <t>イワツキ</t>
    </rPh>
    <rPh sb="13" eb="14">
      <t>エキ</t>
    </rPh>
    <rPh sb="16" eb="18">
      <t>トホ</t>
    </rPh>
    <rPh sb="20" eb="21">
      <t>フン</t>
    </rPh>
    <phoneticPr fontId="2"/>
  </si>
  <si>
    <t>グランホーム</t>
  </si>
  <si>
    <t>339-0008</t>
  </si>
  <si>
    <t>南区鹿手袋２－５－１５　市川ビル３階</t>
    <rPh sb="0" eb="2">
      <t>ミナミク</t>
    </rPh>
    <rPh sb="2" eb="5">
      <t>シカテブクロ</t>
    </rPh>
    <rPh sb="12" eb="14">
      <t>イチカワ</t>
    </rPh>
    <rPh sb="17" eb="18">
      <t>カイ</t>
    </rPh>
    <phoneticPr fontId="2"/>
  </si>
  <si>
    <t>336-0031</t>
  </si>
  <si>
    <t>048-767-3036</t>
  </si>
  <si>
    <t>048-767-3136</t>
  </si>
  <si>
    <t>JR埼京線中浦和駅より徒歩1分</t>
    <phoneticPr fontId="2"/>
  </si>
  <si>
    <t>大宮区上小町７８７－６－２０１</t>
  </si>
  <si>
    <t>南区南浦和二丁目３９番地１６　第五大雄ビル６Ｂ</t>
    <rPh sb="0" eb="2">
      <t>ミナミク</t>
    </rPh>
    <rPh sb="2" eb="5">
      <t>ミナミウラワ</t>
    </rPh>
    <rPh sb="5" eb="8">
      <t>ニチョウメ</t>
    </rPh>
    <rPh sb="10" eb="12">
      <t>バンチ</t>
    </rPh>
    <rPh sb="15" eb="16">
      <t>ダイ</t>
    </rPh>
    <rPh sb="16" eb="17">
      <t>ゴ</t>
    </rPh>
    <rPh sb="17" eb="19">
      <t>ダイユウ</t>
    </rPh>
    <phoneticPr fontId="11"/>
  </si>
  <si>
    <t>JR京浜東北線・武蔵野線 南浦和駅徒歩1分</t>
    <rPh sb="2" eb="4">
      <t>ケイヒン</t>
    </rPh>
    <rPh sb="4" eb="7">
      <t>トウホクセン</t>
    </rPh>
    <rPh sb="8" eb="12">
      <t>ムサシノセン</t>
    </rPh>
    <rPh sb="13" eb="17">
      <t>ミナミウラワエキ</t>
    </rPh>
    <rPh sb="17" eb="19">
      <t>トホ</t>
    </rPh>
    <rPh sb="20" eb="21">
      <t>フン</t>
    </rPh>
    <phoneticPr fontId="2"/>
  </si>
  <si>
    <t>就労継続支援B型事業所　Ai LiKE せんげん台</t>
    <rPh sb="0" eb="6">
      <t>シュウロウケイゾクシエン</t>
    </rPh>
    <rPh sb="7" eb="8">
      <t>ガタ</t>
    </rPh>
    <rPh sb="8" eb="11">
      <t>ジギョウショ</t>
    </rPh>
    <rPh sb="24" eb="25">
      <t>ダイ</t>
    </rPh>
    <phoneticPr fontId="2"/>
  </si>
  <si>
    <t>千間台西1-4-4　T・K PREVIOビル5F</t>
    <rPh sb="0" eb="4">
      <t>センゲンダイニシ</t>
    </rPh>
    <phoneticPr fontId="2"/>
  </si>
  <si>
    <t>048-919-3424</t>
  </si>
  <si>
    <t>東部スカイツリーラインせんげん台駅徒歩1分</t>
    <rPh sb="0" eb="2">
      <t>トウブ</t>
    </rPh>
    <rPh sb="15" eb="16">
      <t>ダイ</t>
    </rPh>
    <rPh sb="16" eb="17">
      <t>エキ</t>
    </rPh>
    <rPh sb="17" eb="19">
      <t>トホ</t>
    </rPh>
    <rPh sb="20" eb="21">
      <t>プン</t>
    </rPh>
    <phoneticPr fontId="2"/>
  </si>
  <si>
    <t>(特非)サポートあおい</t>
  </si>
  <si>
    <t>てんとうむしカンパニー小仙波</t>
    <rPh sb="11" eb="14">
      <t>コセンバ</t>
    </rPh>
    <phoneticPr fontId="33"/>
  </si>
  <si>
    <t>鶴ヶ島駅から徒歩19分</t>
    <rPh sb="0" eb="3">
      <t>ツルガシマ</t>
    </rPh>
    <rPh sb="3" eb="4">
      <t>エキ</t>
    </rPh>
    <rPh sb="6" eb="8">
      <t>トホ</t>
    </rPh>
    <rPh sb="10" eb="11">
      <t>フン</t>
    </rPh>
    <phoneticPr fontId="2"/>
  </si>
  <si>
    <t>川越駅より西武バス「今福中台」行きに乗車、「今福中台」で下車。バス停より徒歩６分。　※共生型生活介護</t>
    <rPh sb="0" eb="2">
      <t>カワゴエ</t>
    </rPh>
    <rPh sb="2" eb="3">
      <t>エキ</t>
    </rPh>
    <rPh sb="5" eb="7">
      <t>セイブ</t>
    </rPh>
    <rPh sb="10" eb="12">
      <t>イマフク</t>
    </rPh>
    <rPh sb="12" eb="14">
      <t>ナカダイ</t>
    </rPh>
    <rPh sb="15" eb="16">
      <t>イ</t>
    </rPh>
    <rPh sb="18" eb="20">
      <t>ジョウシャ</t>
    </rPh>
    <rPh sb="22" eb="24">
      <t>イマフク</t>
    </rPh>
    <rPh sb="24" eb="26">
      <t>ナカダイ</t>
    </rPh>
    <rPh sb="28" eb="30">
      <t>ゲシャ</t>
    </rPh>
    <rPh sb="33" eb="34">
      <t>テイ</t>
    </rPh>
    <rPh sb="36" eb="38">
      <t>トホ</t>
    </rPh>
    <rPh sb="39" eb="40">
      <t>フン</t>
    </rPh>
    <rPh sb="43" eb="46">
      <t>キョウセイガタ</t>
    </rPh>
    <rPh sb="46" eb="48">
      <t>セイカツ</t>
    </rPh>
    <rPh sb="48" eb="50">
      <t>カイゴ</t>
    </rPh>
    <phoneticPr fontId="2"/>
  </si>
  <si>
    <t>東武スカイツリーライン春日部駅西口から徒歩6分
※R8.3～休止</t>
    <rPh sb="11" eb="14">
      <t>カスカベ</t>
    </rPh>
    <rPh sb="14" eb="15">
      <t>エキ</t>
    </rPh>
    <rPh sb="15" eb="17">
      <t>ニシグチ</t>
    </rPh>
    <rPh sb="19" eb="21">
      <t>トホ</t>
    </rPh>
    <rPh sb="22" eb="23">
      <t>フン</t>
    </rPh>
    <rPh sb="30" eb="32">
      <t>キュウシ</t>
    </rPh>
    <phoneticPr fontId="2"/>
  </si>
  <si>
    <t>(株)ｓｔａｒｏｚｙ</t>
    <rPh sb="1" eb="2">
      <t>カブ</t>
    </rPh>
    <phoneticPr fontId="2"/>
  </si>
  <si>
    <t>ｓｔａｒａ　ＬＯＧＩ</t>
    <phoneticPr fontId="2"/>
  </si>
  <si>
    <t>大瀬５丁目７番地１２号</t>
    <rPh sb="0" eb="2">
      <t>オオセ</t>
    </rPh>
    <rPh sb="3" eb="5">
      <t>チョウメ</t>
    </rPh>
    <rPh sb="6" eb="8">
      <t>バンチ</t>
    </rPh>
    <rPh sb="10" eb="11">
      <t>ゴウ</t>
    </rPh>
    <phoneticPr fontId="2"/>
  </si>
  <si>
    <t>048-954-4809</t>
  </si>
  <si>
    <t>048-954-4801</t>
    <phoneticPr fontId="2"/>
  </si>
  <si>
    <t>つくばエクスプレス八潮駅南口徒歩６分</t>
    <rPh sb="9" eb="11">
      <t>ヤシオ</t>
    </rPh>
    <rPh sb="11" eb="12">
      <t>エキ</t>
    </rPh>
    <rPh sb="12" eb="14">
      <t>ミナミグチ</t>
    </rPh>
    <rPh sb="14" eb="16">
      <t>トホ</t>
    </rPh>
    <rPh sb="17" eb="18">
      <t>フン</t>
    </rPh>
    <phoneticPr fontId="2"/>
  </si>
  <si>
    <t>(株)アルファライズ</t>
    <phoneticPr fontId="2"/>
  </si>
  <si>
    <t>就労継続支援Ｂ型事業所　Ａｉ　ＬｉＫＥ　春日部</t>
    <rPh sb="0" eb="2">
      <t>シュウロウ</t>
    </rPh>
    <rPh sb="2" eb="4">
      <t>ケイゾク</t>
    </rPh>
    <rPh sb="4" eb="6">
      <t>シエン</t>
    </rPh>
    <rPh sb="7" eb="8">
      <t>ガタ</t>
    </rPh>
    <rPh sb="8" eb="11">
      <t>ジギョウショ</t>
    </rPh>
    <rPh sb="20" eb="23">
      <t>カスカベ</t>
    </rPh>
    <phoneticPr fontId="2"/>
  </si>
  <si>
    <t>中央１丁目１１－１　４階</t>
    <rPh sb="0" eb="2">
      <t>チュウオウ</t>
    </rPh>
    <rPh sb="3" eb="5">
      <t>チョウメ</t>
    </rPh>
    <rPh sb="11" eb="12">
      <t>カイ</t>
    </rPh>
    <phoneticPr fontId="2"/>
  </si>
  <si>
    <t>048-606-4948</t>
    <phoneticPr fontId="2"/>
  </si>
  <si>
    <t>03-6673-9380</t>
    <phoneticPr fontId="2"/>
  </si>
  <si>
    <t>東武伊勢崎線、東部野田線春日部駅西口徒歩３分</t>
    <rPh sb="0" eb="2">
      <t>トウブ</t>
    </rPh>
    <rPh sb="2" eb="5">
      <t>イセサキ</t>
    </rPh>
    <rPh sb="5" eb="6">
      <t>セン</t>
    </rPh>
    <rPh sb="7" eb="9">
      <t>トウブ</t>
    </rPh>
    <rPh sb="9" eb="12">
      <t>ノダセン</t>
    </rPh>
    <rPh sb="12" eb="15">
      <t>カスカベ</t>
    </rPh>
    <rPh sb="15" eb="16">
      <t>エキ</t>
    </rPh>
    <rPh sb="16" eb="18">
      <t>ニシグチ</t>
    </rPh>
    <rPh sb="18" eb="20">
      <t>トホ</t>
    </rPh>
    <rPh sb="21" eb="22">
      <t>プン</t>
    </rPh>
    <phoneticPr fontId="2"/>
  </si>
  <si>
    <t>(株)グッドライフ</t>
  </si>
  <si>
    <t>Ａｉｍ　Ｕｐ！　ｂｙグッドライフ</t>
  </si>
  <si>
    <t>中央六丁目１番地１４寿ビル２階</t>
    <rPh sb="0" eb="2">
      <t>チュウオウ</t>
    </rPh>
    <rPh sb="2" eb="5">
      <t>ロクチョウメ</t>
    </rPh>
    <rPh sb="6" eb="8">
      <t>バンチ</t>
    </rPh>
    <rPh sb="10" eb="11">
      <t>コトブキ</t>
    </rPh>
    <rPh sb="14" eb="15">
      <t>カイ</t>
    </rPh>
    <phoneticPr fontId="2"/>
  </si>
  <si>
    <t>048-954-9480</t>
  </si>
  <si>
    <t>東武伊勢崎線、東部野田線春日部駅西口徒歩８分
バス「春日部駅西口」から「市立医療センター入口」下車徒歩１分</t>
    <rPh sb="0" eb="2">
      <t>トウブ</t>
    </rPh>
    <rPh sb="2" eb="5">
      <t>イセサキ</t>
    </rPh>
    <rPh sb="5" eb="6">
      <t>セン</t>
    </rPh>
    <rPh sb="7" eb="9">
      <t>トウブ</t>
    </rPh>
    <rPh sb="9" eb="12">
      <t>ノダセン</t>
    </rPh>
    <rPh sb="12" eb="15">
      <t>カスカベ</t>
    </rPh>
    <rPh sb="15" eb="16">
      <t>エキ</t>
    </rPh>
    <rPh sb="16" eb="18">
      <t>ニシグチ</t>
    </rPh>
    <rPh sb="18" eb="20">
      <t>トホ</t>
    </rPh>
    <rPh sb="21" eb="22">
      <t>プン</t>
    </rPh>
    <rPh sb="26" eb="30">
      <t>カスカベエキ</t>
    </rPh>
    <rPh sb="30" eb="32">
      <t>ニシグチ</t>
    </rPh>
    <rPh sb="36" eb="40">
      <t>シリツイリョウ</t>
    </rPh>
    <rPh sb="44" eb="46">
      <t>イリグチ</t>
    </rPh>
    <rPh sb="47" eb="49">
      <t>ゲシャ</t>
    </rPh>
    <rPh sb="49" eb="51">
      <t>トホ</t>
    </rPh>
    <rPh sb="52" eb="53">
      <t>プン</t>
    </rPh>
    <phoneticPr fontId="2"/>
  </si>
  <si>
    <t>(株)ＬＩＴＡＬＩＣＯパートナーズ</t>
    <rPh sb="1" eb="2">
      <t>カブ</t>
    </rPh>
    <phoneticPr fontId="2"/>
  </si>
  <si>
    <t>ＬＩＴＡＬＩＣＯワークス小手指</t>
    <rPh sb="11" eb="14">
      <t>コテサシ</t>
    </rPh>
    <phoneticPr fontId="2"/>
  </si>
  <si>
    <t>04-2936-6167</t>
  </si>
  <si>
    <t>04-2936-6174</t>
  </si>
  <si>
    <t>スワン工舎新座</t>
    <rPh sb="3" eb="4">
      <t>コウ</t>
    </rPh>
    <rPh sb="4" eb="5">
      <t>シャ</t>
    </rPh>
    <rPh sb="5" eb="7">
      <t>ニイザ</t>
    </rPh>
    <phoneticPr fontId="2"/>
  </si>
  <si>
    <t>菅沢1‐3‐1</t>
    <rPh sb="0" eb="2">
      <t>スガサワ</t>
    </rPh>
    <phoneticPr fontId="2"/>
  </si>
  <si>
    <t>352‐0017</t>
    <phoneticPr fontId="2"/>
  </si>
  <si>
    <t>048‐480ｰ3367</t>
    <phoneticPr fontId="2"/>
  </si>
  <si>
    <t>048‐479ｰ5873</t>
    <phoneticPr fontId="2"/>
  </si>
  <si>
    <t>JR武蔵野線新座駅から徒歩15分</t>
    <rPh sb="2" eb="6">
      <t>ムサシノセン</t>
    </rPh>
    <rPh sb="6" eb="9">
      <t>ニイザエキ</t>
    </rPh>
    <rPh sb="11" eb="13">
      <t>トホ</t>
    </rPh>
    <rPh sb="15" eb="16">
      <t>フン</t>
    </rPh>
    <phoneticPr fontId="2"/>
  </si>
  <si>
    <t>(株)トーマス</t>
    <rPh sb="0" eb="3">
      <t>カブ</t>
    </rPh>
    <phoneticPr fontId="2"/>
  </si>
  <si>
    <t>東所沢和田2ｰ23‐5ｰ102</t>
    <rPh sb="0" eb="3">
      <t>ヒガシトコロザワ</t>
    </rPh>
    <rPh sb="3" eb="5">
      <t>ワダ</t>
    </rPh>
    <phoneticPr fontId="2"/>
  </si>
  <si>
    <t>359‐0023</t>
    <phoneticPr fontId="2"/>
  </si>
  <si>
    <t>04‐2946ｰ8431</t>
    <phoneticPr fontId="2"/>
  </si>
  <si>
    <t>04‐2946ｰ8432</t>
  </si>
  <si>
    <t>JR武蔵野線東所沢駅から徒歩10分</t>
    <rPh sb="2" eb="6">
      <t>ムサシノセン</t>
    </rPh>
    <rPh sb="6" eb="9">
      <t>ヒガシトコロザワ</t>
    </rPh>
    <rPh sb="9" eb="10">
      <t>エキ</t>
    </rPh>
    <rPh sb="12" eb="14">
      <t>トホ</t>
    </rPh>
    <rPh sb="16" eb="17">
      <t>フン</t>
    </rPh>
    <phoneticPr fontId="2"/>
  </si>
  <si>
    <t>ヒカリエ</t>
    <phoneticPr fontId="2"/>
  </si>
  <si>
    <t>西みずほ台1ｰ17ｰ17</t>
    <rPh sb="0" eb="1">
      <t>ニシ</t>
    </rPh>
    <rPh sb="4" eb="5">
      <t>ダイ</t>
    </rPh>
    <phoneticPr fontId="2"/>
  </si>
  <si>
    <t>048‐423‐5111</t>
    <phoneticPr fontId="2"/>
  </si>
  <si>
    <t>048‐423‐6316</t>
    <phoneticPr fontId="2"/>
  </si>
  <si>
    <t>東武東上線みずほ台駅から徒歩7分</t>
    <rPh sb="0" eb="5">
      <t>トウブトウジョウセン</t>
    </rPh>
    <rPh sb="8" eb="9">
      <t>ダイ</t>
    </rPh>
    <rPh sb="9" eb="10">
      <t>エキ</t>
    </rPh>
    <rPh sb="12" eb="14">
      <t>トホ</t>
    </rPh>
    <rPh sb="15" eb="16">
      <t>フン</t>
    </rPh>
    <phoneticPr fontId="2"/>
  </si>
  <si>
    <t>ウェルシ</t>
    <phoneticPr fontId="2"/>
  </si>
  <si>
    <t>亀久保1239‐69</t>
    <rPh sb="0" eb="3">
      <t>カメクボ</t>
    </rPh>
    <phoneticPr fontId="2"/>
  </si>
  <si>
    <t>356‐0051</t>
    <phoneticPr fontId="2"/>
  </si>
  <si>
    <t>〇</t>
    <phoneticPr fontId="5"/>
  </si>
  <si>
    <t>東武東上線ふじみ野駅より車で6分</t>
    <rPh sb="0" eb="5">
      <t>トウブトウジョウセン</t>
    </rPh>
    <rPh sb="8" eb="10">
      <t>ノエキ</t>
    </rPh>
    <rPh sb="12" eb="13">
      <t>クルマ</t>
    </rPh>
    <rPh sb="15" eb="16">
      <t>フン</t>
    </rPh>
    <phoneticPr fontId="2"/>
  </si>
  <si>
    <t>砂山8-1</t>
    <phoneticPr fontId="2"/>
  </si>
  <si>
    <t>tocotoco home 本庄(短期入所)</t>
    <rPh sb="14" eb="16">
      <t>ホンジョウ</t>
    </rPh>
    <rPh sb="17" eb="21">
      <t>タンキニュウショ</t>
    </rPh>
    <phoneticPr fontId="2"/>
  </si>
  <si>
    <t>朝日町２丁目６－１７</t>
    <rPh sb="0" eb="3">
      <t>アサヒチョウ</t>
    </rPh>
    <rPh sb="4" eb="6">
      <t>チョウメ</t>
    </rPh>
    <phoneticPr fontId="2"/>
  </si>
  <si>
    <t>367-0026</t>
    <phoneticPr fontId="2"/>
  </si>
  <si>
    <t>0495-71-6441</t>
    <phoneticPr fontId="2"/>
  </si>
  <si>
    <t>湘南新宿ライン本庄駅から徒歩15分</t>
    <rPh sb="0" eb="4">
      <t>ショウナンシンジュク</t>
    </rPh>
    <rPh sb="7" eb="10">
      <t>ホンジョウエキ</t>
    </rPh>
    <rPh sb="12" eb="14">
      <t>トホ</t>
    </rPh>
    <rPh sb="16" eb="17">
      <t>フン</t>
    </rPh>
    <phoneticPr fontId="2"/>
  </si>
  <si>
    <t>（特非）空と雲の家福祉会</t>
    <rPh sb="1" eb="2">
      <t>トク</t>
    </rPh>
    <rPh sb="2" eb="3">
      <t>ヒ</t>
    </rPh>
    <rPh sb="4" eb="5">
      <t>ソラ</t>
    </rPh>
    <rPh sb="6" eb="7">
      <t>クモ</t>
    </rPh>
    <rPh sb="8" eb="9">
      <t>イエ</t>
    </rPh>
    <rPh sb="9" eb="12">
      <t>フクシカイ</t>
    </rPh>
    <phoneticPr fontId="2"/>
  </si>
  <si>
    <t>就労選択支援事業所　空と雲の家</t>
    <rPh sb="0" eb="9">
      <t>シュウロウセンタクシエンジギョウショ</t>
    </rPh>
    <rPh sb="10" eb="11">
      <t>ソラ</t>
    </rPh>
    <rPh sb="12" eb="13">
      <t>クモ</t>
    </rPh>
    <rPh sb="14" eb="15">
      <t>イエ</t>
    </rPh>
    <phoneticPr fontId="2"/>
  </si>
  <si>
    <t>048-565-1646</t>
  </si>
  <si>
    <t>048-501-5408</t>
  </si>
  <si>
    <t>東武伊勢崎線羽生駅東口より井泉・村君ルートバス「スカイスポーツ公園」下車徒歩3分</t>
    <rPh sb="0" eb="2">
      <t>トウブ</t>
    </rPh>
    <rPh sb="2" eb="5">
      <t>イセザキ</t>
    </rPh>
    <rPh sb="5" eb="6">
      <t>セン</t>
    </rPh>
    <rPh sb="6" eb="8">
      <t>ハニュウ</t>
    </rPh>
    <rPh sb="8" eb="9">
      <t>エキ</t>
    </rPh>
    <rPh sb="9" eb="11">
      <t>ヒガシグチ</t>
    </rPh>
    <rPh sb="13" eb="14">
      <t>イ</t>
    </rPh>
    <rPh sb="14" eb="15">
      <t>イズミ</t>
    </rPh>
    <rPh sb="16" eb="18">
      <t>ムラクン</t>
    </rPh>
    <rPh sb="31" eb="33">
      <t>コウエン</t>
    </rPh>
    <rPh sb="34" eb="36">
      <t>ゲシャ</t>
    </rPh>
    <rPh sb="36" eb="38">
      <t>トホ</t>
    </rPh>
    <rPh sb="39" eb="40">
      <t>フン</t>
    </rPh>
    <phoneticPr fontId="2"/>
  </si>
  <si>
    <t>ユースタイルリビング 行田 生活介護</t>
    <rPh sb="11" eb="13">
      <t>ギョウダ</t>
    </rPh>
    <rPh sb="14" eb="18">
      <t>セイカツカイゴ</t>
    </rPh>
    <phoneticPr fontId="2"/>
  </si>
  <si>
    <t>壱里山町19-6</t>
    <rPh sb="0" eb="1">
      <t>イチ</t>
    </rPh>
    <rPh sb="1" eb="2">
      <t>サト</t>
    </rPh>
    <rPh sb="2" eb="3">
      <t>ヤマ</t>
    </rPh>
    <rPh sb="3" eb="4">
      <t>マチ</t>
    </rPh>
    <phoneticPr fontId="2"/>
  </si>
  <si>
    <t>361-0046</t>
    <phoneticPr fontId="2"/>
  </si>
  <si>
    <t>050-1784-0095</t>
    <phoneticPr fontId="2"/>
  </si>
  <si>
    <t>0506883-7981</t>
    <phoneticPr fontId="2"/>
  </si>
  <si>
    <t>行田駅より徒歩３分</t>
    <rPh sb="0" eb="2">
      <t>ギョウダ</t>
    </rPh>
    <rPh sb="2" eb="3">
      <t>エキ</t>
    </rPh>
    <rPh sb="5" eb="7">
      <t>トホ</t>
    </rPh>
    <rPh sb="8" eb="9">
      <t>フン</t>
    </rPh>
    <phoneticPr fontId="2"/>
  </si>
  <si>
    <t>（特非）東松山障害者就労支援センター</t>
    <phoneticPr fontId="2"/>
  </si>
  <si>
    <t>障がい者就業総合相談室　リレーションシップセンター東松山</t>
    <phoneticPr fontId="2"/>
  </si>
  <si>
    <t>箭弓町1丁目11番7号　ハイムグランデ東松山1階</t>
    <rPh sb="0" eb="3">
      <t>ヤキュウチョウ</t>
    </rPh>
    <rPh sb="4" eb="6">
      <t>チョウメ</t>
    </rPh>
    <rPh sb="8" eb="9">
      <t>バン</t>
    </rPh>
    <rPh sb="10" eb="11">
      <t>ゴウ</t>
    </rPh>
    <rPh sb="19" eb="22">
      <t>ヒガシマツヤマ</t>
    </rPh>
    <rPh sb="23" eb="24">
      <t>カイ</t>
    </rPh>
    <phoneticPr fontId="1"/>
  </si>
  <si>
    <t>0493-81-5623</t>
    <phoneticPr fontId="2"/>
  </si>
  <si>
    <t>0493-81-5630</t>
    <phoneticPr fontId="2"/>
  </si>
  <si>
    <t>東武東上線東松山駅東口より徒歩2分</t>
    <rPh sb="0" eb="5">
      <t>トウブトウジョウセン</t>
    </rPh>
    <rPh sb="5" eb="9">
      <t>ヒガシマツヤマエキ</t>
    </rPh>
    <rPh sb="9" eb="11">
      <t>ヒガシグチ</t>
    </rPh>
    <rPh sb="13" eb="15">
      <t>トホ</t>
    </rPh>
    <rPh sb="16" eb="17">
      <t>フン</t>
    </rPh>
    <phoneticPr fontId="2"/>
  </si>
  <si>
    <t>平塚724番地</t>
    <rPh sb="0" eb="2">
      <t>ヒラツカ</t>
    </rPh>
    <rPh sb="5" eb="7">
      <t>バンチ</t>
    </rPh>
    <phoneticPr fontId="2"/>
  </si>
  <si>
    <t>空と雲の家福祉作業所</t>
    <rPh sb="0" eb="1">
      <t>ソラ</t>
    </rPh>
    <rPh sb="2" eb="3">
      <t>クモ</t>
    </rPh>
    <rPh sb="4" eb="5">
      <t>イエ</t>
    </rPh>
    <rPh sb="5" eb="7">
      <t>フクシ</t>
    </rPh>
    <rPh sb="7" eb="10">
      <t>サギョウショ</t>
    </rPh>
    <phoneticPr fontId="2"/>
  </si>
  <si>
    <t>桜区大久保領家３２０－９</t>
  </si>
  <si>
    <t>338-0826</t>
  </si>
  <si>
    <t>048-764-9902</t>
  </si>
  <si>
    <t>048-764-9903</t>
  </si>
  <si>
    <t>西部バス浦和北高校停留所より徒歩1分
※「児童デイ　太陽の歌」との多機能型事業所</t>
    <rPh sb="0" eb="2">
      <t>セイブ</t>
    </rPh>
    <rPh sb="4" eb="6">
      <t>ウラワ</t>
    </rPh>
    <rPh sb="6" eb="7">
      <t>キタ</t>
    </rPh>
    <rPh sb="7" eb="9">
      <t>コウコウ</t>
    </rPh>
    <rPh sb="9" eb="12">
      <t>テイリュウジョ</t>
    </rPh>
    <rPh sb="14" eb="16">
      <t>トホ</t>
    </rPh>
    <rPh sb="17" eb="18">
      <t>フン</t>
    </rPh>
    <rPh sb="33" eb="36">
      <t>タキノウ</t>
    </rPh>
    <rPh sb="36" eb="37">
      <t>カタ</t>
    </rPh>
    <rPh sb="37" eb="40">
      <t>ジギョウショ</t>
    </rPh>
    <phoneticPr fontId="2"/>
  </si>
  <si>
    <t>生活介護事業所　太陽の家</t>
    <rPh sb="0" eb="2">
      <t>セイカツ</t>
    </rPh>
    <rPh sb="2" eb="4">
      <t>カイゴ</t>
    </rPh>
    <rPh sb="4" eb="6">
      <t>ジギョウ</t>
    </rPh>
    <rPh sb="6" eb="7">
      <t>ショ</t>
    </rPh>
    <rPh sb="8" eb="10">
      <t>タイヨウ</t>
    </rPh>
    <rPh sb="11" eb="12">
      <t>イエ</t>
    </rPh>
    <phoneticPr fontId="5"/>
  </si>
  <si>
    <t>あられ</t>
  </si>
  <si>
    <t>048-783-5205</t>
  </si>
  <si>
    <t>西武バス三橋一丁目バス停より徒歩３分</t>
    <rPh sb="0" eb="2">
      <t>セイブ</t>
    </rPh>
    <rPh sb="4" eb="6">
      <t>ミハシ</t>
    </rPh>
    <rPh sb="6" eb="9">
      <t>イッチョウメ</t>
    </rPh>
    <rPh sb="11" eb="12">
      <t>テイ</t>
    </rPh>
    <rPh sb="14" eb="16">
      <t>トホ</t>
    </rPh>
    <rPh sb="17" eb="18">
      <t>フン</t>
    </rPh>
    <phoneticPr fontId="2"/>
  </si>
  <si>
    <t>就労定着支援事業所リンクス大宮</t>
    <rPh sb="0" eb="2">
      <t>しゅうろう</t>
    </rPh>
    <rPh sb="2" eb="4">
      <t>ていちゃく</t>
    </rPh>
    <rPh sb="4" eb="6">
      <t>しえん</t>
    </rPh>
    <rPh sb="6" eb="9">
      <t>じぎょうしょ</t>
    </rPh>
    <rPh sb="13" eb="15">
      <t>おおみや</t>
    </rPh>
    <phoneticPr fontId="36" type="Hiragana"/>
  </si>
  <si>
    <t>048-658-9670</t>
  </si>
  <si>
    <t>048-658-9671</t>
  </si>
  <si>
    <t>ＪＲ大宮駅より徒歩６分</t>
    <rPh sb="2" eb="5">
      <t>オオミヤエキ</t>
    </rPh>
    <rPh sb="7" eb="9">
      <t>トホ</t>
    </rPh>
    <rPh sb="10" eb="11">
      <t>フン</t>
    </rPh>
    <phoneticPr fontId="2"/>
  </si>
  <si>
    <t>就労定着支援事業所　ウェルビー大宮大栄橋センター</t>
    <rPh sb="0" eb="2">
      <t>しゅうろう</t>
    </rPh>
    <rPh sb="2" eb="4">
      <t>ていちゃく</t>
    </rPh>
    <rPh sb="4" eb="6">
      <t>しえん</t>
    </rPh>
    <rPh sb="6" eb="9">
      <t>じぎょうしょ</t>
    </rPh>
    <rPh sb="15" eb="17">
      <t>おおみや</t>
    </rPh>
    <rPh sb="17" eb="18">
      <t>おお</t>
    </rPh>
    <rPh sb="19" eb="20">
      <t>はし</t>
    </rPh>
    <phoneticPr fontId="38" type="Hiragana"/>
  </si>
  <si>
    <t>ＪＲ大宮駅より徒歩5分</t>
    <rPh sb="2" eb="5">
      <t>オオミヤエキ</t>
    </rPh>
    <rPh sb="7" eb="9">
      <t>トホ</t>
    </rPh>
    <rPh sb="10" eb="11">
      <t>フン</t>
    </rPh>
    <phoneticPr fontId="2"/>
  </si>
  <si>
    <t>NPO法人ネクストリビング</t>
    <rPh sb="3" eb="5">
      <t>ホウジン</t>
    </rPh>
    <phoneticPr fontId="2"/>
  </si>
  <si>
    <t>大宮区三橋１－１３４２</t>
    <rPh sb="0" eb="3">
      <t>オオミヤク</t>
    </rPh>
    <rPh sb="3" eb="5">
      <t>ミハシ</t>
    </rPh>
    <phoneticPr fontId="2"/>
  </si>
  <si>
    <t>大宮区大門町３－８２－１　大宮大門町ＭⅡビル２Ｆ</t>
    <rPh sb="0" eb="3">
      <t>オオミヤク</t>
    </rPh>
    <rPh sb="3" eb="6">
      <t>ダイモンチョウ</t>
    </rPh>
    <rPh sb="13" eb="18">
      <t>オオミヤダイモンチョウ</t>
    </rPh>
    <phoneticPr fontId="2"/>
  </si>
  <si>
    <t>大宮区桜木町２－３８０－１　第10松ビル４階</t>
    <rPh sb="0" eb="3">
      <t>オオミヤク</t>
    </rPh>
    <rPh sb="3" eb="6">
      <t>サクラギチョウ</t>
    </rPh>
    <rPh sb="14" eb="15">
      <t>ダイ</t>
    </rPh>
    <rPh sb="17" eb="18">
      <t>マツ</t>
    </rPh>
    <rPh sb="21" eb="22">
      <t>カイ</t>
    </rPh>
    <phoneticPr fontId="2"/>
  </si>
  <si>
    <t>岩槻区東岩槻２－５－２７</t>
    <phoneticPr fontId="2"/>
  </si>
  <si>
    <t>048-872-7714</t>
  </si>
  <si>
    <t>東武野田線東岩槻駅より徒歩8分</t>
    <rPh sb="0" eb="5">
      <t>トウブノダセン</t>
    </rPh>
    <rPh sb="5" eb="6">
      <t>ヒガシ</t>
    </rPh>
    <rPh sb="6" eb="8">
      <t>イワツキ</t>
    </rPh>
    <rPh sb="8" eb="9">
      <t>エキ</t>
    </rPh>
    <rPh sb="11" eb="13">
      <t>トホ</t>
    </rPh>
    <rPh sb="14" eb="15">
      <t>フン</t>
    </rPh>
    <phoneticPr fontId="2"/>
  </si>
  <si>
    <t>見沼区大和田町１－４７６－１</t>
    <phoneticPr fontId="2"/>
  </si>
  <si>
    <t>090-6622-1131</t>
  </si>
  <si>
    <t>048-627-8681</t>
  </si>
  <si>
    <t>東武野田線大和田駅より徒歩10分</t>
    <rPh sb="0" eb="5">
      <t>トウブノダセン</t>
    </rPh>
    <rPh sb="5" eb="8">
      <t>オオワダ</t>
    </rPh>
    <rPh sb="8" eb="9">
      <t>エキ</t>
    </rPh>
    <rPh sb="11" eb="13">
      <t>トホ</t>
    </rPh>
    <rPh sb="15" eb="16">
      <t>フン</t>
    </rPh>
    <phoneticPr fontId="2"/>
  </si>
  <si>
    <t>ＪＲ西浦和駅より徒歩8分</t>
    <rPh sb="2" eb="6">
      <t>ニシウラワエキ</t>
    </rPh>
    <rPh sb="8" eb="10">
      <t>トホ</t>
    </rPh>
    <rPh sb="11" eb="12">
      <t>フン</t>
    </rPh>
    <phoneticPr fontId="2"/>
  </si>
  <si>
    <t>090-8309-7441</t>
  </si>
  <si>
    <t>国際興業バス　城南小学校入り口バス停より徒歩５分</t>
    <rPh sb="0" eb="2">
      <t>コクサイ</t>
    </rPh>
    <rPh sb="2" eb="4">
      <t>コウギョウ</t>
    </rPh>
    <rPh sb="7" eb="9">
      <t>ジョウナン</t>
    </rPh>
    <rPh sb="9" eb="12">
      <t>ショウガッコウ</t>
    </rPh>
    <rPh sb="12" eb="13">
      <t>イ</t>
    </rPh>
    <rPh sb="14" eb="15">
      <t>グチ</t>
    </rPh>
    <rPh sb="17" eb="18">
      <t>テイ</t>
    </rPh>
    <rPh sb="20" eb="22">
      <t>トホ</t>
    </rPh>
    <rPh sb="23" eb="24">
      <t>フン</t>
    </rPh>
    <phoneticPr fontId="2"/>
  </si>
  <si>
    <t>080-4321-3243</t>
  </si>
  <si>
    <t>JR武蔵浦和駅より徒歩１１分</t>
    <rPh sb="2" eb="6">
      <t>ムサシウラワ</t>
    </rPh>
    <rPh sb="6" eb="7">
      <t>エキ</t>
    </rPh>
    <rPh sb="9" eb="11">
      <t>トホ</t>
    </rPh>
    <rPh sb="13" eb="14">
      <t>フン</t>
    </rPh>
    <phoneticPr fontId="2"/>
  </si>
  <si>
    <t>バディアップ</t>
    <phoneticPr fontId="38" type="Hiragana"/>
  </si>
  <si>
    <t>みぬまたんぼ</t>
    <phoneticPr fontId="38" type="Hiragana"/>
  </si>
  <si>
    <t>かえで</t>
    <phoneticPr fontId="38" type="Hiragana"/>
  </si>
  <si>
    <t>桜区田島７－２５－１０</t>
    <phoneticPr fontId="2"/>
  </si>
  <si>
    <t>就労継続支援Ｂ型のぞみ</t>
    <rPh sb="0" eb="2">
      <t>しゅうろう</t>
    </rPh>
    <rPh sb="2" eb="4">
      <t>けいぞく</t>
    </rPh>
    <rPh sb="4" eb="6">
      <t>しえん</t>
    </rPh>
    <rPh sb="7" eb="8">
      <t>がた</t>
    </rPh>
    <phoneticPr fontId="38" type="Hiragana"/>
  </si>
  <si>
    <t>就労継続支援Ｂ型事業所リナタス武蔵浦和</t>
    <rPh sb="0" eb="2">
      <t>しゅうろう</t>
    </rPh>
    <rPh sb="2" eb="4">
      <t>けいぞく</t>
    </rPh>
    <rPh sb="4" eb="6">
      <t>しえん</t>
    </rPh>
    <rPh sb="7" eb="8">
      <t>がた</t>
    </rPh>
    <rPh sb="8" eb="11">
      <t>じぎょうしょ</t>
    </rPh>
    <rPh sb="15" eb="19">
      <t>むさしうらわ</t>
    </rPh>
    <phoneticPr fontId="38" type="Hiragana"/>
  </si>
  <si>
    <t>大宮区東町１－３２－２　セレクト大宮東町ビル５階</t>
    <phoneticPr fontId="2"/>
  </si>
  <si>
    <t>336-0841</t>
  </si>
  <si>
    <t>048-711-8963</t>
  </si>
  <si>
    <t>048-711-8964</t>
  </si>
  <si>
    <t>ＪＲ大宮駅東口より徒歩11分</t>
    <rPh sb="2" eb="5">
      <t>オオミヤエキ</t>
    </rPh>
    <rPh sb="5" eb="7">
      <t>ヒガシグチ</t>
    </rPh>
    <rPh sb="9" eb="11">
      <t>トホ</t>
    </rPh>
    <rPh sb="13" eb="14">
      <t>フン</t>
    </rPh>
    <phoneticPr fontId="2"/>
  </si>
  <si>
    <t>ゆたかカレッジ埼玉キャンパス</t>
    <rPh sb="7" eb="9">
      <t>さいたま</t>
    </rPh>
    <phoneticPr fontId="38" type="Hiragana"/>
  </si>
  <si>
    <t>JR大宮駅から徒歩13分
※R8.4～　短期入所休止</t>
    <rPh sb="2" eb="5">
      <t>オオミヤエキ</t>
    </rPh>
    <rPh sb="7" eb="9">
      <t>トホ</t>
    </rPh>
    <rPh sb="11" eb="12">
      <t>フン</t>
    </rPh>
    <rPh sb="20" eb="24">
      <t>タンキニュウショ</t>
    </rPh>
    <rPh sb="24" eb="26">
      <t>キュウシ</t>
    </rPh>
    <phoneticPr fontId="2"/>
  </si>
  <si>
    <t>生活介護　りっと桜</t>
    <rPh sb="0" eb="2">
      <t>せいかつ</t>
    </rPh>
    <rPh sb="2" eb="4">
      <t>かいご</t>
    </rPh>
    <rPh sb="8" eb="9">
      <t>さくら</t>
    </rPh>
    <phoneticPr fontId="5" type="Hiragana"/>
  </si>
  <si>
    <t>JR北与野駅から徒歩17分
※放デイとの多機能</t>
    <rPh sb="2" eb="6">
      <t>キタヨノエキ</t>
    </rPh>
    <rPh sb="8" eb="10">
      <t>トホ</t>
    </rPh>
    <rPh sb="12" eb="13">
      <t>フン</t>
    </rPh>
    <rPh sb="15" eb="16">
      <t>ホウ</t>
    </rPh>
    <rPh sb="20" eb="23">
      <t>タキノウ</t>
    </rPh>
    <phoneticPr fontId="37"/>
  </si>
  <si>
    <t>見沼区東大宮４－２３－１　エクセル東大宮１０２</t>
    <rPh sb="0" eb="2">
      <t>ミヌマ</t>
    </rPh>
    <rPh sb="2" eb="3">
      <t>ク</t>
    </rPh>
    <rPh sb="3" eb="4">
      <t>ヒガシ</t>
    </rPh>
    <rPh sb="4" eb="6">
      <t>オオミヤ</t>
    </rPh>
    <rPh sb="17" eb="18">
      <t>ヒガシ</t>
    </rPh>
    <rPh sb="18" eb="20">
      <t>オオミヤ</t>
    </rPh>
    <phoneticPr fontId="7"/>
  </si>
  <si>
    <t>宇都宮線土呂駅下車徒歩7分
※短期入所「みるきぃうぇい」R8.4休止</t>
    <rPh sb="0" eb="3">
      <t>ウツノミヤ</t>
    </rPh>
    <rPh sb="3" eb="4">
      <t>セン</t>
    </rPh>
    <rPh sb="4" eb="6">
      <t>トロ</t>
    </rPh>
    <rPh sb="6" eb="7">
      <t>エキ</t>
    </rPh>
    <rPh sb="7" eb="9">
      <t>ゲシャ</t>
    </rPh>
    <rPh sb="9" eb="11">
      <t>トホ</t>
    </rPh>
    <rPh sb="12" eb="13">
      <t>フン</t>
    </rPh>
    <rPh sb="15" eb="17">
      <t>タンキ</t>
    </rPh>
    <rPh sb="17" eb="19">
      <t>ニュウショ</t>
    </rPh>
    <rPh sb="32" eb="34">
      <t>キュウシ</t>
    </rPh>
    <phoneticPr fontId="2"/>
  </si>
  <si>
    <t>障がい者グループホーム　ウェルサンライズ川越</t>
    <phoneticPr fontId="2"/>
  </si>
  <si>
    <t>350-1142</t>
    <phoneticPr fontId="2"/>
  </si>
  <si>
    <t>050-6883-1634</t>
    <phoneticPr fontId="2"/>
  </si>
  <si>
    <t>049-257-6748</t>
    <phoneticPr fontId="2"/>
  </si>
  <si>
    <t>○</t>
    <phoneticPr fontId="2"/>
  </si>
  <si>
    <t>藤間２６－３</t>
    <rPh sb="0" eb="2">
      <t>フジマ</t>
    </rPh>
    <phoneticPr fontId="33"/>
  </si>
  <si>
    <t xml:space="preserve">1110402680	</t>
    <phoneticPr fontId="2"/>
  </si>
  <si>
    <t>350-0031</t>
    <phoneticPr fontId="2"/>
  </si>
  <si>
    <t>050-2018-0727</t>
    <phoneticPr fontId="2"/>
  </si>
  <si>
    <t>050-2018-0907</t>
    <phoneticPr fontId="2"/>
  </si>
  <si>
    <t>350-1123</t>
    <phoneticPr fontId="2"/>
  </si>
  <si>
    <t>080-1172-6185</t>
  </si>
  <si>
    <t>生活訓練事業所　Kaien川越</t>
    <phoneticPr fontId="33"/>
  </si>
  <si>
    <t>小仙波９１１－１</t>
    <rPh sb="0" eb="3">
      <t>コセンバ</t>
    </rPh>
    <phoneticPr fontId="33"/>
  </si>
  <si>
    <t>就労継続支援Ａ型事業所コエルワーク</t>
    <phoneticPr fontId="33"/>
  </si>
  <si>
    <t>脇田本町11-26　ＲＩＳＥ脇田本町ビル3Ｆ</t>
    <rPh sb="0" eb="2">
      <t>ワキタ</t>
    </rPh>
    <rPh sb="2" eb="4">
      <t>ホンマチ</t>
    </rPh>
    <rPh sb="14" eb="18">
      <t>ワキタホンチョウ</t>
    </rPh>
    <phoneticPr fontId="33"/>
  </si>
  <si>
    <t>334-0005</t>
    <phoneticPr fontId="2" type="Hiragana"/>
  </si>
  <si>
    <t>048-284-7250</t>
    <phoneticPr fontId="2" type="Hiragana"/>
  </si>
  <si>
    <t>048-284-7251</t>
    <phoneticPr fontId="2" type="Hiragana"/>
  </si>
  <si>
    <t>（バス）川口駅西口から鳩ヶ谷駅東口行き「里みどりヶ丘」徒歩１分</t>
    <rPh sb="4" eb="6">
      <t>かわぐち</t>
    </rPh>
    <rPh sb="6" eb="7">
      <t>えき</t>
    </rPh>
    <rPh sb="7" eb="9">
      <t>にしぐち</t>
    </rPh>
    <rPh sb="11" eb="14">
      <t>はとがや</t>
    </rPh>
    <rPh sb="14" eb="15">
      <t>えき</t>
    </rPh>
    <rPh sb="15" eb="17">
      <t>ひがしぐち</t>
    </rPh>
    <rPh sb="17" eb="18">
      <t>い</t>
    </rPh>
    <rPh sb="20" eb="21">
      <t>さと</t>
    </rPh>
    <rPh sb="25" eb="26">
      <t>おか</t>
    </rPh>
    <rPh sb="27" eb="29">
      <t>とほ</t>
    </rPh>
    <rPh sb="30" eb="31">
      <t>ふん</t>
    </rPh>
    <phoneticPr fontId="2" type="Hiragana"/>
  </si>
  <si>
    <t>川口市就労継続支援きじばと</t>
    <rPh sb="0" eb="2">
      <t>かわぐち</t>
    </rPh>
    <rPh sb="2" eb="3">
      <t>し</t>
    </rPh>
    <rPh sb="3" eb="9">
      <t>しゅうろうけいぞくしえん</t>
    </rPh>
    <phoneticPr fontId="20" type="Hiragana"/>
  </si>
  <si>
    <t>333-0835</t>
    <phoneticPr fontId="2" type="Hiragana"/>
  </si>
  <si>
    <t>048-297-7170</t>
    <phoneticPr fontId="2" type="Hiragana"/>
  </si>
  <si>
    <t>048-297-7156</t>
    <phoneticPr fontId="2" type="Hiragana"/>
  </si>
  <si>
    <t>（バス）蕨駅東口から新井宿行き「神根福祉センター」徒歩１分</t>
    <rPh sb="4" eb="5">
      <t>わらび</t>
    </rPh>
    <rPh sb="5" eb="6">
      <t>えき</t>
    </rPh>
    <rPh sb="6" eb="8">
      <t>ひがしぐち</t>
    </rPh>
    <rPh sb="10" eb="13">
      <t>あらいじゅく</t>
    </rPh>
    <rPh sb="13" eb="14">
      <t>い</t>
    </rPh>
    <rPh sb="16" eb="20">
      <t>かみねふくし</t>
    </rPh>
    <rPh sb="25" eb="27">
      <t>とほ</t>
    </rPh>
    <rPh sb="28" eb="29">
      <t>ふん</t>
    </rPh>
    <phoneticPr fontId="2" type="Hiragana"/>
  </si>
  <si>
    <t>「社会福祉センター」共生型生活介護</t>
    <rPh sb="1" eb="5">
      <t>しゃかいふくし</t>
    </rPh>
    <rPh sb="10" eb="17">
      <t>きょうせいがたせいかつかいご</t>
    </rPh>
    <phoneticPr fontId="20" type="Hiragana"/>
  </si>
  <si>
    <t>（社福）埼玉県社会福祉事業団</t>
    <rPh sb="1" eb="3">
      <t>シャフク</t>
    </rPh>
    <rPh sb="4" eb="11">
      <t>サイタマケンシャカイフクシ</t>
    </rPh>
    <rPh sb="11" eb="14">
      <t>ジギョウダン</t>
    </rPh>
    <phoneticPr fontId="2"/>
  </si>
  <si>
    <t>生活介護事業所　皆光園</t>
    <rPh sb="8" eb="10">
      <t>ミナヒカ</t>
    </rPh>
    <rPh sb="10" eb="11">
      <t>エン</t>
    </rPh>
    <phoneticPr fontId="2"/>
  </si>
  <si>
    <t>048-573-2021</t>
  </si>
  <si>
    <t>048-573-2022</t>
  </si>
  <si>
    <t>高崎線深谷駅から深谷市コミュニティーバス南コース西循環右回り「たんぽぽ作業所・皆光園」下車徒歩1分</t>
    <phoneticPr fontId="2"/>
  </si>
  <si>
    <t>（株）Advance</t>
    <rPh sb="1" eb="2">
      <t>カブ</t>
    </rPh>
    <phoneticPr fontId="2"/>
  </si>
  <si>
    <t>Fortis</t>
    <phoneticPr fontId="2"/>
  </si>
  <si>
    <t>駒形1-11-12</t>
    <rPh sb="0" eb="2">
      <t>コマガタ</t>
    </rPh>
    <phoneticPr fontId="2"/>
  </si>
  <si>
    <t>361-0055</t>
    <phoneticPr fontId="2"/>
  </si>
  <si>
    <t>048-580-4720</t>
    <phoneticPr fontId="2"/>
  </si>
  <si>
    <t>048-580-4721</t>
    <phoneticPr fontId="2"/>
  </si>
  <si>
    <t>秩父鉄道行田市駅徒歩27分</t>
    <rPh sb="0" eb="4">
      <t>チチブテツドウ</t>
    </rPh>
    <rPh sb="4" eb="8">
      <t>ギョウダシエキ</t>
    </rPh>
    <rPh sb="8" eb="10">
      <t>トホ</t>
    </rPh>
    <rPh sb="12" eb="13">
      <t>フン</t>
    </rPh>
    <phoneticPr fontId="2"/>
  </si>
  <si>
    <t>ウェルスター（株）</t>
    <rPh sb="7" eb="8">
      <t>カブ</t>
    </rPh>
    <phoneticPr fontId="2"/>
  </si>
  <si>
    <t>まめキャリ深谷</t>
    <rPh sb="5" eb="7">
      <t>フカヤ</t>
    </rPh>
    <phoneticPr fontId="2"/>
  </si>
  <si>
    <t>西島町３丁目１－７　２F</t>
    <rPh sb="0" eb="2">
      <t>ニシジマ</t>
    </rPh>
    <rPh sb="2" eb="3">
      <t>マチ</t>
    </rPh>
    <rPh sb="4" eb="6">
      <t>チョウメ</t>
    </rPh>
    <phoneticPr fontId="2"/>
  </si>
  <si>
    <t>048-580-4833</t>
    <phoneticPr fontId="2"/>
  </si>
  <si>
    <t>047-404-1629</t>
    <phoneticPr fontId="2"/>
  </si>
  <si>
    <t>JR高崎線深谷駅から徒歩１分</t>
    <rPh sb="2" eb="5">
      <t>タカサキセン</t>
    </rPh>
    <rPh sb="5" eb="8">
      <t>フカヤエキ</t>
    </rPh>
    <rPh sb="10" eb="12">
      <t>トホ</t>
    </rPh>
    <rPh sb="13" eb="14">
      <t>フン</t>
    </rPh>
    <phoneticPr fontId="2"/>
  </si>
  <si>
    <t>（株）Ｔｏｍｏｒｒｏｗ　Ｓｔｅｐ</t>
    <rPh sb="1" eb="2">
      <t>カブ</t>
    </rPh>
    <phoneticPr fontId="2"/>
  </si>
  <si>
    <t>就労移行支援事業所　Tomorrow　Step</t>
    <rPh sb="0" eb="9">
      <t>シュウロウイコウシエンジギョウショ</t>
    </rPh>
    <phoneticPr fontId="2"/>
  </si>
  <si>
    <t>西島４丁目２－８</t>
    <rPh sb="0" eb="2">
      <t>ニシジマ</t>
    </rPh>
    <rPh sb="3" eb="5">
      <t>チョウメ</t>
    </rPh>
    <phoneticPr fontId="2"/>
  </si>
  <si>
    <t>048-577-4123</t>
    <phoneticPr fontId="2"/>
  </si>
  <si>
    <t>048-577-4172</t>
    <phoneticPr fontId="2"/>
  </si>
  <si>
    <t>JR高崎線深谷駅より徒歩７分</t>
    <rPh sb="2" eb="8">
      <t>タカサキセンフカヤエキ</t>
    </rPh>
    <rPh sb="10" eb="12">
      <t>トホ</t>
    </rPh>
    <rPh sb="13" eb="14">
      <t>フン</t>
    </rPh>
    <phoneticPr fontId="2"/>
  </si>
  <si>
    <t>てぃーだの希望</t>
    <rPh sb="5" eb="7">
      <t>キボウ</t>
    </rPh>
    <phoneticPr fontId="2"/>
  </si>
  <si>
    <t>奈良新田３９３番地１</t>
    <rPh sb="0" eb="4">
      <t>ナラシンデン</t>
    </rPh>
    <rPh sb="7" eb="9">
      <t>バンチ</t>
    </rPh>
    <phoneticPr fontId="2"/>
  </si>
  <si>
    <t>360-0806</t>
    <phoneticPr fontId="2"/>
  </si>
  <si>
    <t>048-598-4367</t>
    <phoneticPr fontId="2"/>
  </si>
  <si>
    <t>048-598-4368</t>
    <phoneticPr fontId="2"/>
  </si>
  <si>
    <t>JR高崎線籠原駅からゆうゆばす熊谷駅東口行「たかしの森クリニック前」下車徒歩１８分</t>
    <rPh sb="2" eb="5">
      <t>タカサキセン</t>
    </rPh>
    <rPh sb="5" eb="8">
      <t>カゴハラエキ</t>
    </rPh>
    <rPh sb="15" eb="18">
      <t>クマガヤエキ</t>
    </rPh>
    <rPh sb="18" eb="20">
      <t>ヒガシグチ</t>
    </rPh>
    <rPh sb="20" eb="21">
      <t>イ</t>
    </rPh>
    <rPh sb="26" eb="27">
      <t>モリ</t>
    </rPh>
    <rPh sb="32" eb="33">
      <t>マエ</t>
    </rPh>
    <rPh sb="34" eb="36">
      <t>ゲシャ</t>
    </rPh>
    <rPh sb="36" eb="38">
      <t>トホ</t>
    </rPh>
    <rPh sb="40" eb="41">
      <t>フン</t>
    </rPh>
    <phoneticPr fontId="2"/>
  </si>
  <si>
    <t>多機能型事業所　はなよりい</t>
    <rPh sb="0" eb="4">
      <t>タキノウガタ</t>
    </rPh>
    <rPh sb="4" eb="7">
      <t>ジギョウショ</t>
    </rPh>
    <phoneticPr fontId="2"/>
  </si>
  <si>
    <t>スピードスターサポート</t>
    <phoneticPr fontId="2"/>
  </si>
  <si>
    <t>090-8729-2663</t>
    <phoneticPr fontId="2"/>
  </si>
  <si>
    <t>東武東上線若葉駅より車で13分</t>
    <rPh sb="0" eb="5">
      <t>トウブトウジョウセン</t>
    </rPh>
    <rPh sb="5" eb="8">
      <t>ワカバエキ</t>
    </rPh>
    <rPh sb="10" eb="11">
      <t>クルマ</t>
    </rPh>
    <rPh sb="14" eb="15">
      <t>フン</t>
    </rPh>
    <phoneticPr fontId="2"/>
  </si>
  <si>
    <t>高崎線吹上駅北口から徒歩15分　R8.4.1生活介護20名→25名</t>
    <rPh sb="0" eb="2">
      <t>タカサキ</t>
    </rPh>
    <rPh sb="2" eb="3">
      <t>セン</t>
    </rPh>
    <rPh sb="3" eb="5">
      <t>フキアゲ</t>
    </rPh>
    <rPh sb="5" eb="6">
      <t>エキ</t>
    </rPh>
    <rPh sb="6" eb="8">
      <t>キタグチ</t>
    </rPh>
    <rPh sb="10" eb="12">
      <t>トホ</t>
    </rPh>
    <rPh sb="14" eb="15">
      <t>フン</t>
    </rPh>
    <rPh sb="22" eb="26">
      <t>セイカツカイゴ</t>
    </rPh>
    <rPh sb="28" eb="29">
      <t>メイ</t>
    </rPh>
    <rPh sb="32" eb="33">
      <t>メイ</t>
    </rPh>
    <phoneticPr fontId="2"/>
  </si>
  <si>
    <t>緑丘一丁目３番１９号</t>
  </si>
  <si>
    <t>364-0013</t>
  </si>
  <si>
    <t>JR北上尾駅より徒歩10分</t>
  </si>
  <si>
    <t>メロディ</t>
    <phoneticPr fontId="2"/>
  </si>
  <si>
    <t>下忍3612番地</t>
    <rPh sb="0" eb="2">
      <t>シモオシ</t>
    </rPh>
    <rPh sb="6" eb="8">
      <t>バンチ</t>
    </rPh>
    <phoneticPr fontId="2"/>
  </si>
  <si>
    <t>369-0113</t>
    <phoneticPr fontId="2"/>
  </si>
  <si>
    <t>048－548-1270</t>
    <phoneticPr fontId="2"/>
  </si>
  <si>
    <t>048－598-6608</t>
    <phoneticPr fontId="2"/>
  </si>
  <si>
    <t>JR高崎線吹上駅より徒歩18分</t>
    <rPh sb="2" eb="5">
      <t>タカサキセン</t>
    </rPh>
    <rPh sb="5" eb="6">
      <t>フ</t>
    </rPh>
    <rPh sb="6" eb="7">
      <t>ア</t>
    </rPh>
    <rPh sb="7" eb="8">
      <t>エキ</t>
    </rPh>
    <rPh sb="10" eb="12">
      <t>トホ</t>
    </rPh>
    <rPh sb="14" eb="15">
      <t>フン</t>
    </rPh>
    <phoneticPr fontId="2"/>
  </si>
  <si>
    <t>東武東上線東松山駅から熊谷駅行バス「森林公園北口入口」下車徒歩5分 R8.4.1生活介護60→50、施設入所支援52→50</t>
    <rPh sb="0" eb="2">
      <t>トウブ</t>
    </rPh>
    <rPh sb="2" eb="4">
      <t>トウジョウ</t>
    </rPh>
    <rPh sb="4" eb="5">
      <t>セン</t>
    </rPh>
    <rPh sb="5" eb="8">
      <t>ヒガシマツヤマ</t>
    </rPh>
    <rPh sb="8" eb="9">
      <t>エキ</t>
    </rPh>
    <rPh sb="11" eb="13">
      <t>クマガヤ</t>
    </rPh>
    <rPh sb="13" eb="14">
      <t>エキ</t>
    </rPh>
    <rPh sb="14" eb="15">
      <t>イ</t>
    </rPh>
    <rPh sb="18" eb="20">
      <t>シンリン</t>
    </rPh>
    <rPh sb="20" eb="22">
      <t>コウエン</t>
    </rPh>
    <rPh sb="22" eb="24">
      <t>キタグチ</t>
    </rPh>
    <rPh sb="24" eb="25">
      <t>イ</t>
    </rPh>
    <rPh sb="25" eb="26">
      <t>グチ</t>
    </rPh>
    <rPh sb="27" eb="29">
      <t>ゲシャ</t>
    </rPh>
    <rPh sb="29" eb="31">
      <t>トホ</t>
    </rPh>
    <rPh sb="32" eb="33">
      <t>フン</t>
    </rPh>
    <rPh sb="40" eb="44">
      <t>セイカツカイゴ</t>
    </rPh>
    <rPh sb="50" eb="52">
      <t>シセツ</t>
    </rPh>
    <rPh sb="52" eb="54">
      <t>ニュウショ</t>
    </rPh>
    <rPh sb="54" eb="56">
      <t>シエン</t>
    </rPh>
    <phoneticPr fontId="2"/>
  </si>
  <si>
    <t>東武東上線東松山駅からマイタウン循環バス「マイタウン入口」下車徒歩30分　　R8.4.1　生活介護45→60、施設入所支援70→60　就B廃止</t>
    <rPh sb="2" eb="4">
      <t>トウジョウ</t>
    </rPh>
    <rPh sb="5" eb="8">
      <t>ヒガシマツヤマ</t>
    </rPh>
    <rPh sb="16" eb="18">
      <t>ジュンカン</t>
    </rPh>
    <rPh sb="26" eb="27">
      <t>イ</t>
    </rPh>
    <rPh sb="27" eb="28">
      <t>グチ</t>
    </rPh>
    <rPh sb="45" eb="49">
      <t>セイカツカイゴ</t>
    </rPh>
    <rPh sb="55" eb="61">
      <t>シセツニュウショシエン</t>
    </rPh>
    <rPh sb="67" eb="68">
      <t>シュウ</t>
    </rPh>
    <rPh sb="69" eb="71">
      <t>ハイシ</t>
    </rPh>
    <phoneticPr fontId="2"/>
  </si>
  <si>
    <t>蕨市障害者福祉センタードリーマ松原</t>
    <rPh sb="0" eb="2">
      <t>ワラビシ</t>
    </rPh>
    <rPh sb="2" eb="5">
      <t>ショウガイシャ</t>
    </rPh>
    <rPh sb="5" eb="7">
      <t>フクシ</t>
    </rPh>
    <rPh sb="15" eb="17">
      <t>マツバラ</t>
    </rPh>
    <phoneticPr fontId="2"/>
  </si>
  <si>
    <t>医療法人社団富家会</t>
    <rPh sb="0" eb="6">
      <t>イリョウホウジンシャダン</t>
    </rPh>
    <rPh sb="6" eb="7">
      <t>トミ</t>
    </rPh>
    <rPh sb="7" eb="8">
      <t>イエ</t>
    </rPh>
    <rPh sb="8" eb="9">
      <t>カイ</t>
    </rPh>
    <phoneticPr fontId="2"/>
  </si>
  <si>
    <t>富家生活介護事業所</t>
    <rPh sb="0" eb="2">
      <t>トミイエ</t>
    </rPh>
    <rPh sb="2" eb="6">
      <t>セイカツカイゴ</t>
    </rPh>
    <rPh sb="6" eb="9">
      <t>ジギョウショ</t>
    </rPh>
    <phoneticPr fontId="2"/>
  </si>
  <si>
    <t>ふじみ野市大井武蔵野１２７６－１</t>
    <rPh sb="3" eb="5">
      <t>ノシ</t>
    </rPh>
    <rPh sb="5" eb="10">
      <t>オオイムサシノ</t>
    </rPh>
    <phoneticPr fontId="2"/>
  </si>
  <si>
    <t>356‐0054</t>
    <phoneticPr fontId="2"/>
  </si>
  <si>
    <t>049‐256‐7855</t>
    <phoneticPr fontId="2"/>
  </si>
  <si>
    <t>049‐256‐7845</t>
    <phoneticPr fontId="2"/>
  </si>
  <si>
    <t>東武東上線上福岡駅より徒歩5分</t>
    <rPh sb="0" eb="5">
      <t>トウブトウジョウセン</t>
    </rPh>
    <rPh sb="5" eb="8">
      <t>カミフクオカ</t>
    </rPh>
    <rPh sb="8" eb="9">
      <t>エキ</t>
    </rPh>
    <rPh sb="11" eb="13">
      <t>トホ</t>
    </rPh>
    <rPh sb="14" eb="15">
      <t>フン</t>
    </rPh>
    <phoneticPr fontId="2"/>
  </si>
  <si>
    <t>元気ポートにいざ</t>
    <rPh sb="0" eb="2">
      <t>ゲンキ</t>
    </rPh>
    <phoneticPr fontId="2"/>
  </si>
  <si>
    <t>池田４－８－４４</t>
    <rPh sb="0" eb="2">
      <t>イケダ</t>
    </rPh>
    <phoneticPr fontId="2"/>
  </si>
  <si>
    <t>352‐0015</t>
    <phoneticPr fontId="2"/>
  </si>
  <si>
    <t>048‐423－2361
048‐423ｰ2362</t>
    <phoneticPr fontId="2"/>
  </si>
  <si>
    <t>048‐424ｰ5816</t>
    <phoneticPr fontId="2"/>
  </si>
  <si>
    <t>西武池袋線大泉学園駅から車で16分</t>
    <rPh sb="0" eb="5">
      <t>セイブイケブクロセン</t>
    </rPh>
    <rPh sb="4" eb="6">
      <t>ニシイケブクロ</t>
    </rPh>
    <rPh sb="5" eb="9">
      <t>オオイズミガクエン</t>
    </rPh>
    <rPh sb="9" eb="10">
      <t>エキ</t>
    </rPh>
    <rPh sb="12" eb="13">
      <t>クルマ</t>
    </rPh>
    <rPh sb="16" eb="17">
      <t>フン</t>
    </rPh>
    <phoneticPr fontId="2"/>
  </si>
  <si>
    <t>049-265-5533</t>
    <phoneticPr fontId="2"/>
  </si>
  <si>
    <t>049-256-9270</t>
    <phoneticPr fontId="2"/>
  </si>
  <si>
    <t>エクラ</t>
    <phoneticPr fontId="2"/>
  </si>
  <si>
    <t>塚越7丁目23ｰ10</t>
    <rPh sb="0" eb="2">
      <t>ツカゴシ</t>
    </rPh>
    <phoneticPr fontId="2"/>
  </si>
  <si>
    <t>335ｰ0002</t>
    <phoneticPr fontId="2"/>
  </si>
  <si>
    <t>048－299ｰ9683</t>
    <phoneticPr fontId="2"/>
  </si>
  <si>
    <t>048ｰ299ｰ9684</t>
  </si>
  <si>
    <t>京浜東北線西川口駅から徒歩11分</t>
    <rPh sb="0" eb="2">
      <t>ケイヒン</t>
    </rPh>
    <rPh sb="2" eb="5">
      <t>トウホクセン</t>
    </rPh>
    <rPh sb="5" eb="8">
      <t>ニシカワグチ</t>
    </rPh>
    <rPh sb="8" eb="9">
      <t>エキ</t>
    </rPh>
    <rPh sb="11" eb="13">
      <t>トホ</t>
    </rPh>
    <rPh sb="15" eb="16">
      <t>フン</t>
    </rPh>
    <phoneticPr fontId="2"/>
  </si>
  <si>
    <t xml:space="preserve">JR武蔵野線新座駅北口より徒歩14分
</t>
    <rPh sb="2" eb="5">
      <t>ムサシノ</t>
    </rPh>
    <rPh sb="5" eb="6">
      <t>セン</t>
    </rPh>
    <rPh sb="6" eb="8">
      <t>ニイザ</t>
    </rPh>
    <rPh sb="8" eb="9">
      <t>エキ</t>
    </rPh>
    <rPh sb="9" eb="11">
      <t>キタグチ</t>
    </rPh>
    <phoneticPr fontId="2"/>
  </si>
  <si>
    <t>就労継続支援A型事業所りぱれっと</t>
    <rPh sb="0" eb="6">
      <t>シュウロウケイゾクシエン</t>
    </rPh>
    <rPh sb="7" eb="8">
      <t>ガタ</t>
    </rPh>
    <rPh sb="8" eb="11">
      <t>ジギョウショ</t>
    </rPh>
    <phoneticPr fontId="2"/>
  </si>
  <si>
    <t>栄町１９－１０</t>
    <phoneticPr fontId="2"/>
  </si>
  <si>
    <t>357-0025</t>
    <phoneticPr fontId="2"/>
  </si>
  <si>
    <t>042ｰ978ｰ5611</t>
    <phoneticPr fontId="2"/>
  </si>
  <si>
    <t>042ｰ980ｰ5291</t>
    <phoneticPr fontId="2"/>
  </si>
  <si>
    <t>西武池袋線東飯能駅から徒歩5分</t>
    <rPh sb="0" eb="5">
      <t>セイブイケブクロセン</t>
    </rPh>
    <rPh sb="5" eb="9">
      <t>ヒガシハンノウエキ</t>
    </rPh>
    <rPh sb="11" eb="13">
      <t>トホ</t>
    </rPh>
    <rPh sb="14" eb="15">
      <t>フン</t>
    </rPh>
    <phoneticPr fontId="2"/>
  </si>
  <si>
    <t>生活介護　ありがとうの花　越谷事業所</t>
    <phoneticPr fontId="2"/>
  </si>
  <si>
    <t>東大沢3-7-1</t>
    <phoneticPr fontId="2"/>
  </si>
  <si>
    <t>東部スカイツリーライン北越谷駅徒歩25分</t>
    <rPh sb="0" eb="2">
      <t>トウブ</t>
    </rPh>
    <rPh sb="11" eb="14">
      <t>キタコシガヤ</t>
    </rPh>
    <rPh sb="14" eb="15">
      <t>エキ</t>
    </rPh>
    <rPh sb="15" eb="17">
      <t>トホ</t>
    </rPh>
    <rPh sb="19" eb="20">
      <t>プン</t>
    </rPh>
    <phoneticPr fontId="2"/>
  </si>
  <si>
    <t>越谷市指定障害福祉サービス事業所「しらこばと」（就労選択支援）</t>
    <rPh sb="0" eb="3">
      <t>コシガヤシ</t>
    </rPh>
    <rPh sb="3" eb="5">
      <t>シテイ</t>
    </rPh>
    <rPh sb="5" eb="7">
      <t>ショウガイ</t>
    </rPh>
    <rPh sb="7" eb="9">
      <t>フクシ</t>
    </rPh>
    <rPh sb="13" eb="16">
      <t>ジギョウショ</t>
    </rPh>
    <rPh sb="23" eb="25">
      <t>シュウロウ</t>
    </rPh>
    <rPh sb="25" eb="27">
      <t>センタク</t>
    </rPh>
    <rPh sb="27" eb="29">
      <t>シエン</t>
    </rPh>
    <phoneticPr fontId="2"/>
  </si>
  <si>
    <t>048-960-5517</t>
    <phoneticPr fontId="2"/>
  </si>
  <si>
    <t>東武スカイツリーライン越谷駅東口朝日バス総合公園行「橋林バス停」下車</t>
    <rPh sb="0" eb="2">
      <t>トウブ</t>
    </rPh>
    <rPh sb="11" eb="14">
      <t>コシガヤエキ</t>
    </rPh>
    <rPh sb="14" eb="16">
      <t>ヒガシグチ</t>
    </rPh>
    <rPh sb="16" eb="18">
      <t>アサヒ</t>
    </rPh>
    <rPh sb="20" eb="22">
      <t>ソウゴウ</t>
    </rPh>
    <rPh sb="22" eb="24">
      <t>コウエン</t>
    </rPh>
    <rPh sb="24" eb="25">
      <t>ユキ</t>
    </rPh>
    <rPh sb="26" eb="27">
      <t>ハシ</t>
    </rPh>
    <rPh sb="27" eb="28">
      <t>ハヤシ</t>
    </rPh>
    <rPh sb="30" eb="31">
      <t>テイ</t>
    </rPh>
    <rPh sb="32" eb="34">
      <t>ゲシャ</t>
    </rPh>
    <phoneticPr fontId="2"/>
  </si>
  <si>
    <t>晴風</t>
    <rPh sb="0" eb="2">
      <t>ハレカゼ</t>
    </rPh>
    <phoneticPr fontId="2"/>
  </si>
  <si>
    <t>048-967-5265</t>
    <phoneticPr fontId="2"/>
  </si>
  <si>
    <t>東部スカイツリーラインせんげん台駅徒歩10分</t>
    <rPh sb="0" eb="2">
      <t>トウブ</t>
    </rPh>
    <rPh sb="15" eb="16">
      <t>ダイ</t>
    </rPh>
    <rPh sb="16" eb="17">
      <t>エキ</t>
    </rPh>
    <rPh sb="17" eb="19">
      <t>トホ</t>
    </rPh>
    <rPh sb="21" eb="22">
      <t>プン</t>
    </rPh>
    <phoneticPr fontId="2"/>
  </si>
  <si>
    <t>SSコティマ越谷</t>
    <rPh sb="6" eb="8">
      <t>コシガヤ</t>
    </rPh>
    <phoneticPr fontId="2"/>
  </si>
  <si>
    <t>南越谷5-3169-22</t>
    <rPh sb="0" eb="3">
      <t>ミナミコシガヤ</t>
    </rPh>
    <phoneticPr fontId="2"/>
  </si>
  <si>
    <t>080-7676-2770</t>
    <phoneticPr fontId="2"/>
  </si>
  <si>
    <t>03-5544-8511</t>
    <phoneticPr fontId="2"/>
  </si>
  <si>
    <t>東部スカイツリーライン蒲生駅徒歩5分、新越谷駅徒歩8分、南越谷駅徒歩11分</t>
    <rPh sb="0" eb="2">
      <t>トウブ</t>
    </rPh>
    <rPh sb="11" eb="13">
      <t>ガモウ</t>
    </rPh>
    <rPh sb="13" eb="14">
      <t>エキ</t>
    </rPh>
    <rPh sb="14" eb="16">
      <t>トホ</t>
    </rPh>
    <rPh sb="17" eb="18">
      <t>プン</t>
    </rPh>
    <rPh sb="19" eb="22">
      <t>シンコシガヤ</t>
    </rPh>
    <rPh sb="22" eb="23">
      <t>エキ</t>
    </rPh>
    <rPh sb="23" eb="25">
      <t>トホ</t>
    </rPh>
    <rPh sb="26" eb="27">
      <t>フン</t>
    </rPh>
    <rPh sb="28" eb="31">
      <t>ミナミコシガヤ</t>
    </rPh>
    <rPh sb="31" eb="32">
      <t>エキ</t>
    </rPh>
    <rPh sb="32" eb="34">
      <t>トホ</t>
    </rPh>
    <rPh sb="36" eb="37">
      <t>フン</t>
    </rPh>
    <phoneticPr fontId="2"/>
  </si>
  <si>
    <t>宇都宮線蓮田駅東口から東埼玉病院行バス終点下車
医療型短期入所※短期入所の「主たる対象者」は身体・知的・難病等・障害児</t>
    <rPh sb="0" eb="3">
      <t>ウツノミヤ</t>
    </rPh>
    <rPh sb="3" eb="4">
      <t>セン</t>
    </rPh>
    <rPh sb="4" eb="6">
      <t>ハスダ</t>
    </rPh>
    <rPh sb="6" eb="7">
      <t>エキ</t>
    </rPh>
    <rPh sb="7" eb="9">
      <t>ヒガシグチ</t>
    </rPh>
    <rPh sb="11" eb="12">
      <t>ヒガシ</t>
    </rPh>
    <rPh sb="12" eb="14">
      <t>サイタマ</t>
    </rPh>
    <rPh sb="14" eb="16">
      <t>ビョウイン</t>
    </rPh>
    <rPh sb="16" eb="17">
      <t>イ</t>
    </rPh>
    <rPh sb="19" eb="21">
      <t>シュウテン</t>
    </rPh>
    <rPh sb="21" eb="23">
      <t>ゲシャ</t>
    </rPh>
    <rPh sb="46" eb="48">
      <t>シンタイ</t>
    </rPh>
    <rPh sb="49" eb="51">
      <t>チテキ</t>
    </rPh>
    <rPh sb="52" eb="54">
      <t>ナンビョウ</t>
    </rPh>
    <rPh sb="54" eb="55">
      <t>トウ</t>
    </rPh>
    <rPh sb="56" eb="59">
      <t>ショウガイジ</t>
    </rPh>
    <phoneticPr fontId="2"/>
  </si>
  <si>
    <t>(特非)はるいろ</t>
    <phoneticPr fontId="2"/>
  </si>
  <si>
    <t>生活介護はぴねす</t>
    <rPh sb="0" eb="2">
      <t>セイカツ</t>
    </rPh>
    <rPh sb="2" eb="4">
      <t>カイゴ</t>
    </rPh>
    <phoneticPr fontId="2"/>
  </si>
  <si>
    <t>浜川戸２－１５－６</t>
    <phoneticPr fontId="2"/>
  </si>
  <si>
    <t>344-0054</t>
    <phoneticPr fontId="2"/>
  </si>
  <si>
    <t>048-872-6257</t>
    <phoneticPr fontId="2"/>
  </si>
  <si>
    <t>048-872-6280</t>
    <phoneticPr fontId="2"/>
  </si>
  <si>
    <t>東武アーバンパークライン八木崎駅徒歩５分
※重心型児通所との多機能</t>
    <rPh sb="0" eb="2">
      <t>トウブ</t>
    </rPh>
    <rPh sb="12" eb="16">
      <t>ヤギサキエキ</t>
    </rPh>
    <rPh sb="16" eb="18">
      <t>トホ</t>
    </rPh>
    <rPh sb="19" eb="20">
      <t>フン</t>
    </rPh>
    <rPh sb="22" eb="28">
      <t>ジュウシンガタジツウショ</t>
    </rPh>
    <rPh sb="30" eb="33">
      <t>タキノウ</t>
    </rPh>
    <phoneticPr fontId="2"/>
  </si>
  <si>
    <t>あかりワークキャンパス大河</t>
    <phoneticPr fontId="2"/>
  </si>
  <si>
    <t>吉羽５－４－４</t>
    <phoneticPr fontId="2"/>
  </si>
  <si>
    <t>346-0014</t>
  </si>
  <si>
    <t>久喜駅東口からバス「吉羽」下車徒歩1分</t>
    <rPh sb="0" eb="2">
      <t>クキ</t>
    </rPh>
    <rPh sb="2" eb="3">
      <t>エキ</t>
    </rPh>
    <rPh sb="3" eb="5">
      <t>ヒガシグチ</t>
    </rPh>
    <rPh sb="10" eb="12">
      <t>ヨシバ</t>
    </rPh>
    <rPh sb="13" eb="15">
      <t>ゲシャ</t>
    </rPh>
    <rPh sb="15" eb="17">
      <t>トホ</t>
    </rPh>
    <rPh sb="18" eb="19">
      <t>フン</t>
    </rPh>
    <phoneticPr fontId="2"/>
  </si>
  <si>
    <t>（株）スマイルリンクス</t>
    <rPh sb="1" eb="2">
      <t>カブ</t>
    </rPh>
    <phoneticPr fontId="2"/>
  </si>
  <si>
    <t>リズム彦成</t>
    <phoneticPr fontId="2"/>
  </si>
  <si>
    <t>彦成1-192-1</t>
    <phoneticPr fontId="2"/>
  </si>
  <si>
    <t>341-0003</t>
  </si>
  <si>
    <t>048-951-4612</t>
    <phoneticPr fontId="2"/>
  </si>
  <si>
    <t>048-951-4613</t>
    <phoneticPr fontId="2"/>
  </si>
  <si>
    <t>JR吉川駅からバス「吉川警察署入口」下車徒歩2分</t>
    <rPh sb="2" eb="4">
      <t>ヨシカワ</t>
    </rPh>
    <rPh sb="4" eb="5">
      <t>エキ</t>
    </rPh>
    <rPh sb="18" eb="20">
      <t>ゲシャ</t>
    </rPh>
    <rPh sb="20" eb="22">
      <t>トホ</t>
    </rPh>
    <rPh sb="23" eb="24">
      <t>フン</t>
    </rPh>
    <phoneticPr fontId="2"/>
  </si>
  <si>
    <t>JR武蔵野線吉川美南駅から徒歩15分
R8.4～　休止</t>
    <rPh sb="2" eb="5">
      <t>ムサシノ</t>
    </rPh>
    <rPh sb="5" eb="6">
      <t>セン</t>
    </rPh>
    <rPh sb="6" eb="8">
      <t>ヨシカワ</t>
    </rPh>
    <rPh sb="8" eb="10">
      <t>ミナミ</t>
    </rPh>
    <rPh sb="10" eb="11">
      <t>エキ</t>
    </rPh>
    <rPh sb="13" eb="15">
      <t>トホ</t>
    </rPh>
    <rPh sb="17" eb="18">
      <t>フン</t>
    </rPh>
    <rPh sb="25" eb="27">
      <t>キュウシ</t>
    </rPh>
    <phoneticPr fontId="2"/>
  </si>
  <si>
    <t>武蔵野線吉川駅から車で10分　※医療型短期入所事業所番号 1151175013
R8.4～　生活介護休止　</t>
    <rPh sb="9" eb="10">
      <t>クルマ</t>
    </rPh>
    <rPh sb="23" eb="28">
      <t>ジギョウショバンゴウ</t>
    </rPh>
    <rPh sb="46" eb="50">
      <t>セイカツカイゴ</t>
    </rPh>
    <rPh sb="50" eb="52">
      <t>キュウシ</t>
    </rPh>
    <phoneticPr fontId="2"/>
  </si>
  <si>
    <t>048-954-9620</t>
    <phoneticPr fontId="2"/>
  </si>
  <si>
    <t>048-954-9621</t>
    <phoneticPr fontId="2"/>
  </si>
  <si>
    <t>048-658-9716</t>
    <phoneticPr fontId="2"/>
  </si>
  <si>
    <t>048-658-9717</t>
    <phoneticPr fontId="33"/>
  </si>
  <si>
    <t>東武日光線幸手駅東口徒歩10分</t>
    <rPh sb="0" eb="5">
      <t>トウブニッコウセン</t>
    </rPh>
    <rPh sb="5" eb="8">
      <t>サッテエキ</t>
    </rPh>
    <rPh sb="8" eb="10">
      <t>ヒガシグチ</t>
    </rPh>
    <rPh sb="10" eb="12">
      <t>トホ</t>
    </rPh>
    <rPh sb="14" eb="15">
      <t>プン</t>
    </rPh>
    <phoneticPr fontId="2"/>
  </si>
  <si>
    <t>レイズホーム</t>
    <phoneticPr fontId="2"/>
  </si>
  <si>
    <t>増林5830-4 越谷市障害者就労訓練施設しらこばと内</t>
    <rPh sb="0" eb="2">
      <t>マシバヤシ</t>
    </rPh>
    <phoneticPr fontId="2"/>
  </si>
  <si>
    <t>ぽちぽちの道</t>
    <rPh sb="5" eb="6">
      <t>ミチ</t>
    </rPh>
    <phoneticPr fontId="2"/>
  </si>
  <si>
    <t>志木市</t>
    <rPh sb="0" eb="2">
      <t>シキ</t>
    </rPh>
    <rPh sb="2" eb="3">
      <t>シ</t>
    </rPh>
    <phoneticPr fontId="2"/>
  </si>
  <si>
    <t>本町５－１７－３９　３・４階</t>
    <rPh sb="0" eb="2">
      <t>モトマチ</t>
    </rPh>
    <rPh sb="13" eb="14">
      <t>カイ</t>
    </rPh>
    <phoneticPr fontId="2"/>
  </si>
  <si>
    <t>350ｰ0004</t>
    <phoneticPr fontId="2"/>
  </si>
  <si>
    <t>03‐6824‐7150</t>
    <phoneticPr fontId="2"/>
  </si>
  <si>
    <t>東武東上線志木駅から徒歩2分</t>
    <rPh sb="0" eb="5">
      <t>トウブトウジョウセン</t>
    </rPh>
    <rPh sb="5" eb="8">
      <t>シキエキ</t>
    </rPh>
    <rPh sb="10" eb="12">
      <t>トホ</t>
    </rPh>
    <rPh sb="13" eb="14">
      <t>フン</t>
    </rPh>
    <phoneticPr fontId="2"/>
  </si>
  <si>
    <t>ニットウファーム</t>
    <phoneticPr fontId="2"/>
  </si>
  <si>
    <t>笹目6丁目3番6号　2階</t>
    <rPh sb="0" eb="2">
      <t>ササメ</t>
    </rPh>
    <rPh sb="3" eb="5">
      <t>チョウメ</t>
    </rPh>
    <rPh sb="6" eb="7">
      <t>バン</t>
    </rPh>
    <rPh sb="8" eb="9">
      <t>ゴウ</t>
    </rPh>
    <rPh sb="11" eb="12">
      <t>カイ</t>
    </rPh>
    <phoneticPr fontId="2"/>
  </si>
  <si>
    <t>335‐0034</t>
    <phoneticPr fontId="2"/>
  </si>
  <si>
    <t>JR埼京線北戸田駅から車で9分</t>
    <rPh sb="2" eb="5">
      <t>サイキョウセン</t>
    </rPh>
    <rPh sb="5" eb="9">
      <t>キタトダエキ</t>
    </rPh>
    <rPh sb="11" eb="12">
      <t>クルマ</t>
    </rPh>
    <rPh sb="14" eb="15">
      <t>フン</t>
    </rPh>
    <phoneticPr fontId="2"/>
  </si>
  <si>
    <t>070-1545‐8477</t>
    <phoneticPr fontId="2"/>
  </si>
  <si>
    <t>ジョブポイントらいく・ゆー志木</t>
    <rPh sb="13" eb="15">
      <t>シキ</t>
    </rPh>
    <phoneticPr fontId="2"/>
  </si>
  <si>
    <t>柏町4丁目5番1号　
尾崎ビル1階2号室</t>
    <rPh sb="0" eb="2">
      <t>カシワマチ</t>
    </rPh>
    <rPh sb="3" eb="5">
      <t>チョウメ</t>
    </rPh>
    <rPh sb="6" eb="7">
      <t>バン</t>
    </rPh>
    <rPh sb="8" eb="9">
      <t>ゴウ</t>
    </rPh>
    <rPh sb="11" eb="13">
      <t>オザキ</t>
    </rPh>
    <rPh sb="16" eb="17">
      <t>カイ</t>
    </rPh>
    <rPh sb="18" eb="20">
      <t>ゴウシツ</t>
    </rPh>
    <phoneticPr fontId="2"/>
  </si>
  <si>
    <t>353-0007</t>
    <phoneticPr fontId="2"/>
  </si>
  <si>
    <t>048‐423‐5929</t>
    <phoneticPr fontId="2"/>
  </si>
  <si>
    <t>048‐423‐5930</t>
    <phoneticPr fontId="2"/>
  </si>
  <si>
    <t>東武東上線志木駅から徒歩10分</t>
    <rPh sb="0" eb="5">
      <t>トウブトウジョウセン</t>
    </rPh>
    <rPh sb="5" eb="8">
      <t>シキエキ</t>
    </rPh>
    <rPh sb="10" eb="12">
      <t>トホ</t>
    </rPh>
    <rPh sb="14" eb="15">
      <t>フン</t>
    </rPh>
    <phoneticPr fontId="2"/>
  </si>
  <si>
    <t>大井１１２７－８</t>
    <rPh sb="0" eb="2">
      <t>オオイ</t>
    </rPh>
    <phoneticPr fontId="2"/>
  </si>
  <si>
    <t>049‐264‐2283</t>
    <phoneticPr fontId="2"/>
  </si>
  <si>
    <t>東武東上線ふじみ野駅から車で7分</t>
    <rPh sb="0" eb="5">
      <t>トウブトウジョウセン</t>
    </rPh>
    <rPh sb="8" eb="9">
      <t>ノ</t>
    </rPh>
    <rPh sb="9" eb="10">
      <t>エキ</t>
    </rPh>
    <rPh sb="12" eb="13">
      <t>クルマ</t>
    </rPh>
    <rPh sb="15" eb="16">
      <t>フン</t>
    </rPh>
    <phoneticPr fontId="2"/>
  </si>
  <si>
    <t>333Life-Care</t>
    <phoneticPr fontId="33"/>
  </si>
  <si>
    <t>坂戸市</t>
    <rPh sb="0" eb="3">
      <t>サカドシ</t>
    </rPh>
    <phoneticPr fontId="33"/>
  </si>
  <si>
    <t>西坂戸3-2-12</t>
    <rPh sb="0" eb="3">
      <t>ニシサカド</t>
    </rPh>
    <phoneticPr fontId="33"/>
  </si>
  <si>
    <t>350-0247</t>
    <phoneticPr fontId="33"/>
  </si>
  <si>
    <t>049-202-2956</t>
    <phoneticPr fontId="33"/>
  </si>
  <si>
    <t>東武越生線武州長瀬駅より徒歩24分</t>
    <rPh sb="2" eb="4">
      <t>オゴセ</t>
    </rPh>
    <rPh sb="4" eb="5">
      <t>セン</t>
    </rPh>
    <rPh sb="5" eb="7">
      <t>ブシュウ</t>
    </rPh>
    <rPh sb="7" eb="9">
      <t>ナガセ</t>
    </rPh>
    <rPh sb="9" eb="10">
      <t>エキ</t>
    </rPh>
    <rPh sb="12" eb="14">
      <t>トホ</t>
    </rPh>
    <rPh sb="16" eb="17">
      <t>フン</t>
    </rPh>
    <phoneticPr fontId="5"/>
  </si>
  <si>
    <t>〇</t>
    <phoneticPr fontId="33"/>
  </si>
  <si>
    <t>クローバー北本</t>
    <rPh sb="5" eb="7">
      <t>キタモト</t>
    </rPh>
    <phoneticPr fontId="33"/>
  </si>
  <si>
    <t>北本市</t>
    <rPh sb="0" eb="3">
      <t>キタモトシ</t>
    </rPh>
    <phoneticPr fontId="33"/>
  </si>
  <si>
    <t>西高尾3-154-2　長島ビル１F</t>
    <rPh sb="0" eb="1">
      <t>ニシ</t>
    </rPh>
    <rPh sb="1" eb="3">
      <t>タカオ</t>
    </rPh>
    <rPh sb="11" eb="13">
      <t>ナガシマ</t>
    </rPh>
    <phoneticPr fontId="33"/>
  </si>
  <si>
    <t>364-0035</t>
    <phoneticPr fontId="33"/>
  </si>
  <si>
    <t>080-6709-3213</t>
    <phoneticPr fontId="33"/>
  </si>
  <si>
    <t>高崎線北本駅から徒歩20分</t>
    <rPh sb="3" eb="6">
      <t>キタモトエキ</t>
    </rPh>
    <rPh sb="8" eb="10">
      <t>トホ</t>
    </rPh>
    <rPh sb="12" eb="13">
      <t>フン</t>
    </rPh>
    <phoneticPr fontId="2"/>
  </si>
  <si>
    <t>ベーカリー・カフェ＆ＩＴワークス　
ライフデリ上尾キッチン</t>
    <phoneticPr fontId="33"/>
  </si>
  <si>
    <t>上尾市</t>
    <rPh sb="0" eb="3">
      <t>アゲオシ</t>
    </rPh>
    <phoneticPr fontId="33"/>
  </si>
  <si>
    <t>向山1-1-1</t>
    <rPh sb="0" eb="2">
      <t>ムカイヤマ</t>
    </rPh>
    <phoneticPr fontId="33"/>
  </si>
  <si>
    <t>362-0045</t>
    <phoneticPr fontId="33"/>
  </si>
  <si>
    <t>048-778-7591</t>
    <phoneticPr fontId="33"/>
  </si>
  <si>
    <t>JR高崎線上尾駅から徒歩24分</t>
    <rPh sb="2" eb="4">
      <t>タカサキ</t>
    </rPh>
    <rPh sb="4" eb="5">
      <t>セン</t>
    </rPh>
    <rPh sb="5" eb="8">
      <t>アゲオエキ</t>
    </rPh>
    <rPh sb="10" eb="12">
      <t>トホ</t>
    </rPh>
    <rPh sb="14" eb="15">
      <t>フン</t>
    </rPh>
    <phoneticPr fontId="33"/>
  </si>
  <si>
    <t>（特非）みやび</t>
    <rPh sb="1" eb="2">
      <t>トク</t>
    </rPh>
    <rPh sb="2" eb="3">
      <t>ヒ</t>
    </rPh>
    <phoneticPr fontId="2"/>
  </si>
  <si>
    <t>秩父郡皆野町</t>
    <rPh sb="0" eb="6">
      <t>チチブグンミナノマチ</t>
    </rPh>
    <phoneticPr fontId="2"/>
  </si>
  <si>
    <t>大字大渕616番地3</t>
    <rPh sb="0" eb="2">
      <t>オオジ</t>
    </rPh>
    <rPh sb="2" eb="4">
      <t>オオブチ</t>
    </rPh>
    <rPh sb="7" eb="9">
      <t>バンチ</t>
    </rPh>
    <phoneticPr fontId="2"/>
  </si>
  <si>
    <t>369-1623</t>
    <phoneticPr fontId="2"/>
  </si>
  <si>
    <t>0494-26-5452</t>
    <phoneticPr fontId="2"/>
  </si>
  <si>
    <t>0494-26-5453</t>
    <phoneticPr fontId="2"/>
  </si>
  <si>
    <t>秩父鉄道皆野駅より徒歩２３分</t>
    <rPh sb="0" eb="4">
      <t>チチブテツドウ</t>
    </rPh>
    <rPh sb="4" eb="7">
      <t>ミナノエキ</t>
    </rPh>
    <rPh sb="9" eb="11">
      <t>トホ</t>
    </rPh>
    <rPh sb="13" eb="14">
      <t>フン</t>
    </rPh>
    <phoneticPr fontId="2"/>
  </si>
  <si>
    <t>ユースタイルホーム 深谷 共同生活援助</t>
    <rPh sb="10" eb="12">
      <t>フカヤ</t>
    </rPh>
    <rPh sb="13" eb="19">
      <t>キョウドウセイカツエンジョ</t>
    </rPh>
    <phoneticPr fontId="2"/>
  </si>
  <si>
    <t>田所町18番15-2号</t>
    <rPh sb="0" eb="2">
      <t>タドコロ</t>
    </rPh>
    <rPh sb="2" eb="3">
      <t>マチ</t>
    </rPh>
    <rPh sb="5" eb="6">
      <t>バン</t>
    </rPh>
    <rPh sb="10" eb="11">
      <t>ゴウ</t>
    </rPh>
    <phoneticPr fontId="2"/>
  </si>
  <si>
    <t>366-0826</t>
    <phoneticPr fontId="2"/>
  </si>
  <si>
    <t>050-1792-7322</t>
    <phoneticPr fontId="2"/>
  </si>
  <si>
    <t>050-6883-6872</t>
    <phoneticPr fontId="2"/>
  </si>
  <si>
    <t>JR高崎線深谷駅より徒歩１６分</t>
    <rPh sb="2" eb="5">
      <t>タカサキセン</t>
    </rPh>
    <rPh sb="5" eb="8">
      <t>フカヤエキ</t>
    </rPh>
    <rPh sb="10" eb="12">
      <t>トホ</t>
    </rPh>
    <rPh sb="14" eb="15">
      <t>フン</t>
    </rPh>
    <phoneticPr fontId="2"/>
  </si>
  <si>
    <t>Cocorport 熊谷駅前Office</t>
    <rPh sb="10" eb="12">
      <t>クマガヤ</t>
    </rPh>
    <phoneticPr fontId="2"/>
  </si>
  <si>
    <t>筑波3-202 ティアラ21 4階401-2区画</t>
    <rPh sb="0" eb="2">
      <t>ツクバ</t>
    </rPh>
    <rPh sb="16" eb="17">
      <t>カイ</t>
    </rPh>
    <rPh sb="22" eb="24">
      <t>クカク</t>
    </rPh>
    <phoneticPr fontId="2"/>
  </si>
  <si>
    <t>360-0037</t>
    <phoneticPr fontId="2"/>
  </si>
  <si>
    <t>048-598-7189</t>
    <phoneticPr fontId="2"/>
  </si>
  <si>
    <t>048-598-7190</t>
  </si>
  <si>
    <t>JR高崎線熊谷駅徒歩２分</t>
    <rPh sb="2" eb="8">
      <t>タカサキセンクマガヤエキ</t>
    </rPh>
    <rPh sb="8" eb="10">
      <t>トホ</t>
    </rPh>
    <rPh sb="11" eb="12">
      <t>フン</t>
    </rPh>
    <phoneticPr fontId="2"/>
  </si>
  <si>
    <t>妻沼1889-1</t>
    <rPh sb="0" eb="2">
      <t>メヌマ</t>
    </rPh>
    <phoneticPr fontId="2"/>
  </si>
  <si>
    <t>熊谷駅からバス朝日自動車「妻沼行政センター前」下車徒歩9分</t>
    <rPh sb="0" eb="2">
      <t>クマガヤ</t>
    </rPh>
    <rPh sb="2" eb="3">
      <t>エキ</t>
    </rPh>
    <rPh sb="7" eb="12">
      <t>アサヒジドウシャ</t>
    </rPh>
    <rPh sb="13" eb="15">
      <t>メヌマ</t>
    </rPh>
    <rPh sb="15" eb="17">
      <t>ギョウセイ</t>
    </rPh>
    <rPh sb="21" eb="22">
      <t>マエ</t>
    </rPh>
    <rPh sb="22" eb="23">
      <t>ショウナン</t>
    </rPh>
    <rPh sb="23" eb="25">
      <t>ゲシャ</t>
    </rPh>
    <rPh sb="25" eb="27">
      <t>トホ</t>
    </rPh>
    <rPh sb="28" eb="29">
      <t>フン</t>
    </rPh>
    <phoneticPr fontId="2"/>
  </si>
  <si>
    <t>（特非）ドットcom</t>
    <rPh sb="1" eb="2">
      <t>トク</t>
    </rPh>
    <rPh sb="2" eb="3">
      <t>ヒ</t>
    </rPh>
    <phoneticPr fontId="2"/>
  </si>
  <si>
    <t>障害福祉センターうぽぽい</t>
    <rPh sb="0" eb="4">
      <t>ショウガイフクシ</t>
    </rPh>
    <phoneticPr fontId="2"/>
  </si>
  <si>
    <t>下新田４５番地１</t>
    <rPh sb="0" eb="3">
      <t>シモシンデン</t>
    </rPh>
    <rPh sb="5" eb="7">
      <t>バンチ</t>
    </rPh>
    <phoneticPr fontId="2"/>
  </si>
  <si>
    <t>348-0048</t>
    <phoneticPr fontId="2"/>
  </si>
  <si>
    <t>048-577-6402</t>
    <phoneticPr fontId="2"/>
  </si>
  <si>
    <t>048-577-6403</t>
  </si>
  <si>
    <t>秩父鉄道新郷駅からあいあいバス市役所行「下新田県道交差点」下車徒歩2分</t>
    <rPh sb="0" eb="4">
      <t>チチブテツドウ</t>
    </rPh>
    <rPh sb="4" eb="6">
      <t>シンゴウ</t>
    </rPh>
    <rPh sb="6" eb="7">
      <t>エキ</t>
    </rPh>
    <rPh sb="15" eb="19">
      <t>シヤクショイ</t>
    </rPh>
    <rPh sb="20" eb="23">
      <t>シモシンデン</t>
    </rPh>
    <rPh sb="23" eb="25">
      <t>ケンドウ</t>
    </rPh>
    <rPh sb="25" eb="28">
      <t>コウサテン</t>
    </rPh>
    <rPh sb="29" eb="31">
      <t>ゲシャ</t>
    </rPh>
    <rPh sb="31" eb="33">
      <t>トホ</t>
    </rPh>
    <rPh sb="34" eb="35">
      <t>フン</t>
    </rPh>
    <phoneticPr fontId="2"/>
  </si>
  <si>
    <t>ＩＴグループ（株）</t>
    <rPh sb="7" eb="8">
      <t>カブ</t>
    </rPh>
    <phoneticPr fontId="2"/>
  </si>
  <si>
    <t>リバイブ草加獨協大学前</t>
    <rPh sb="4" eb="6">
      <t>ソウカ</t>
    </rPh>
    <rPh sb="6" eb="8">
      <t>ドッキョウ</t>
    </rPh>
    <rPh sb="8" eb="10">
      <t>ダイガク</t>
    </rPh>
    <rPh sb="10" eb="11">
      <t>マエ</t>
    </rPh>
    <phoneticPr fontId="2"/>
  </si>
  <si>
    <t>栄町２丁目１２－１　ステーションプラザ４Ｆ</t>
    <rPh sb="0" eb="1">
      <t>サカエ</t>
    </rPh>
    <rPh sb="1" eb="2">
      <t>チョウ</t>
    </rPh>
    <rPh sb="3" eb="5">
      <t>チョウメ</t>
    </rPh>
    <phoneticPr fontId="2"/>
  </si>
  <si>
    <t>340-0011</t>
  </si>
  <si>
    <t>東武スカイツリーライン獨協大学前（草加松原）から徒歩１分</t>
    <rPh sb="0" eb="2">
      <t>トウブ</t>
    </rPh>
    <rPh sb="11" eb="13">
      <t>ドッキョウ</t>
    </rPh>
    <rPh sb="13" eb="15">
      <t>ダイガク</t>
    </rPh>
    <rPh sb="15" eb="16">
      <t>マエ</t>
    </rPh>
    <rPh sb="17" eb="19">
      <t>ソウカ</t>
    </rPh>
    <rPh sb="19" eb="21">
      <t>マツバラ</t>
    </rPh>
    <rPh sb="24" eb="26">
      <t>トホ</t>
    </rPh>
    <rPh sb="27" eb="28">
      <t>フン</t>
    </rPh>
    <phoneticPr fontId="2"/>
  </si>
  <si>
    <t>ＯＫ自立支援事業所ひよこ館</t>
    <phoneticPr fontId="2"/>
  </si>
  <si>
    <t>八丁目２７７－４</t>
    <rPh sb="0" eb="3">
      <t>ハッチョウメ</t>
    </rPh>
    <phoneticPr fontId="2"/>
  </si>
  <si>
    <t>344-0006</t>
    <phoneticPr fontId="2"/>
  </si>
  <si>
    <t>090-5994-8932</t>
    <phoneticPr fontId="2"/>
  </si>
  <si>
    <t>東武スカイツリーライン春日部駅徒歩11分</t>
    <rPh sb="0" eb="2">
      <t>トウブ</t>
    </rPh>
    <rPh sb="11" eb="14">
      <t>カスカベ</t>
    </rPh>
    <rPh sb="14" eb="15">
      <t>エキ</t>
    </rPh>
    <rPh sb="15" eb="17">
      <t>トホ</t>
    </rPh>
    <rPh sb="19" eb="20">
      <t>フン</t>
    </rPh>
    <phoneticPr fontId="2"/>
  </si>
  <si>
    <t>ふたは</t>
    <phoneticPr fontId="2"/>
  </si>
  <si>
    <t>南中曽根６３５－１</t>
    <rPh sb="0" eb="1">
      <t>ミナミ</t>
    </rPh>
    <rPh sb="1" eb="4">
      <t>ナカソネ</t>
    </rPh>
    <phoneticPr fontId="2"/>
  </si>
  <si>
    <t>344-0048</t>
  </si>
  <si>
    <t>048-796-0601</t>
    <phoneticPr fontId="2"/>
  </si>
  <si>
    <t>048-795-9561</t>
    <phoneticPr fontId="2"/>
  </si>
  <si>
    <t>東武アーバンパークライン豊春駅より徒歩13分</t>
  </si>
  <si>
    <t>じゅんとすの森</t>
    <rPh sb="6" eb="7">
      <t>もり</t>
    </rPh>
    <phoneticPr fontId="20" type="Hiragana"/>
  </si>
  <si>
    <t>334-0073</t>
    <phoneticPr fontId="2" type="Hiragana"/>
  </si>
  <si>
    <t>048-299-8529</t>
    <phoneticPr fontId="2" type="Hiragana"/>
  </si>
  <si>
    <t>048-299-5325</t>
    <phoneticPr fontId="2" type="Hiragana"/>
  </si>
  <si>
    <t>（バス）鳩ヶ谷駅から草加駅行「赤井四丁目交差点」徒歩３分</t>
    <rPh sb="4" eb="7">
      <t>はとがや</t>
    </rPh>
    <rPh sb="7" eb="8">
      <t>えき</t>
    </rPh>
    <rPh sb="10" eb="13">
      <t>そうかえき</t>
    </rPh>
    <rPh sb="13" eb="14">
      <t>い</t>
    </rPh>
    <rPh sb="15" eb="17">
      <t>あかい</t>
    </rPh>
    <rPh sb="17" eb="20">
      <t>４ちょうめ</t>
    </rPh>
    <rPh sb="20" eb="23">
      <t>こうさてん</t>
    </rPh>
    <rPh sb="24" eb="26">
      <t>とほ</t>
    </rPh>
    <rPh sb="27" eb="28">
      <t>ふん</t>
    </rPh>
    <phoneticPr fontId="2" type="Hiragana"/>
  </si>
  <si>
    <t>ＫｏＫｏＣｏｌｏｒ（ここからー）</t>
    <phoneticPr fontId="20" type="Hiragana"/>
  </si>
  <si>
    <t>（バス）川口駅西口から鳩ヶ谷駅東口行「花の枝橋」徒歩６分</t>
    <rPh sb="4" eb="7">
      <t>かわぐちえき</t>
    </rPh>
    <rPh sb="7" eb="9">
      <t>にしぐち</t>
    </rPh>
    <rPh sb="11" eb="14">
      <t>はとがや</t>
    </rPh>
    <rPh sb="14" eb="15">
      <t>えき</t>
    </rPh>
    <rPh sb="15" eb="17">
      <t>ひがしぐち</t>
    </rPh>
    <rPh sb="17" eb="18">
      <t>ぎょう</t>
    </rPh>
    <rPh sb="19" eb="20">
      <t>はな</t>
    </rPh>
    <rPh sb="21" eb="22">
      <t>えだ</t>
    </rPh>
    <rPh sb="22" eb="23">
      <t>はし</t>
    </rPh>
    <rPh sb="24" eb="26">
      <t>とほ</t>
    </rPh>
    <rPh sb="27" eb="28">
      <t>ふん</t>
    </rPh>
    <phoneticPr fontId="2" type="Hiragana"/>
  </si>
  <si>
    <t>西川口就労サポートセンター</t>
    <rPh sb="0" eb="3">
      <t>にしかわぐち</t>
    </rPh>
    <rPh sb="3" eb="5">
      <t>しゅうろう</t>
    </rPh>
    <phoneticPr fontId="20" type="Hiragana"/>
  </si>
  <si>
    <t>049-222-4191</t>
    <phoneticPr fontId="2"/>
  </si>
  <si>
    <t>本川越駅東口から徒歩7分</t>
    <rPh sb="0" eb="4">
      <t>ホンカワゴエエキ</t>
    </rPh>
    <rPh sb="4" eb="6">
      <t>ヒガシグチ</t>
    </rPh>
    <rPh sb="8" eb="10">
      <t>トホ</t>
    </rPh>
    <rPh sb="11" eb="12">
      <t>フン</t>
    </rPh>
    <phoneticPr fontId="2"/>
  </si>
  <si>
    <t>アトリエ・シンラ</t>
    <phoneticPr fontId="33"/>
  </si>
  <si>
    <t>通町5-4　山田ビル601</t>
    <rPh sb="0" eb="1">
      <t>トオ</t>
    </rPh>
    <rPh sb="1" eb="2">
      <t>マチ</t>
    </rPh>
    <rPh sb="6" eb="8">
      <t>ヤマダ</t>
    </rPh>
    <phoneticPr fontId="33"/>
  </si>
  <si>
    <t>JR大宮駅東口より徒歩11分</t>
    <rPh sb="2" eb="5">
      <t>オオミヤエキ</t>
    </rPh>
    <rPh sb="5" eb="7">
      <t>ヒガシグチ</t>
    </rPh>
    <rPh sb="9" eb="11">
      <t>トホ</t>
    </rPh>
    <rPh sb="13" eb="14">
      <t>フン</t>
    </rPh>
    <phoneticPr fontId="2"/>
  </si>
  <si>
    <t>ゆたかカレッジ大宮キャンパス</t>
    <rPh sb="7" eb="9">
      <t>おおみや</t>
    </rPh>
    <phoneticPr fontId="38" type="Hiragana"/>
  </si>
  <si>
    <t>330-0851</t>
  </si>
  <si>
    <t>JR大宮駅西口より徒歩20分</t>
    <rPh sb="2" eb="5">
      <t>オオミヤエキ</t>
    </rPh>
    <rPh sb="5" eb="7">
      <t>ニシグチ</t>
    </rPh>
    <rPh sb="9" eb="11">
      <t>トホ</t>
    </rPh>
    <rPh sb="13" eb="14">
      <t>フン</t>
    </rPh>
    <phoneticPr fontId="2"/>
  </si>
  <si>
    <t>就労支援のウェリット　大宮</t>
    <rPh sb="0" eb="2">
      <t>しゅうろう</t>
    </rPh>
    <rPh sb="2" eb="4">
      <t>しえん</t>
    </rPh>
    <rPh sb="11" eb="13">
      <t>おおみや</t>
    </rPh>
    <phoneticPr fontId="38" type="Hiragana"/>
  </si>
  <si>
    <t>大宮区櫛引町１－３２２</t>
    <phoneticPr fontId="2"/>
  </si>
  <si>
    <t>331-0062</t>
  </si>
  <si>
    <t>〇</t>
    <phoneticPr fontId="37"/>
  </si>
  <si>
    <t>ＪＲ指扇駅より徒歩5分</t>
    <rPh sb="2" eb="4">
      <t>サシオウギ</t>
    </rPh>
    <rPh sb="4" eb="5">
      <t>エキ</t>
    </rPh>
    <rPh sb="7" eb="9">
      <t>トホ</t>
    </rPh>
    <rPh sb="10" eb="11">
      <t>フン</t>
    </rPh>
    <phoneticPr fontId="2"/>
  </si>
  <si>
    <t>グループホームMIKAN　指扇</t>
    <rPh sb="13" eb="15">
      <t>さしおうぎ</t>
    </rPh>
    <phoneticPr fontId="38" type="Hiragana"/>
  </si>
  <si>
    <t>西区大字土屋５３９－４　レオパレスKウッズⅡ　２０３号室</t>
    <rPh sb="0" eb="2">
      <t>ニシク</t>
    </rPh>
    <rPh sb="2" eb="4">
      <t>オオアザ</t>
    </rPh>
    <rPh sb="4" eb="6">
      <t>ツチヤ</t>
    </rPh>
    <rPh sb="26" eb="28">
      <t>ゴウシツ</t>
    </rPh>
    <phoneticPr fontId="2"/>
  </si>
  <si>
    <t>337-0012</t>
  </si>
  <si>
    <t>090-6705-7358</t>
  </si>
  <si>
    <t>048-795-4665</t>
  </si>
  <si>
    <t>cara東宮下</t>
    <rPh sb="4" eb="5">
      <t>ひがし</t>
    </rPh>
    <rPh sb="5" eb="7">
      <t>みやした</t>
    </rPh>
    <phoneticPr fontId="38" type="Hiragana"/>
  </si>
  <si>
    <t>見沼区東宮下３－４－１</t>
    <rPh sb="0" eb="2">
      <t>ミヌマ</t>
    </rPh>
    <rPh sb="2" eb="3">
      <t>ク</t>
    </rPh>
    <rPh sb="3" eb="6">
      <t>ヒガシミヤシタ</t>
    </rPh>
    <phoneticPr fontId="2"/>
  </si>
  <si>
    <t>336-0021</t>
    <phoneticPr fontId="37"/>
  </si>
  <si>
    <t>048-731-8414</t>
  </si>
  <si>
    <t>048-731-8415</t>
  </si>
  <si>
    <t>事業譲渡
国際興業バス　東の台停留所より徒歩２分</t>
    <rPh sb="0" eb="2">
      <t>ジギョウ</t>
    </rPh>
    <rPh sb="2" eb="4">
      <t>ジョウト</t>
    </rPh>
    <rPh sb="5" eb="7">
      <t>コクサイ</t>
    </rPh>
    <rPh sb="7" eb="9">
      <t>コウギョウ</t>
    </rPh>
    <rPh sb="12" eb="13">
      <t>ヒガシ</t>
    </rPh>
    <rPh sb="14" eb="15">
      <t>ダイ</t>
    </rPh>
    <rPh sb="15" eb="18">
      <t>テイリュウジョ</t>
    </rPh>
    <rPh sb="20" eb="22">
      <t>トホ</t>
    </rPh>
    <rPh sb="23" eb="24">
      <t>フン</t>
    </rPh>
    <phoneticPr fontId="2"/>
  </si>
  <si>
    <t>中央区鈴谷５－４－４</t>
    <phoneticPr fontId="2"/>
  </si>
  <si>
    <t>338-0013</t>
  </si>
  <si>
    <t>048-711-4499</t>
  </si>
  <si>
    <t>ＪＲ南与野駅西口より徒歩７分</t>
    <rPh sb="2" eb="3">
      <t>ミナミ</t>
    </rPh>
    <rPh sb="3" eb="5">
      <t>ヨノ</t>
    </rPh>
    <rPh sb="5" eb="6">
      <t>エキ</t>
    </rPh>
    <rPh sb="6" eb="8">
      <t>ニシグチ</t>
    </rPh>
    <rPh sb="10" eb="12">
      <t>トホ</t>
    </rPh>
    <rPh sb="13" eb="14">
      <t>フン</t>
    </rPh>
    <phoneticPr fontId="2"/>
  </si>
  <si>
    <t>緑区三室７１８０</t>
    <phoneticPr fontId="2"/>
  </si>
  <si>
    <t>048-767-5450</t>
  </si>
  <si>
    <t>048-767-5454</t>
  </si>
  <si>
    <t>国際興業バス　松ノ木東公園バス停より徒歩10分
※本体:共同生活援助</t>
    <rPh sb="0" eb="2">
      <t>コクサイ</t>
    </rPh>
    <rPh sb="2" eb="4">
      <t>コウギョウ</t>
    </rPh>
    <rPh sb="7" eb="8">
      <t>マツ</t>
    </rPh>
    <rPh sb="9" eb="10">
      <t>キ</t>
    </rPh>
    <rPh sb="10" eb="11">
      <t>ヒガシ</t>
    </rPh>
    <rPh sb="11" eb="13">
      <t>コウエン</t>
    </rPh>
    <rPh sb="15" eb="16">
      <t>テイ</t>
    </rPh>
    <rPh sb="18" eb="20">
      <t>トホ</t>
    </rPh>
    <rPh sb="22" eb="23">
      <t>フン</t>
    </rPh>
    <rPh sb="25" eb="27">
      <t>ホンタイ</t>
    </rPh>
    <rPh sb="28" eb="30">
      <t>キョウドウ</t>
    </rPh>
    <rPh sb="30" eb="32">
      <t>セイカツ</t>
    </rPh>
    <rPh sb="32" eb="34">
      <t>エンジョ</t>
    </rPh>
    <phoneticPr fontId="2"/>
  </si>
  <si>
    <t>048-797-6866</t>
  </si>
  <si>
    <t>048-797-6870</t>
  </si>
  <si>
    <t>国際興業バス「大谷」停留所より徒歩5分
東武バス「大谷日生住宅前」より徒歩5分
※児発・放デイとの多機能型事業所</t>
    <rPh sb="0" eb="2">
      <t>コクサイ</t>
    </rPh>
    <rPh sb="2" eb="4">
      <t>コウギョウ</t>
    </rPh>
    <rPh sb="7" eb="9">
      <t>オオヤ</t>
    </rPh>
    <rPh sb="10" eb="13">
      <t>テイリュウジョ</t>
    </rPh>
    <rPh sb="15" eb="17">
      <t>トホ</t>
    </rPh>
    <rPh sb="18" eb="19">
      <t>フン</t>
    </rPh>
    <rPh sb="20" eb="22">
      <t>トウブ</t>
    </rPh>
    <rPh sb="25" eb="27">
      <t>オオヤ</t>
    </rPh>
    <rPh sb="27" eb="29">
      <t>ニッセイ</t>
    </rPh>
    <rPh sb="29" eb="31">
      <t>ジュウタク</t>
    </rPh>
    <rPh sb="31" eb="32">
      <t>マエ</t>
    </rPh>
    <rPh sb="35" eb="37">
      <t>トホ</t>
    </rPh>
    <rPh sb="38" eb="39">
      <t>フン</t>
    </rPh>
    <rPh sb="41" eb="45">
      <t>ジハツホウ</t>
    </rPh>
    <rPh sb="49" eb="52">
      <t>タキノウ</t>
    </rPh>
    <rPh sb="52" eb="53">
      <t>カタ</t>
    </rPh>
    <rPh sb="53" eb="56">
      <t>ジギョウショ</t>
    </rPh>
    <phoneticPr fontId="2"/>
  </si>
  <si>
    <t>331-0065</t>
  </si>
  <si>
    <t>048-782-7473</t>
  </si>
  <si>
    <t>西部バス「二ツ宮新道」停留所より徒歩5分
西区コミュニティバス「二ツ宮南」停留所より徒歩1分</t>
    <rPh sb="0" eb="2">
      <t>セイブ</t>
    </rPh>
    <rPh sb="5" eb="6">
      <t>フタ</t>
    </rPh>
    <rPh sb="7" eb="8">
      <t>ミヤ</t>
    </rPh>
    <rPh sb="8" eb="10">
      <t>シンドウ</t>
    </rPh>
    <rPh sb="11" eb="14">
      <t>テイリュウジョ</t>
    </rPh>
    <rPh sb="16" eb="18">
      <t>トホ</t>
    </rPh>
    <rPh sb="19" eb="20">
      <t>フン</t>
    </rPh>
    <rPh sb="21" eb="23">
      <t>ニシク</t>
    </rPh>
    <rPh sb="32" eb="33">
      <t>フタ</t>
    </rPh>
    <rPh sb="34" eb="35">
      <t>ミヤ</t>
    </rPh>
    <rPh sb="35" eb="36">
      <t>ミナミ</t>
    </rPh>
    <rPh sb="37" eb="40">
      <t>テイリュウジョ</t>
    </rPh>
    <rPh sb="42" eb="44">
      <t>トホ</t>
    </rPh>
    <rPh sb="45" eb="46">
      <t>フン</t>
    </rPh>
    <phoneticPr fontId="2"/>
  </si>
  <si>
    <t>338-0012</t>
  </si>
  <si>
    <t>03-4503-6556</t>
  </si>
  <si>
    <t>03-6800-6574</t>
  </si>
  <si>
    <t>JR浦和駅より徒歩15分</t>
    <rPh sb="2" eb="5">
      <t>ウラワエキ</t>
    </rPh>
    <rPh sb="7" eb="9">
      <t>トホ</t>
    </rPh>
    <rPh sb="11" eb="12">
      <t>フン</t>
    </rPh>
    <phoneticPr fontId="2"/>
  </si>
  <si>
    <t>338-0835</t>
  </si>
  <si>
    <t>国際興業バス「桜区役所」停留所より徒歩すぐ</t>
    <rPh sb="0" eb="2">
      <t>コクサイ</t>
    </rPh>
    <rPh sb="2" eb="4">
      <t>コウギョウ</t>
    </rPh>
    <rPh sb="7" eb="9">
      <t>サクラク</t>
    </rPh>
    <rPh sb="9" eb="11">
      <t>ヤクショ</t>
    </rPh>
    <rPh sb="12" eb="15">
      <t>テイリュウジョ</t>
    </rPh>
    <rPh sb="17" eb="19">
      <t>トホ</t>
    </rPh>
    <phoneticPr fontId="2"/>
  </si>
  <si>
    <t>080-2684-3963</t>
  </si>
  <si>
    <t>JR南浦和駅より徒歩7分</t>
    <rPh sb="2" eb="3">
      <t>ミナミ</t>
    </rPh>
    <rPh sb="3" eb="5">
      <t>ウラワ</t>
    </rPh>
    <rPh sb="5" eb="6">
      <t>エキ</t>
    </rPh>
    <rPh sb="8" eb="10">
      <t>トホ</t>
    </rPh>
    <rPh sb="11" eb="12">
      <t>フン</t>
    </rPh>
    <phoneticPr fontId="2"/>
  </si>
  <si>
    <t>JR大宮駅より徒歩８分</t>
    <rPh sb="2" eb="5">
      <t>オオミヤエキ</t>
    </rPh>
    <rPh sb="7" eb="9">
      <t>トホ</t>
    </rPh>
    <rPh sb="10" eb="11">
      <t>フン</t>
    </rPh>
    <phoneticPr fontId="2"/>
  </si>
  <si>
    <t>JR大宮駅より徒歩１２分</t>
    <rPh sb="2" eb="5">
      <t>オオミヤエキ</t>
    </rPh>
    <rPh sb="7" eb="9">
      <t>トホ</t>
    </rPh>
    <rPh sb="11" eb="12">
      <t>フン</t>
    </rPh>
    <phoneticPr fontId="2"/>
  </si>
  <si>
    <t>JR大宮駅より徒歩１４分</t>
    <rPh sb="2" eb="5">
      <t>オオミヤエキ</t>
    </rPh>
    <rPh sb="7" eb="9">
      <t>トホ</t>
    </rPh>
    <rPh sb="11" eb="12">
      <t>フン</t>
    </rPh>
    <phoneticPr fontId="2"/>
  </si>
  <si>
    <t>あとりえあんじゅ</t>
    <phoneticPr fontId="38" type="Hiragana"/>
  </si>
  <si>
    <t>南区別所１－１０－１４</t>
    <rPh sb="0" eb="2">
      <t>ミナミク</t>
    </rPh>
    <rPh sb="1" eb="3">
      <t>ベッショ</t>
    </rPh>
    <phoneticPr fontId="2"/>
  </si>
  <si>
    <t>プティ’ｓカラー Cheese Pige  さいたま南与野</t>
    <rPh sb="26" eb="27">
      <t>みなみ</t>
    </rPh>
    <rPh sb="27" eb="29">
      <t>よの</t>
    </rPh>
    <phoneticPr fontId="38" type="Hiragana"/>
  </si>
  <si>
    <t>CoCoiro</t>
    <phoneticPr fontId="38" type="Hiragana"/>
  </si>
  <si>
    <t>リズムハウス三室Ⅱ</t>
    <rPh sb="6" eb="8">
      <t>みむろ</t>
    </rPh>
    <phoneticPr fontId="38" type="Hiragana"/>
  </si>
  <si>
    <t>短期入所ねいろ</t>
    <rPh sb="0" eb="2">
      <t>たんき</t>
    </rPh>
    <rPh sb="2" eb="4">
      <t>にゅうしょ</t>
    </rPh>
    <phoneticPr fontId="38" type="Hiragana"/>
  </si>
  <si>
    <t>市西区二ツ宮８３番</t>
    <phoneticPr fontId="2"/>
  </si>
  <si>
    <t>ゆるワークラボ</t>
    <phoneticPr fontId="38" type="Hiragana"/>
  </si>
  <si>
    <t>中央区大戸１－２９－９　マガリオビル１０１</t>
    <phoneticPr fontId="2"/>
  </si>
  <si>
    <t>ぷりーむら</t>
    <phoneticPr fontId="38" type="Hiragana"/>
  </si>
  <si>
    <t>桜区道場４－３－１</t>
    <phoneticPr fontId="2"/>
  </si>
  <si>
    <t>Sound Studio Size 南浦和</t>
    <rPh sb="17" eb="18">
      <t>みなみ</t>
    </rPh>
    <rPh sb="18" eb="20">
      <t>うらわ</t>
    </rPh>
    <phoneticPr fontId="38" type="Hiragana"/>
  </si>
  <si>
    <t>南区南浦和１－２－１７</t>
    <rPh sb="0" eb="2">
      <t>ミナミク</t>
    </rPh>
    <rPh sb="2" eb="5">
      <t>ミナミウラワ</t>
    </rPh>
    <phoneticPr fontId="2"/>
  </si>
  <si>
    <t>かなうラボ大宮西口</t>
    <rPh sb="5" eb="7">
      <t>おおみや</t>
    </rPh>
    <rPh sb="7" eb="9">
      <t>にしぐち</t>
    </rPh>
    <rPh sb="8" eb="9">
      <t>ぐち</t>
    </rPh>
    <phoneticPr fontId="38" type="Hiragana"/>
  </si>
  <si>
    <t>大宮区桜木町１－１１－３　八十二大宮ビル３階</t>
    <rPh sb="13" eb="16">
      <t>ハチジュウニ</t>
    </rPh>
    <rPh sb="16" eb="18">
      <t>オオミヤ</t>
    </rPh>
    <rPh sb="21" eb="22">
      <t>カイ</t>
    </rPh>
    <phoneticPr fontId="2"/>
  </si>
  <si>
    <t>かなうラボ大宮桜木町</t>
    <rPh sb="5" eb="7">
      <t>おおみや</t>
    </rPh>
    <rPh sb="7" eb="10">
      <t>さくらぎちょう</t>
    </rPh>
    <phoneticPr fontId="38" type="Hiragana"/>
  </si>
  <si>
    <t>大宮区桜木町４－２０９　第３バーディトライビル６階</t>
    <rPh sb="0" eb="2">
      <t>オオミヤ</t>
    </rPh>
    <rPh sb="2" eb="3">
      <t>ク</t>
    </rPh>
    <rPh sb="3" eb="6">
      <t>サクラギチョウ</t>
    </rPh>
    <rPh sb="12" eb="13">
      <t>ダイ</t>
    </rPh>
    <rPh sb="24" eb="25">
      <t>カイ</t>
    </rPh>
    <phoneticPr fontId="2"/>
  </si>
  <si>
    <t>かなうラボ大宮大成町</t>
    <rPh sb="5" eb="7">
      <t>おおみや</t>
    </rPh>
    <rPh sb="7" eb="10">
      <t>おおなりちょう</t>
    </rPh>
    <phoneticPr fontId="38" type="Hiragana"/>
  </si>
  <si>
    <t>大宮区大成町１－１９０－１　志村ビル２階</t>
    <rPh sb="0" eb="2">
      <t>オオミヤ</t>
    </rPh>
    <rPh sb="2" eb="3">
      <t>ク</t>
    </rPh>
    <rPh sb="3" eb="6">
      <t>オオナリチョウ</t>
    </rPh>
    <rPh sb="14" eb="16">
      <t>シムラ</t>
    </rPh>
    <rPh sb="19" eb="20">
      <t>カイ</t>
    </rPh>
    <phoneticPr fontId="2"/>
  </si>
  <si>
    <t>かなうラボさいたま新都心</t>
    <rPh sb="9" eb="12">
      <t>しんとしん</t>
    </rPh>
    <phoneticPr fontId="38" type="Hiragana"/>
  </si>
  <si>
    <t>大宮区吉敷町１－１３５　アライ吉敷１丁目ビル４階</t>
    <rPh sb="0" eb="2">
      <t>オオミヤ</t>
    </rPh>
    <rPh sb="2" eb="3">
      <t>ク</t>
    </rPh>
    <rPh sb="3" eb="6">
      <t>キシキチョウ</t>
    </rPh>
    <rPh sb="15" eb="17">
      <t>キシキ</t>
    </rPh>
    <rPh sb="18" eb="20">
      <t>チョウメ</t>
    </rPh>
    <rPh sb="23" eb="24">
      <t>カイ</t>
    </rPh>
    <phoneticPr fontId="2"/>
  </si>
  <si>
    <t>（一社）クリスタルサービス</t>
    <phoneticPr fontId="2"/>
  </si>
  <si>
    <t>大宮駅東口より「浦和学院」行又は「浦和美園駅」行バス「染谷新道」下車徒歩１０分　※児童発達支援・放課後等デイサービスとの併設　R8.5～休止</t>
    <rPh sb="0" eb="3">
      <t>オオミヤエキ</t>
    </rPh>
    <rPh sb="3" eb="5">
      <t>ヒガシグチ</t>
    </rPh>
    <rPh sb="8" eb="10">
      <t>ウラワ</t>
    </rPh>
    <rPh sb="10" eb="12">
      <t>ガクイン</t>
    </rPh>
    <rPh sb="13" eb="14">
      <t>イキ</t>
    </rPh>
    <rPh sb="14" eb="15">
      <t>マタ</t>
    </rPh>
    <rPh sb="17" eb="19">
      <t>ウラワ</t>
    </rPh>
    <rPh sb="19" eb="21">
      <t>ミソノ</t>
    </rPh>
    <rPh sb="21" eb="22">
      <t>エキ</t>
    </rPh>
    <rPh sb="23" eb="24">
      <t>イキ</t>
    </rPh>
    <rPh sb="27" eb="29">
      <t>ソメヤ</t>
    </rPh>
    <rPh sb="29" eb="31">
      <t>シンドウ</t>
    </rPh>
    <rPh sb="32" eb="34">
      <t>ゲシャ</t>
    </rPh>
    <rPh sb="34" eb="36">
      <t>トホ</t>
    </rPh>
    <rPh sb="38" eb="39">
      <t>プン</t>
    </rPh>
    <rPh sb="68" eb="70">
      <t>キュウシ</t>
    </rPh>
    <phoneticPr fontId="2"/>
  </si>
  <si>
    <t>リフリー</t>
    <phoneticPr fontId="2"/>
  </si>
  <si>
    <t>サンフォレスト千間台</t>
    <rPh sb="7" eb="10">
      <t>センゲンダイ</t>
    </rPh>
    <phoneticPr fontId="2"/>
  </si>
  <si>
    <t>048-972-6896</t>
    <phoneticPr fontId="2"/>
  </si>
  <si>
    <t>048-972-6796</t>
    <phoneticPr fontId="2"/>
  </si>
  <si>
    <t>つむぎカルディア</t>
    <phoneticPr fontId="2"/>
  </si>
  <si>
    <t>048-984-7100</t>
    <phoneticPr fontId="2"/>
  </si>
  <si>
    <t>048-984-7110</t>
    <phoneticPr fontId="2"/>
  </si>
  <si>
    <t>東部スカイツリーラインせんげん台駅徒歩3分</t>
    <rPh sb="0" eb="2">
      <t>トウブ</t>
    </rPh>
    <rPh sb="15" eb="16">
      <t>ダイ</t>
    </rPh>
    <rPh sb="16" eb="17">
      <t>エキ</t>
    </rPh>
    <rPh sb="17" eb="19">
      <t>トホ</t>
    </rPh>
    <rPh sb="20" eb="21">
      <t>プン</t>
    </rPh>
    <phoneticPr fontId="2"/>
  </si>
  <si>
    <t>千間台西1-8-7　IKビル101</t>
    <rPh sb="0" eb="3">
      <t>センゲンダイ</t>
    </rPh>
    <rPh sb="3" eb="4">
      <t>ニシ</t>
    </rPh>
    <phoneticPr fontId="2"/>
  </si>
  <si>
    <t>千間台東2-361-6 ヴィーナスフォートせんげん台101</t>
    <phoneticPr fontId="2"/>
  </si>
  <si>
    <t>千間台東1-5-14</t>
    <phoneticPr fontId="2"/>
  </si>
  <si>
    <t>喜多町１４－１０　S・P所沢ビル</t>
    <rPh sb="0" eb="3">
      <t>キタマチ</t>
    </rPh>
    <rPh sb="12" eb="14">
      <t>トコロザワ</t>
    </rPh>
    <phoneticPr fontId="2"/>
  </si>
  <si>
    <t>芦山町１０－１　セゾン芦山1階</t>
    <rPh sb="0" eb="3">
      <t>アシヤママチ</t>
    </rPh>
    <rPh sb="11" eb="13">
      <t>アシヤマ</t>
    </rPh>
    <rPh sb="14" eb="15">
      <t>カイ</t>
    </rPh>
    <phoneticPr fontId="2"/>
  </si>
  <si>
    <t>千代田2丁目16-16-5</t>
    <rPh sb="0" eb="3">
      <t>チヨダ</t>
    </rPh>
    <rPh sb="4" eb="6">
      <t>チョウメ</t>
    </rPh>
    <phoneticPr fontId="2"/>
  </si>
  <si>
    <t>柳崎一丁目１３番２９</t>
    <rPh sb="0" eb="2">
      <t>やなぎさき</t>
    </rPh>
    <rPh sb="2" eb="5">
      <t>いっちょうめ</t>
    </rPh>
    <rPh sb="7" eb="8">
      <t>ばん</t>
    </rPh>
    <phoneticPr fontId="20" type="Hiragana"/>
  </si>
  <si>
    <t>加美町１３－４１</t>
    <rPh sb="0" eb="3">
      <t>カミチョウ</t>
    </rPh>
    <phoneticPr fontId="2"/>
  </si>
  <si>
    <t>前上町14-1</t>
    <rPh sb="0" eb="3">
      <t>まえかみちょう</t>
    </rPh>
    <phoneticPr fontId="2" type="Hiragana"/>
  </si>
  <si>
    <t>安行領根岸480-1</t>
    <rPh sb="0" eb="2">
      <t>あんぎょう</t>
    </rPh>
    <rPh sb="2" eb="3">
      <t>りょう</t>
    </rPh>
    <rPh sb="3" eb="5">
      <t>ねぎし</t>
    </rPh>
    <phoneticPr fontId="20" type="Hiragana"/>
  </si>
  <si>
    <t>芝新町5-16第五福ビル2Ｆ</t>
    <rPh sb="0" eb="3">
      <t>しばしんまち</t>
    </rPh>
    <rPh sb="7" eb="8">
      <t>だい</t>
    </rPh>
    <rPh sb="8" eb="10">
      <t>ごふく</t>
    </rPh>
    <phoneticPr fontId="20" type="Hiragana"/>
  </si>
  <si>
    <t>東川口4-25-27　オーユーパレス102</t>
    <rPh sb="0" eb="1">
      <t>ひがし</t>
    </rPh>
    <rPh sb="1" eb="3">
      <t>かわぐち</t>
    </rPh>
    <phoneticPr fontId="20" type="Hiragana"/>
  </si>
  <si>
    <t>戸塚東3-12-13</t>
    <rPh sb="0" eb="2">
      <t>とつか</t>
    </rPh>
    <rPh sb="1" eb="2">
      <t>かわと</t>
    </rPh>
    <rPh sb="2" eb="3">
      <t>ひがし</t>
    </rPh>
    <phoneticPr fontId="20" type="Hiragana"/>
  </si>
  <si>
    <t>戸塚東1-27-14　リエス東川口１F</t>
    <rPh sb="0" eb="2">
      <t>とつか</t>
    </rPh>
    <rPh sb="2" eb="3">
      <t>ひがし</t>
    </rPh>
    <rPh sb="14" eb="17">
      <t>ひがしかわぐち</t>
    </rPh>
    <phoneticPr fontId="20" type="Hiragana"/>
  </si>
  <si>
    <t>新井宿833-1</t>
    <rPh sb="0" eb="2">
      <t>あらい</t>
    </rPh>
    <rPh sb="2" eb="3">
      <t>じゅく</t>
    </rPh>
    <phoneticPr fontId="20" type="Hiragana"/>
  </si>
  <si>
    <t>栄町3-4-1大島ビル301</t>
    <rPh sb="0" eb="2">
      <t>えいまち</t>
    </rPh>
    <rPh sb="7" eb="9">
      <t>おおしま</t>
    </rPh>
    <phoneticPr fontId="20" type="Hiragana"/>
  </si>
  <si>
    <t>東川口1-15-5</t>
    <rPh sb="0" eb="1">
      <t>ひがし</t>
    </rPh>
    <rPh sb="1" eb="3">
      <t>かわぐち</t>
    </rPh>
    <phoneticPr fontId="2" type="Hiragana"/>
  </si>
  <si>
    <t>北原台1-15-8</t>
    <rPh sb="0" eb="2">
      <t>きたはら</t>
    </rPh>
    <rPh sb="2" eb="3">
      <t>だい</t>
    </rPh>
    <phoneticPr fontId="2" type="Hiragana"/>
  </si>
  <si>
    <t>上青木西2-6-15　1階</t>
    <rPh sb="0" eb="3">
      <t>かみあおき</t>
    </rPh>
    <rPh sb="3" eb="4">
      <t>にし</t>
    </rPh>
    <rPh sb="12" eb="13">
      <t>かい</t>
    </rPh>
    <phoneticPr fontId="20" type="Hiragana"/>
  </si>
  <si>
    <t>北園町15-9　サンパティオ302</t>
    <rPh sb="0" eb="3">
      <t>きたぞのちょう</t>
    </rPh>
    <phoneticPr fontId="20" type="Hiragana"/>
  </si>
  <si>
    <t>並木1-27-6</t>
    <rPh sb="0" eb="2">
      <t>なみき</t>
    </rPh>
    <phoneticPr fontId="20" type="Hiragana"/>
  </si>
  <si>
    <t>里1125</t>
    <rPh sb="0" eb="1">
      <t>さと</t>
    </rPh>
    <phoneticPr fontId="20" type="Hiragana"/>
  </si>
  <si>
    <t>道合1421</t>
    <rPh sb="0" eb="2">
      <t>みちあい</t>
    </rPh>
    <phoneticPr fontId="20" type="Hiragana"/>
  </si>
  <si>
    <t>赤井４－２０－１１</t>
    <rPh sb="0" eb="2">
      <t>あかい</t>
    </rPh>
    <phoneticPr fontId="20" type="Hiragana"/>
  </si>
  <si>
    <t>東領家４－１１－２３　２階</t>
    <rPh sb="0" eb="3">
      <t>ひがしりょうけ</t>
    </rPh>
    <rPh sb="12" eb="13">
      <t>かい</t>
    </rPh>
    <phoneticPr fontId="20" type="Hiragana"/>
  </si>
  <si>
    <t>（株）孫の手</t>
    <rPh sb="0" eb="3">
      <t>カブ</t>
    </rPh>
    <rPh sb="3" eb="4">
      <t>マゴ</t>
    </rPh>
    <rPh sb="5" eb="6">
      <t>テ</t>
    </rPh>
    <phoneticPr fontId="2"/>
  </si>
  <si>
    <t>（株）アトラクションホーム</t>
    <rPh sb="0" eb="3">
      <t>カブ</t>
    </rPh>
    <phoneticPr fontId="2"/>
  </si>
  <si>
    <t>（株）エスペランサ</t>
    <rPh sb="0" eb="3">
      <t>カブ</t>
    </rPh>
    <phoneticPr fontId="2"/>
  </si>
  <si>
    <t>（同）グローバル・マンパワー</t>
    <rPh sb="1" eb="2">
      <t>ドウ</t>
    </rPh>
    <phoneticPr fontId="2"/>
  </si>
  <si>
    <t>（特非）萌友</t>
    <rPh sb="1" eb="2">
      <t>トク</t>
    </rPh>
    <rPh sb="2" eb="3">
      <t>ヒ</t>
    </rPh>
    <rPh sb="4" eb="5">
      <t>モエ</t>
    </rPh>
    <rPh sb="5" eb="6">
      <t>トモ</t>
    </rPh>
    <phoneticPr fontId="2"/>
  </si>
  <si>
    <t>東食品(株)</t>
    <rPh sb="0" eb="1">
      <t>アズマ</t>
    </rPh>
    <rPh sb="1" eb="3">
      <t>ショクヒン</t>
    </rPh>
    <phoneticPr fontId="2"/>
  </si>
  <si>
    <t>(株)ビバハウス</t>
  </si>
  <si>
    <t>(株)ビバハウス</t>
    <phoneticPr fontId="2"/>
  </si>
  <si>
    <t>(株)ｐｏｆｍ</t>
    <rPh sb="0" eb="3">
      <t>カブ</t>
    </rPh>
    <phoneticPr fontId="2"/>
  </si>
  <si>
    <t>(株)万樹</t>
    <rPh sb="3" eb="4">
      <t>マン</t>
    </rPh>
    <rPh sb="4" eb="5">
      <t>キ</t>
    </rPh>
    <phoneticPr fontId="2"/>
  </si>
  <si>
    <t>WOOOLY(株)</t>
  </si>
  <si>
    <t>WOOOLY(株)</t>
    <phoneticPr fontId="2"/>
  </si>
  <si>
    <t>(株)綜合キャリアトラスト</t>
    <rPh sb="3" eb="5">
      <t>そうごう</t>
    </rPh>
    <phoneticPr fontId="2" type="Hiragana"/>
  </si>
  <si>
    <t>G＆F(株)</t>
  </si>
  <si>
    <t>アッシュリー(株)</t>
  </si>
  <si>
    <t>(株)アイ・エヌ・ジー</t>
  </si>
  <si>
    <t>(株)pofm</t>
  </si>
  <si>
    <t>(株)シャローム</t>
  </si>
  <si>
    <t>(株)ディアリンクス</t>
  </si>
  <si>
    <t>(株)あしたの花</t>
  </si>
  <si>
    <t>(株)あしたの花</t>
    <rPh sb="7" eb="8">
      <t>ハナ</t>
    </rPh>
    <phoneticPr fontId="2"/>
  </si>
  <si>
    <t>(株)ステップアップ</t>
  </si>
  <si>
    <t>(株)キャリア・サポート・パートナーズ</t>
  </si>
  <si>
    <t>(株)ＫｉｎｇＭａｋｅｒｓ</t>
  </si>
  <si>
    <t>(株)健生</t>
    <rPh sb="3" eb="4">
      <t>ケン</t>
    </rPh>
    <rPh sb="4" eb="5">
      <t>ショウ</t>
    </rPh>
    <phoneticPr fontId="2"/>
  </si>
  <si>
    <t>(株)モードファイブ</t>
  </si>
  <si>
    <t>(株)SANN</t>
  </si>
  <si>
    <t>(株)旭野</t>
    <rPh sb="3" eb="5">
      <t>アサヒノ</t>
    </rPh>
    <phoneticPr fontId="2"/>
  </si>
  <si>
    <t>(株)サンビック</t>
  </si>
  <si>
    <t>(株)Connect</t>
  </si>
  <si>
    <t>ＥＡＣＨ　ＳＴＡＲ(株)</t>
  </si>
  <si>
    <t>(株)ＴＡＮＴＡＮ</t>
  </si>
  <si>
    <t>(株)定信</t>
  </si>
  <si>
    <t>ＫＴＢ(株)</t>
  </si>
  <si>
    <t>(株)ＬＩＴＡＬＩＣＯパートナーズ</t>
  </si>
  <si>
    <t>(株)リズム</t>
  </si>
  <si>
    <t>(株)石田経営計理</t>
    <rPh sb="3" eb="5">
      <t>イシダ</t>
    </rPh>
    <rPh sb="5" eb="7">
      <t>ケイエイ</t>
    </rPh>
    <rPh sb="7" eb="9">
      <t>ケイリ</t>
    </rPh>
    <phoneticPr fontId="5"/>
  </si>
  <si>
    <t>Ｌｉｆｅ　Ｓｅｅｄ(株)</t>
  </si>
  <si>
    <t>すみしあケア(株)</t>
  </si>
  <si>
    <t>(株)きぼう</t>
  </si>
  <si>
    <t>(株)吉田フロアー</t>
    <rPh sb="3" eb="5">
      <t>よしだ</t>
    </rPh>
    <phoneticPr fontId="2" type="Hiragana"/>
  </si>
  <si>
    <t>(株)ハーベストプラン</t>
  </si>
  <si>
    <t>(株)一爽</t>
  </si>
  <si>
    <t>ＡＨＣグループ(株)</t>
  </si>
  <si>
    <t>(株)サークルエイト</t>
  </si>
  <si>
    <t>(株)かすがい</t>
  </si>
  <si>
    <t>(株)デジタルヘルス</t>
  </si>
  <si>
    <t>(株)　生きいき</t>
    <rPh sb="4" eb="5">
      <t>い</t>
    </rPh>
    <phoneticPr fontId="2" type="Hiragana"/>
  </si>
  <si>
    <t>ウェルビー(株)</t>
  </si>
  <si>
    <t>ウェルビー(株)</t>
    <phoneticPr fontId="20" type="Hiragana"/>
  </si>
  <si>
    <t>(株)パーソルチャレンジ</t>
    <phoneticPr fontId="2" type="Hiragana"/>
  </si>
  <si>
    <t>(株)リズム</t>
    <phoneticPr fontId="2" type="Hiragana"/>
  </si>
  <si>
    <t>(株)グランメル</t>
    <phoneticPr fontId="2" type="Hiragana"/>
  </si>
  <si>
    <t>(株)ＰＹＣ</t>
    <phoneticPr fontId="2" type="Hiragana"/>
  </si>
  <si>
    <t>(株)ヤマモリ</t>
    <phoneticPr fontId="2" type="Hiragana"/>
  </si>
  <si>
    <t>ウェルビー(株)</t>
    <phoneticPr fontId="2" type="Hiragana"/>
  </si>
  <si>
    <t>くるみ(株)</t>
    <phoneticPr fontId="2" type="Hiragana"/>
  </si>
  <si>
    <t>(株)ファン・アシスト・ワーク</t>
    <phoneticPr fontId="20" type="Hiragana"/>
  </si>
  <si>
    <t>ＰＬＵＳケアサービス
(株)</t>
    <phoneticPr fontId="2" type="Hiragana"/>
  </si>
  <si>
    <t>(株)ＴｈｒｅｅＱｕａｒｔｅｒ</t>
    <phoneticPr fontId="2" type="Hiragana"/>
  </si>
  <si>
    <t>(株)ユーエイチ</t>
    <phoneticPr fontId="2" type="Hiragana"/>
  </si>
  <si>
    <t>(株)ユーエイチ</t>
    <phoneticPr fontId="20" type="Hiragana"/>
  </si>
  <si>
    <t>(株)Ｍｅｌｔｈ</t>
    <phoneticPr fontId="2" type="Hiragana"/>
  </si>
  <si>
    <t>(株)エスリード</t>
    <phoneticPr fontId="2" type="Hiragana"/>
  </si>
  <si>
    <t>(株)ＧＡＭ</t>
    <phoneticPr fontId="2" type="Hiragana"/>
  </si>
  <si>
    <t>(株)エンクルー</t>
    <phoneticPr fontId="2" type="Hiragana"/>
  </si>
  <si>
    <t>(株)ＡＮＤＳＭＩＬＥ</t>
    <phoneticPr fontId="20" type="Hiragana"/>
  </si>
  <si>
    <t>(株)東都広告</t>
    <rPh sb="3" eb="5">
      <t>とうと</t>
    </rPh>
    <rPh sb="5" eb="7">
      <t>こうこく</t>
    </rPh>
    <phoneticPr fontId="20" type="Hiragana"/>
  </si>
  <si>
    <t>(株)ＬＩＴＡＬＩＣＯパートナーズ</t>
    <phoneticPr fontId="2" type="Hiragana"/>
  </si>
  <si>
    <t>(株)リハスホープ</t>
    <phoneticPr fontId="20" type="Hiragana"/>
  </si>
  <si>
    <t>(株)アンドツリー</t>
    <phoneticPr fontId="20" type="Hiragana"/>
  </si>
  <si>
    <t>コーセー(株)</t>
    <phoneticPr fontId="20" type="Hiragana"/>
  </si>
  <si>
    <t>(株)モードファイブ</t>
    <phoneticPr fontId="20" type="Hiragana"/>
  </si>
  <si>
    <t>(株)Wings</t>
    <phoneticPr fontId="20" type="Hiragana"/>
  </si>
  <si>
    <t>ＩＴグループ(株)</t>
    <phoneticPr fontId="20" type="Hiragana"/>
  </si>
  <si>
    <t>(株)コロネット</t>
    <phoneticPr fontId="2" type="Hiragana"/>
  </si>
  <si>
    <t>サンフォレスト(株)</t>
    <phoneticPr fontId="20" type="Hiragana"/>
  </si>
  <si>
    <t>(株)ファン・アシスト・ライフ</t>
    <phoneticPr fontId="2" type="Hiragana"/>
  </si>
  <si>
    <t>(株)SMILE</t>
    <phoneticPr fontId="20" type="Hiragana"/>
  </si>
  <si>
    <t>(株)ＡＲＵＡＩＹＵ</t>
    <phoneticPr fontId="20" type="Hiragana"/>
  </si>
  <si>
    <t>ＩＮＳＰＩＲＥ(株)</t>
    <phoneticPr fontId="33"/>
  </si>
  <si>
    <t>(株)ココルポート</t>
    <phoneticPr fontId="2"/>
  </si>
  <si>
    <t>幸せラボ(株)</t>
    <rPh sb="0" eb="1">
      <t>シアワ</t>
    </rPh>
    <phoneticPr fontId="2"/>
  </si>
  <si>
    <t>(株)こまち</t>
    <phoneticPr fontId="2"/>
  </si>
  <si>
    <t>(株)　小春日和</t>
    <rPh sb="4" eb="6">
      <t>コハル</t>
    </rPh>
    <rPh sb="6" eb="8">
      <t>ビヨリ</t>
    </rPh>
    <phoneticPr fontId="2"/>
  </si>
  <si>
    <t>インクルード(株)</t>
  </si>
  <si>
    <t>(株)アニスピホールディングス</t>
    <phoneticPr fontId="2"/>
  </si>
  <si>
    <t>(株)Rodina</t>
    <phoneticPr fontId="2"/>
  </si>
  <si>
    <t>(株)alife</t>
    <phoneticPr fontId="33"/>
  </si>
  <si>
    <t>(株)リンクス</t>
    <phoneticPr fontId="33"/>
  </si>
  <si>
    <t>(株)ITF</t>
    <phoneticPr fontId="33"/>
  </si>
  <si>
    <t>(株)クリエイト・ケア</t>
    <phoneticPr fontId="33"/>
  </si>
  <si>
    <t>(株)アライズ</t>
    <phoneticPr fontId="33"/>
  </si>
  <si>
    <t>ITグループ(株)</t>
    <phoneticPr fontId="33"/>
  </si>
  <si>
    <t>(株)XROS</t>
    <phoneticPr fontId="33"/>
  </si>
  <si>
    <t>メンタルヘルスDX(株)</t>
    <phoneticPr fontId="33"/>
  </si>
  <si>
    <t>(株)ライフサービス</t>
  </si>
  <si>
    <t>(株)ライフサービス</t>
    <phoneticPr fontId="33"/>
  </si>
  <si>
    <t>(株)ワークデザインセンター</t>
    <phoneticPr fontId="33"/>
  </si>
  <si>
    <t>LIBsConnect(株)</t>
  </si>
  <si>
    <t>(株)manaby</t>
    <phoneticPr fontId="1"/>
  </si>
  <si>
    <t>(株)visum</t>
  </si>
  <si>
    <t>(株)visum</t>
    <phoneticPr fontId="33"/>
  </si>
  <si>
    <t>(株)Kaien</t>
  </si>
  <si>
    <t>(株)コエル</t>
  </si>
  <si>
    <t>(株)フードコンサルティング</t>
    <phoneticPr fontId="33"/>
  </si>
  <si>
    <t>(株)カルディアコーポレーション</t>
    <phoneticPr fontId="2"/>
  </si>
  <si>
    <t>ウェルビー(株)</t>
    <phoneticPr fontId="2"/>
  </si>
  <si>
    <t>ＡＳバークレー(株)</t>
    <phoneticPr fontId="2"/>
  </si>
  <si>
    <t>JOYエンタープライズ(株)</t>
    <phoneticPr fontId="2"/>
  </si>
  <si>
    <t>(株)リズム</t>
    <phoneticPr fontId="2"/>
  </si>
  <si>
    <t>クオリティー(株)</t>
    <phoneticPr fontId="2"/>
  </si>
  <si>
    <t>ＷＯＯＯＬＹ(株)</t>
  </si>
  <si>
    <t>(株)ＬＩＴＡＬＩＣＯ</t>
    <phoneticPr fontId="2"/>
  </si>
  <si>
    <t>コスモプラス(株)</t>
    <phoneticPr fontId="2"/>
  </si>
  <si>
    <t>あいおい保険ワールド(株)</t>
    <rPh sb="4" eb="6">
      <t>ホケン</t>
    </rPh>
    <phoneticPr fontId="2"/>
  </si>
  <si>
    <t>(株)やそきち</t>
    <phoneticPr fontId="2"/>
  </si>
  <si>
    <t>アイ・ケア(株)</t>
    <phoneticPr fontId="2"/>
  </si>
  <si>
    <t>(株)リンクス</t>
    <phoneticPr fontId="2"/>
  </si>
  <si>
    <t>(株)柳生ＲＰｌｕｓ</t>
    <rPh sb="3" eb="5">
      <t>ヤギュウ</t>
    </rPh>
    <phoneticPr fontId="2"/>
  </si>
  <si>
    <t>(株)ポップワールドＰＬＵＳ</t>
    <phoneticPr fontId="2"/>
  </si>
  <si>
    <t>(株)ドリームダブルコーポレーション</t>
    <phoneticPr fontId="2"/>
  </si>
  <si>
    <t>(株)ダイモンサービス</t>
    <phoneticPr fontId="2"/>
  </si>
  <si>
    <t>チャレンジドホームズ(株)</t>
    <phoneticPr fontId="2"/>
  </si>
  <si>
    <t>DENBA DISS(株)</t>
    <phoneticPr fontId="2"/>
  </si>
  <si>
    <t>(株)リップル</t>
    <phoneticPr fontId="2"/>
  </si>
  <si>
    <t>(株)stara</t>
    <phoneticPr fontId="2"/>
  </si>
  <si>
    <t>(株)ネクスクール</t>
    <phoneticPr fontId="2"/>
  </si>
  <si>
    <t>リレーション(株)</t>
    <phoneticPr fontId="2"/>
  </si>
  <si>
    <t>共生社会を創る(株)</t>
    <rPh sb="0" eb="4">
      <t>キョウセイシャカイ</t>
    </rPh>
    <rPh sb="5" eb="6">
      <t>ツク</t>
    </rPh>
    <phoneticPr fontId="2"/>
  </si>
  <si>
    <t>(株)柳生RPlus</t>
    <rPh sb="3" eb="5">
      <t>ヤギュウ</t>
    </rPh>
    <phoneticPr fontId="2"/>
  </si>
  <si>
    <t>ＩＴグループ(株)</t>
    <phoneticPr fontId="2"/>
  </si>
  <si>
    <t>(株)総合福祉</t>
    <rPh sb="3" eb="7">
      <t>ソウゴウフクシ</t>
    </rPh>
    <phoneticPr fontId="2"/>
  </si>
  <si>
    <t>(株)明光ウェルネス</t>
    <rPh sb="3" eb="5">
      <t>メイコウ</t>
    </rPh>
    <phoneticPr fontId="2"/>
  </si>
  <si>
    <t>フレンズ(株)</t>
    <phoneticPr fontId="2"/>
  </si>
  <si>
    <t>(株)ToDoCare</t>
    <phoneticPr fontId="2"/>
  </si>
  <si>
    <t>(株)　柳生RPlus</t>
    <rPh sb="4" eb="6">
      <t>ヤギュウ</t>
    </rPh>
    <phoneticPr fontId="2"/>
  </si>
  <si>
    <t>(株)ベストスマイル</t>
  </si>
  <si>
    <t>(株)aid</t>
    <phoneticPr fontId="2"/>
  </si>
  <si>
    <t>サンフォレスト(株)</t>
    <phoneticPr fontId="2"/>
  </si>
  <si>
    <t>(株)NORTHCREW</t>
    <phoneticPr fontId="2"/>
  </si>
  <si>
    <t>(株)あさひや</t>
    <phoneticPr fontId="2"/>
  </si>
  <si>
    <t>(株)クレセル</t>
    <phoneticPr fontId="2"/>
  </si>
  <si>
    <t>プラチナスプーン(株)</t>
    <phoneticPr fontId="33"/>
  </si>
  <si>
    <t>(株)アプト</t>
    <phoneticPr fontId="5"/>
  </si>
  <si>
    <t>(株)グローバルインクルージョン</t>
  </si>
  <si>
    <t>(株)astep</t>
    <phoneticPr fontId="2"/>
  </si>
  <si>
    <t>(株)　日東農業</t>
    <rPh sb="4" eb="8">
      <t>ニットウノウギョウ</t>
    </rPh>
    <phoneticPr fontId="2"/>
  </si>
  <si>
    <t>(株)ガイア</t>
    <phoneticPr fontId="2"/>
  </si>
  <si>
    <t>(株)　イチドキリ</t>
    <phoneticPr fontId="2"/>
  </si>
  <si>
    <t>(株)　東都広告</t>
    <rPh sb="4" eb="6">
      <t>トウト</t>
    </rPh>
    <rPh sb="6" eb="8">
      <t>コウコク</t>
    </rPh>
    <phoneticPr fontId="2"/>
  </si>
  <si>
    <t>(株)ＬＩＴＡＬＩＣＯ</t>
    <phoneticPr fontId="33"/>
  </si>
  <si>
    <t>(株)まはろ</t>
    <phoneticPr fontId="34"/>
  </si>
  <si>
    <t>(株)Lipalette</t>
    <phoneticPr fontId="2"/>
  </si>
  <si>
    <t>(株)TooM</t>
    <phoneticPr fontId="2"/>
  </si>
  <si>
    <t>(株)メルフィス</t>
    <phoneticPr fontId="2"/>
  </si>
  <si>
    <t>(株)Lily</t>
    <phoneticPr fontId="2"/>
  </si>
  <si>
    <t>(株)モードファイブ</t>
    <phoneticPr fontId="2"/>
  </si>
  <si>
    <t>(株)クレール</t>
    <phoneticPr fontId="2"/>
  </si>
  <si>
    <t>(株)ミナモト</t>
    <phoneticPr fontId="2"/>
  </si>
  <si>
    <t>(株)WELC</t>
    <phoneticPr fontId="2"/>
  </si>
  <si>
    <t>(株)Ｎｅｘｔ</t>
    <phoneticPr fontId="2"/>
  </si>
  <si>
    <t>(株)メガテラフーズ
東松山第１事業所</t>
    <rPh sb="11" eb="12">
      <t>ヒガシ</t>
    </rPh>
    <rPh sb="12" eb="14">
      <t>マツヤマ</t>
    </rPh>
    <rPh sb="14" eb="15">
      <t>ダイ</t>
    </rPh>
    <rPh sb="16" eb="19">
      <t>ジギョウショ</t>
    </rPh>
    <phoneticPr fontId="2"/>
  </si>
  <si>
    <t>(株)サインポスト</t>
  </si>
  <si>
    <t>はなよりい(株)</t>
    <phoneticPr fontId="2"/>
  </si>
  <si>
    <t>(株)GENKI　INNOVATION
COMPANY</t>
    <phoneticPr fontId="2"/>
  </si>
  <si>
    <t>(株)４LEEF</t>
    <phoneticPr fontId="33"/>
  </si>
  <si>
    <t>(株)フルライセンス</t>
    <phoneticPr fontId="2"/>
  </si>
  <si>
    <t>(株)333Life-Care</t>
    <phoneticPr fontId="33"/>
  </si>
  <si>
    <t>(株)ヴェルペンファルマ</t>
    <phoneticPr fontId="2"/>
  </si>
  <si>
    <t>(株)ハマウラ福祉工場</t>
  </si>
  <si>
    <t>(株)ハート＆アート</t>
    <phoneticPr fontId="36"/>
  </si>
  <si>
    <t>(株)チャレンジドジャパン</t>
    <phoneticPr fontId="3"/>
  </si>
  <si>
    <t>パーソルダイバース(株)</t>
    <phoneticPr fontId="38"/>
  </si>
  <si>
    <t>(株)学研スマイルハートフルＡ　さいたまセンター</t>
    <rPh sb="3" eb="5">
      <t>ガッケン</t>
    </rPh>
    <phoneticPr fontId="5"/>
  </si>
  <si>
    <t>(株)チャレンジドジャパン</t>
    <phoneticPr fontId="5"/>
  </si>
  <si>
    <t>(株)ｂｌｏｏｍ</t>
    <phoneticPr fontId="36"/>
  </si>
  <si>
    <t>(株)ココルポート</t>
    <phoneticPr fontId="5"/>
  </si>
  <si>
    <t>WOOOLY(株)</t>
    <phoneticPr fontId="5"/>
  </si>
  <si>
    <t>(株)Kaien</t>
    <phoneticPr fontId="5"/>
  </si>
  <si>
    <t>(株)ゼネラルパートナーズ</t>
    <phoneticPr fontId="5"/>
  </si>
  <si>
    <t>(株)ライフサービス</t>
    <phoneticPr fontId="5"/>
  </si>
  <si>
    <t>(株)ティーブレイス</t>
    <phoneticPr fontId="5"/>
  </si>
  <si>
    <t>(株)Rodina</t>
    <phoneticPr fontId="3"/>
  </si>
  <si>
    <t>(株)プロペラジャパン</t>
    <phoneticPr fontId="5"/>
  </si>
  <si>
    <t>(株)スタートライン</t>
    <phoneticPr fontId="5"/>
  </si>
  <si>
    <t>(株)ＬＩＴＡＬＩＣＯパートナーズ</t>
    <phoneticPr fontId="40"/>
  </si>
  <si>
    <t>(株)リハス</t>
  </si>
  <si>
    <t>(株)ワンダフル</t>
    <phoneticPr fontId="36"/>
  </si>
  <si>
    <t>(株)lit</t>
    <phoneticPr fontId="36"/>
  </si>
  <si>
    <t>(株)Rodina</t>
    <phoneticPr fontId="42"/>
  </si>
  <si>
    <t>ウェルビー(株)</t>
    <phoneticPr fontId="38"/>
  </si>
  <si>
    <t>(株)Rodina</t>
    <phoneticPr fontId="38"/>
  </si>
  <si>
    <t>(株)manaby</t>
    <phoneticPr fontId="40"/>
  </si>
  <si>
    <t>インクルード(株)</t>
    <phoneticPr fontId="40"/>
  </si>
  <si>
    <t>(株)国土信和</t>
    <rPh sb="3" eb="5">
      <t>コクド</t>
    </rPh>
    <rPh sb="5" eb="7">
      <t>シンワ</t>
    </rPh>
    <phoneticPr fontId="36"/>
  </si>
  <si>
    <t>(株)サイクツ</t>
    <phoneticPr fontId="36"/>
  </si>
  <si>
    <t>(株)スーパーモード</t>
    <phoneticPr fontId="36"/>
  </si>
  <si>
    <t>笑門ウェルフェア(株)</t>
    <rPh sb="0" eb="1">
      <t>ワライ</t>
    </rPh>
    <rPh sb="1" eb="2">
      <t>モン</t>
    </rPh>
    <phoneticPr fontId="36"/>
  </si>
  <si>
    <t>(株)KANAU-LAB</t>
  </si>
  <si>
    <t>(株)KANAU-LAB</t>
    <phoneticPr fontId="36"/>
  </si>
  <si>
    <t>(株)リウェル</t>
    <phoneticPr fontId="5"/>
  </si>
  <si>
    <t>Ｋｉｒａｃｕ(株)</t>
    <phoneticPr fontId="36"/>
  </si>
  <si>
    <t>(株)ココルポート</t>
    <phoneticPr fontId="36"/>
  </si>
  <si>
    <t>(株)フルオール</t>
    <phoneticPr fontId="36"/>
  </si>
  <si>
    <t>(株)プラネット</t>
  </si>
  <si>
    <t>(株)ハート＆アート</t>
    <phoneticPr fontId="5"/>
  </si>
  <si>
    <t>(株)インクル</t>
    <phoneticPr fontId="5"/>
  </si>
  <si>
    <t>(株)KANAU-LAB</t>
    <phoneticPr fontId="5"/>
  </si>
  <si>
    <t>(株)リンクス</t>
    <phoneticPr fontId="36"/>
  </si>
  <si>
    <t>(株)リハス</t>
    <phoneticPr fontId="5"/>
  </si>
  <si>
    <t>(株)SkillFul</t>
    <phoneticPr fontId="5"/>
  </si>
  <si>
    <t>(株)サイクツ</t>
    <phoneticPr fontId="5"/>
  </si>
  <si>
    <t>(株)アイヲン</t>
    <phoneticPr fontId="5"/>
  </si>
  <si>
    <t>SAKURA United Solution(株)</t>
    <phoneticPr fontId="5"/>
  </si>
  <si>
    <t>埼玉障害者支援マネジメント(株)</t>
    <rPh sb="0" eb="2">
      <t>サイタマ</t>
    </rPh>
    <rPh sb="2" eb="5">
      <t>ショウガイシャ</t>
    </rPh>
    <rPh sb="5" eb="7">
      <t>シエン</t>
    </rPh>
    <phoneticPr fontId="5"/>
  </si>
  <si>
    <t>(株)LITALICOパートナーズ</t>
  </si>
  <si>
    <t>(株)Prevision-Consulting</t>
    <phoneticPr fontId="5"/>
  </si>
  <si>
    <t>(株)ＷＥＳＴＲＯＣＫ</t>
    <phoneticPr fontId="2"/>
  </si>
  <si>
    <t>(株)KANAU-LAB</t>
    <phoneticPr fontId="2"/>
  </si>
  <si>
    <t>(株)ゆるやかステップ</t>
    <phoneticPr fontId="2"/>
  </si>
  <si>
    <t>(株)ゆたかカレッジ</t>
    <phoneticPr fontId="2"/>
  </si>
  <si>
    <t>(株)東都広告</t>
    <rPh sb="3" eb="5">
      <t>トウト</t>
    </rPh>
    <rPh sb="5" eb="7">
      <t>コウコク</t>
    </rPh>
    <phoneticPr fontId="2"/>
  </si>
  <si>
    <t>(株)スタートライン</t>
    <phoneticPr fontId="8"/>
  </si>
  <si>
    <t>(株)ウェルリンク</t>
    <phoneticPr fontId="2"/>
  </si>
  <si>
    <t>(株)ラフォンテ</t>
    <phoneticPr fontId="5"/>
  </si>
  <si>
    <t>(株)はるとな</t>
    <phoneticPr fontId="5"/>
  </si>
  <si>
    <t>ウェルビー(株)</t>
    <phoneticPr fontId="7"/>
  </si>
  <si>
    <t>(株)NeoWorｋ</t>
    <phoneticPr fontId="36"/>
  </si>
  <si>
    <t>(株)キズキ</t>
    <phoneticPr fontId="38"/>
  </si>
  <si>
    <t>(株)和道</t>
    <rPh sb="3" eb="5">
      <t>ワドウ</t>
    </rPh>
    <phoneticPr fontId="36"/>
  </si>
  <si>
    <t>(株)悠惺</t>
    <rPh sb="3" eb="4">
      <t>ユウ</t>
    </rPh>
    <rPh sb="4" eb="5">
      <t>サト</t>
    </rPh>
    <phoneticPr fontId="36"/>
  </si>
  <si>
    <t>(株)ライフサービス</t>
    <phoneticPr fontId="36"/>
  </si>
  <si>
    <t>(株)KANAU-LAB</t>
    <phoneticPr fontId="37"/>
  </si>
  <si>
    <t>(株)ハグスリー</t>
    <phoneticPr fontId="2"/>
  </si>
  <si>
    <t>(株)LITALICOパートナーズ</t>
    <phoneticPr fontId="2"/>
  </si>
  <si>
    <t>(株)チャレンジドジャパン</t>
    <phoneticPr fontId="7"/>
  </si>
  <si>
    <t>フィールドビフォー(株)</t>
    <phoneticPr fontId="5"/>
  </si>
  <si>
    <t>(株)スタートライン</t>
    <phoneticPr fontId="7"/>
  </si>
  <si>
    <t>(株)エバプラ</t>
    <phoneticPr fontId="7"/>
  </si>
  <si>
    <t>サンフォレスト(株)</t>
    <phoneticPr fontId="7"/>
  </si>
  <si>
    <t>(株)ＵＬＴ</t>
    <phoneticPr fontId="5"/>
  </si>
  <si>
    <t>(株)ティーブレイス</t>
    <phoneticPr fontId="7"/>
  </si>
  <si>
    <t>デコボコワークス(株)</t>
    <phoneticPr fontId="5"/>
  </si>
  <si>
    <t>(株)NeoWork</t>
    <phoneticPr fontId="5"/>
  </si>
  <si>
    <t>(株)KANAU-LAB</t>
    <phoneticPr fontId="7"/>
  </si>
  <si>
    <t>(株)MIRAIz</t>
    <phoneticPr fontId="7"/>
  </si>
  <si>
    <t>(株)アルファライズ</t>
    <phoneticPr fontId="7"/>
  </si>
  <si>
    <t>(株)MARU</t>
    <phoneticPr fontId="5"/>
  </si>
  <si>
    <t>(株)ライトハウス</t>
    <phoneticPr fontId="5"/>
  </si>
  <si>
    <t>(株)バース</t>
    <phoneticPr fontId="5"/>
  </si>
  <si>
    <t>オールステージ(株)</t>
    <phoneticPr fontId="5"/>
  </si>
  <si>
    <t>(株)RESTA</t>
    <phoneticPr fontId="5"/>
  </si>
  <si>
    <t>北方天(株)</t>
    <rPh sb="0" eb="1">
      <t>キタ</t>
    </rPh>
    <rPh sb="1" eb="2">
      <t>ホウ</t>
    </rPh>
    <rPh sb="2" eb="3">
      <t>テン</t>
    </rPh>
    <phoneticPr fontId="5"/>
  </si>
  <si>
    <t>(株)チャレンジプラットフォーム</t>
    <phoneticPr fontId="5"/>
  </si>
  <si>
    <t>さいたま福祉会(株)</t>
    <rPh sb="4" eb="6">
      <t>フクシ</t>
    </rPh>
    <rPh sb="6" eb="7">
      <t>カイ</t>
    </rPh>
    <phoneticPr fontId="2"/>
  </si>
  <si>
    <t>(株)八雲</t>
    <rPh sb="3" eb="4">
      <t>ハチ</t>
    </rPh>
    <rPh sb="4" eb="5">
      <t>クモ</t>
    </rPh>
    <phoneticPr fontId="2"/>
  </si>
  <si>
    <t>(株)地域福祉サービス</t>
    <rPh sb="3" eb="5">
      <t>チイキ</t>
    </rPh>
    <rPh sb="5" eb="7">
      <t>フクシ</t>
    </rPh>
    <phoneticPr fontId="2"/>
  </si>
  <si>
    <t>(株)クラ・ゼミ</t>
    <phoneticPr fontId="2"/>
  </si>
  <si>
    <t>(株)エスリード</t>
    <phoneticPr fontId="2"/>
  </si>
  <si>
    <t>ReNATus(株)</t>
    <phoneticPr fontId="2"/>
  </si>
  <si>
    <t>(株)　atimo</t>
    <phoneticPr fontId="2"/>
  </si>
  <si>
    <t>(株)visum</t>
    <phoneticPr fontId="2"/>
  </si>
  <si>
    <t>(株)シムレス</t>
    <phoneticPr fontId="2"/>
  </si>
  <si>
    <t>(株)ジョイセカンド</t>
    <phoneticPr fontId="2"/>
  </si>
  <si>
    <t>(株)佳香</t>
    <rPh sb="3" eb="4">
      <t>けい</t>
    </rPh>
    <rPh sb="4" eb="5">
      <t>か</t>
    </rPh>
    <phoneticPr fontId="2" type="Hiragana"/>
  </si>
  <si>
    <t>(株)Ｊ－ＮＥＸＵＳ</t>
    <phoneticPr fontId="20" type="Hiragana"/>
  </si>
  <si>
    <t>ソーシャルインクルー(株)</t>
  </si>
  <si>
    <t>ソーシャルインクルー(株)</t>
    <phoneticPr fontId="2" type="Hiragana"/>
  </si>
  <si>
    <t>(株)エクラシアＨＤ</t>
    <phoneticPr fontId="20" type="Hiragana"/>
  </si>
  <si>
    <t>ＲＪソーシャルケア東京
(株)</t>
    <rPh sb="9" eb="11">
      <t>とうきょう</t>
    </rPh>
    <phoneticPr fontId="20" type="Hiragana"/>
  </si>
  <si>
    <t>(株)恵</t>
    <rPh sb="3" eb="4">
      <t>めぐみ</t>
    </rPh>
    <phoneticPr fontId="39" type="Hiragana"/>
  </si>
  <si>
    <t>ソーシャルインクルー(株)</t>
    <phoneticPr fontId="2"/>
  </si>
  <si>
    <t>(株)エクラシア</t>
  </si>
  <si>
    <t>東食品(株)</t>
    <rPh sb="0" eb="3">
      <t>アズマショクヒン</t>
    </rPh>
    <phoneticPr fontId="2"/>
  </si>
  <si>
    <t>(株)まどか</t>
    <phoneticPr fontId="2"/>
  </si>
  <si>
    <t>(株)エクラシア</t>
    <phoneticPr fontId="2"/>
  </si>
  <si>
    <t>(株)INNOVEL HEALTHCARE</t>
    <phoneticPr fontId="2"/>
  </si>
  <si>
    <t>(株)ワイズ・インフィニティ</t>
  </si>
  <si>
    <t>ミナノワ(株)</t>
    <phoneticPr fontId="2"/>
  </si>
  <si>
    <t>(株)ＡＭＡＴＵＨＩ</t>
    <phoneticPr fontId="5"/>
  </si>
  <si>
    <t>めぐ(株)</t>
    <phoneticPr fontId="2"/>
  </si>
  <si>
    <t>(株)クロスロード</t>
    <phoneticPr fontId="2"/>
  </si>
  <si>
    <t>(株)ＡＭＡＴＵＨＩ</t>
    <phoneticPr fontId="2"/>
  </si>
  <si>
    <t>(株)リズム</t>
    <phoneticPr fontId="5"/>
  </si>
  <si>
    <t>(株)チャレンジプラットフォーム</t>
    <phoneticPr fontId="36"/>
  </si>
  <si>
    <t>ミナノワ(株)</t>
    <phoneticPr fontId="36"/>
  </si>
  <si>
    <t>ミナノワ(株)</t>
    <phoneticPr fontId="5"/>
  </si>
  <si>
    <t>(株)キュアラボ</t>
    <phoneticPr fontId="37"/>
  </si>
  <si>
    <t>(株)エンゼルランプ</t>
    <phoneticPr fontId="5"/>
  </si>
  <si>
    <t>ソーシャルインクルー(株)</t>
    <phoneticPr fontId="5"/>
  </si>
  <si>
    <t>(株)サザンツリー</t>
    <phoneticPr fontId="5"/>
  </si>
  <si>
    <t>(株)INNOVEL　HEALTHCARE</t>
    <phoneticPr fontId="5"/>
  </si>
  <si>
    <t>(株)エクラシア</t>
    <phoneticPr fontId="5"/>
  </si>
  <si>
    <t>(株)INNOVEL　HEALTHCARE</t>
    <phoneticPr fontId="19"/>
  </si>
  <si>
    <t>(株)サザンツリー</t>
    <phoneticPr fontId="36"/>
  </si>
  <si>
    <t>ＲＪソーシャルケア東京(株)</t>
    <rPh sb="9" eb="11">
      <t>トウキョウ</t>
    </rPh>
    <phoneticPr fontId="5"/>
  </si>
  <si>
    <t>(同)ウェルフェアウェルス</t>
    <phoneticPr fontId="2" type="Hiragana"/>
  </si>
  <si>
    <t>(同)ヨルベアル</t>
    <phoneticPr fontId="2" type="Hiragana"/>
  </si>
  <si>
    <t>Well being job(同)</t>
    <phoneticPr fontId="20" type="Hiragana"/>
  </si>
  <si>
    <t>NSコーポレーション(同)</t>
    <phoneticPr fontId="2"/>
  </si>
  <si>
    <t>bamboo(同)</t>
    <phoneticPr fontId="33"/>
  </si>
  <si>
    <t>(同)やまぶき</t>
    <phoneticPr fontId="33"/>
  </si>
  <si>
    <t>(同)ｃｒｅｅｒ</t>
    <phoneticPr fontId="2"/>
  </si>
  <si>
    <t>(同)Ａｚアットモア</t>
    <phoneticPr fontId="2"/>
  </si>
  <si>
    <t>(同)motsu.</t>
    <phoneticPr fontId="2"/>
  </si>
  <si>
    <t>(同)stara link</t>
    <phoneticPr fontId="2"/>
  </si>
  <si>
    <t>(同)Azアットモア</t>
    <phoneticPr fontId="2"/>
  </si>
  <si>
    <t>(同)エンフェルメリア虹</t>
    <rPh sb="11" eb="12">
      <t>ニジ</t>
    </rPh>
    <phoneticPr fontId="2"/>
  </si>
  <si>
    <t>(同)けやき</t>
    <phoneticPr fontId="2"/>
  </si>
  <si>
    <t>(同)KAGAYAKI</t>
    <phoneticPr fontId="2"/>
  </si>
  <si>
    <t>ホクレア(同)</t>
    <phoneticPr fontId="2"/>
  </si>
  <si>
    <t>(同)フルサポート</t>
    <phoneticPr fontId="2"/>
  </si>
  <si>
    <t>継志館アカデミー(同)</t>
    <rPh sb="0" eb="1">
      <t>ツギ</t>
    </rPh>
    <rPh sb="1" eb="2">
      <t>ココロザシ</t>
    </rPh>
    <rPh sb="2" eb="3">
      <t>カン</t>
    </rPh>
    <phoneticPr fontId="2"/>
  </si>
  <si>
    <t>ヒューマニティーアシスト(同) 吉川事業所</t>
    <rPh sb="16" eb="21">
      <t>ヨシカワジギョウショ</t>
    </rPh>
    <phoneticPr fontId="2"/>
  </si>
  <si>
    <t>(同)Mirai　Support</t>
    <phoneticPr fontId="5"/>
  </si>
  <si>
    <t>ＴＩＦ(同)</t>
    <phoneticPr fontId="5"/>
  </si>
  <si>
    <t>アイ・トライ(同)</t>
    <phoneticPr fontId="40"/>
  </si>
  <si>
    <t>(同)ハーフマウンテン</t>
    <phoneticPr fontId="36"/>
  </si>
  <si>
    <t>アイ・トライ(同)</t>
    <phoneticPr fontId="36"/>
  </si>
  <si>
    <t>(同)ベルエキップ</t>
    <phoneticPr fontId="37"/>
  </si>
  <si>
    <t>(同)翔和</t>
    <rPh sb="3" eb="5">
      <t>ショウワ</t>
    </rPh>
    <phoneticPr fontId="36"/>
  </si>
  <si>
    <t>TryFor(同)</t>
    <phoneticPr fontId="36"/>
  </si>
  <si>
    <t>(同)Size</t>
    <phoneticPr fontId="36"/>
  </si>
  <si>
    <t>(同)FOREST</t>
    <phoneticPr fontId="40"/>
  </si>
  <si>
    <t>(同)アースファーム玄</t>
    <rPh sb="10" eb="11">
      <t>ゲン</t>
    </rPh>
    <phoneticPr fontId="42"/>
  </si>
  <si>
    <t>(同)バオバブの森</t>
    <rPh sb="8" eb="9">
      <t>モリ</t>
    </rPh>
    <phoneticPr fontId="37"/>
  </si>
  <si>
    <t>(同)スマイルファクトリー</t>
    <phoneticPr fontId="5"/>
  </si>
  <si>
    <t>(同)Size</t>
    <phoneticPr fontId="5"/>
  </si>
  <si>
    <t>(同)秀山会</t>
    <rPh sb="3" eb="4">
      <t>シュウ</t>
    </rPh>
    <rPh sb="4" eb="5">
      <t>ヤマ</t>
    </rPh>
    <rPh sb="5" eb="6">
      <t>カイ</t>
    </rPh>
    <phoneticPr fontId="2"/>
  </si>
  <si>
    <t>(同)ＭＡＨ</t>
    <phoneticPr fontId="9"/>
  </si>
  <si>
    <t>(同)トワイズム</t>
    <phoneticPr fontId="5"/>
  </si>
  <si>
    <t>(同)のん</t>
    <phoneticPr fontId="7"/>
  </si>
  <si>
    <t>(同)FIVE　ROSES</t>
    <phoneticPr fontId="5"/>
  </si>
  <si>
    <t>(同)Size</t>
    <phoneticPr fontId="2"/>
  </si>
  <si>
    <t>(同)Naturalplay</t>
    <phoneticPr fontId="2"/>
  </si>
  <si>
    <t>(同)ハピネス</t>
    <phoneticPr fontId="2"/>
  </si>
  <si>
    <t>(同)敬ai</t>
    <rPh sb="3" eb="4">
      <t>ケイ</t>
    </rPh>
    <phoneticPr fontId="36"/>
  </si>
  <si>
    <t>(特非)自立</t>
    <phoneticPr fontId="2" type="Hiragana"/>
  </si>
  <si>
    <t>(特非)ピース</t>
    <phoneticPr fontId="20" type="Hiragana"/>
  </si>
  <si>
    <t>(特非)　山正</t>
  </si>
  <si>
    <t>(特非)ケリアプロジェクト</t>
    <phoneticPr fontId="2"/>
  </si>
  <si>
    <t>(特非)ほっとサポートてんとうむし</t>
    <phoneticPr fontId="2"/>
  </si>
  <si>
    <t>(特非)　山正</t>
    <rPh sb="5" eb="7">
      <t>ヤマショウ</t>
    </rPh>
    <phoneticPr fontId="2"/>
  </si>
  <si>
    <t>(特非)明星</t>
    <rPh sb="4" eb="6">
      <t>ミョウジョウ</t>
    </rPh>
    <phoneticPr fontId="2"/>
  </si>
  <si>
    <t>(特非)合</t>
    <rPh sb="4" eb="5">
      <t>ア</t>
    </rPh>
    <phoneticPr fontId="2"/>
  </si>
  <si>
    <t>(特非)障害者の職場参加をすすめる会</t>
    <rPh sb="4" eb="7">
      <t>ショウガイシャ</t>
    </rPh>
    <rPh sb="8" eb="12">
      <t>ショクバサンカ</t>
    </rPh>
    <rPh sb="17" eb="18">
      <t>カイ</t>
    </rPh>
    <phoneticPr fontId="2"/>
  </si>
  <si>
    <t>(特非)合</t>
    <phoneticPr fontId="2"/>
  </si>
  <si>
    <t>(特非)地域再生研究機構</t>
  </si>
  <si>
    <t>(特非)ハーモニー</t>
    <phoneticPr fontId="2"/>
  </si>
  <si>
    <t>(特非)埼玉こころのかけ橋</t>
    <rPh sb="4" eb="6">
      <t>サイタマ</t>
    </rPh>
    <rPh sb="12" eb="13">
      <t>ハシ</t>
    </rPh>
    <phoneticPr fontId="2"/>
  </si>
  <si>
    <t>(特非)ソーシャルハウス</t>
  </si>
  <si>
    <t>(特非)工房ポルトス</t>
    <rPh sb="4" eb="6">
      <t>コウボウ</t>
    </rPh>
    <phoneticPr fontId="3"/>
  </si>
  <si>
    <t>(特非)ゆうの樹</t>
    <rPh sb="7" eb="8">
      <t>キ</t>
    </rPh>
    <phoneticPr fontId="36"/>
  </si>
  <si>
    <t>(特非)ゆうの樹</t>
    <rPh sb="7" eb="8">
      <t>キ</t>
    </rPh>
    <phoneticPr fontId="5"/>
  </si>
  <si>
    <t>(特非)ありのままでスバラシイ</t>
    <phoneticPr fontId="2"/>
  </si>
  <si>
    <t>(特非)仲良し作業所</t>
    <rPh sb="7" eb="9">
      <t>サギョウ</t>
    </rPh>
    <phoneticPr fontId="2"/>
  </si>
  <si>
    <t>(特非)スローライフ</t>
    <phoneticPr fontId="2"/>
  </si>
  <si>
    <t>(特非)あいある</t>
    <phoneticPr fontId="2" type="Hiragana"/>
  </si>
  <si>
    <t>(特非)ほっとサポートてんとうむし</t>
    <phoneticPr fontId="33"/>
  </si>
  <si>
    <t>(特非)合</t>
    <rPh sb="4" eb="5">
      <t>アイ</t>
    </rPh>
    <phoneticPr fontId="2"/>
  </si>
  <si>
    <t>(特非)結</t>
    <rPh sb="4" eb="5">
      <t>ケツ</t>
    </rPh>
    <phoneticPr fontId="2"/>
  </si>
  <si>
    <t>(特非)Take</t>
    <phoneticPr fontId="2"/>
  </si>
  <si>
    <t>(福)ひらく会</t>
    <rPh sb="6" eb="7">
      <t>かい</t>
    </rPh>
    <phoneticPr fontId="2" type="Hiragana"/>
  </si>
  <si>
    <t>(福)鳩ヶ谷ほっとすてーしょん</t>
    <phoneticPr fontId="2" type="Hiragana"/>
  </si>
  <si>
    <t>(福)川口市社会福祉事業団</t>
    <rPh sb="3" eb="13">
      <t>かわぐちししゃかいふくしじぎょうだん</t>
    </rPh>
    <phoneticPr fontId="20" type="Hiragana"/>
  </si>
  <si>
    <t>(福)川口市社会福祉事業団</t>
    <phoneticPr fontId="20" type="Hiragana"/>
  </si>
  <si>
    <t>(福)新</t>
  </si>
  <si>
    <t>(福)　親愛会</t>
    <rPh sb="4" eb="6">
      <t>シンアイ</t>
    </rPh>
    <rPh sb="6" eb="7">
      <t>カイ</t>
    </rPh>
    <phoneticPr fontId="2"/>
  </si>
  <si>
    <t>(福)　ハッピーネット</t>
  </si>
  <si>
    <t>越谷市（(福)越谷市社会福祉協議会）</t>
    <rPh sb="0" eb="3">
      <t>コシガヤシ</t>
    </rPh>
    <rPh sb="7" eb="10">
      <t>コシガヤシ</t>
    </rPh>
    <rPh sb="10" eb="17">
      <t>シャカイフクシキョウギカイ</t>
    </rPh>
    <phoneticPr fontId="2"/>
  </si>
  <si>
    <t>(福)　越谷市社会福祉協議会</t>
  </si>
  <si>
    <t>(福)あげお福祉会</t>
  </si>
  <si>
    <t>(福)志木市社会福祉協議会多機能型事業所</t>
    <rPh sb="3" eb="6">
      <t>シキシ</t>
    </rPh>
    <rPh sb="6" eb="8">
      <t>シャカイ</t>
    </rPh>
    <rPh sb="8" eb="10">
      <t>フクシ</t>
    </rPh>
    <rPh sb="10" eb="13">
      <t>キョウギカイ</t>
    </rPh>
    <rPh sb="13" eb="16">
      <t>タキノウ</t>
    </rPh>
    <rPh sb="16" eb="17">
      <t>ガタ</t>
    </rPh>
    <rPh sb="17" eb="20">
      <t>ジギョウショ</t>
    </rPh>
    <phoneticPr fontId="2"/>
  </si>
  <si>
    <t>(福)茶の花福祉会</t>
    <rPh sb="3" eb="4">
      <t>チャ</t>
    </rPh>
    <rPh sb="5" eb="9">
      <t>ハナフクシカイ</t>
    </rPh>
    <phoneticPr fontId="2"/>
  </si>
  <si>
    <t>(福)　現成会</t>
    <rPh sb="4" eb="5">
      <t>ゲン</t>
    </rPh>
    <rPh sb="5" eb="6">
      <t>ナリ</t>
    </rPh>
    <rPh sb="6" eb="7">
      <t>カイ</t>
    </rPh>
    <phoneticPr fontId="2"/>
  </si>
  <si>
    <t>(福)　入間東部福祉会</t>
    <rPh sb="4" eb="8">
      <t>イルマトウブ</t>
    </rPh>
    <rPh sb="8" eb="11">
      <t>フクシカイ</t>
    </rPh>
    <phoneticPr fontId="2"/>
  </si>
  <si>
    <t>(福)川島町社会福祉協議会通所介護事業所</t>
    <rPh sb="3" eb="6">
      <t>カワジママチ</t>
    </rPh>
    <rPh sb="6" eb="8">
      <t>シャカイ</t>
    </rPh>
    <rPh sb="8" eb="10">
      <t>フクシ</t>
    </rPh>
    <rPh sb="10" eb="13">
      <t>キョウギカイ</t>
    </rPh>
    <rPh sb="13" eb="15">
      <t>ツウショ</t>
    </rPh>
    <rPh sb="15" eb="17">
      <t>カイゴ</t>
    </rPh>
    <rPh sb="17" eb="20">
      <t>ジギョウショ</t>
    </rPh>
    <phoneticPr fontId="2"/>
  </si>
  <si>
    <t>(福)　ラベンダー</t>
  </si>
  <si>
    <t>(福)　独歩</t>
    <rPh sb="4" eb="6">
      <t>ドッポ</t>
    </rPh>
    <phoneticPr fontId="5"/>
  </si>
  <si>
    <t>(福)うらわ学園</t>
    <rPh sb="6" eb="8">
      <t>ガクエン</t>
    </rPh>
    <phoneticPr fontId="36"/>
  </si>
  <si>
    <t>(福)独歩</t>
    <rPh sb="3" eb="5">
      <t>ドッポ</t>
    </rPh>
    <phoneticPr fontId="5"/>
  </si>
  <si>
    <t>(福)埼玉福祉事業協会</t>
    <rPh sb="3" eb="9">
      <t>サイタマフクシジギョウ</t>
    </rPh>
    <rPh sb="9" eb="11">
      <t>キョウカイ</t>
    </rPh>
    <phoneticPr fontId="5"/>
  </si>
  <si>
    <t>(福)ともに生きる会</t>
    <rPh sb="6" eb="7">
      <t>イ</t>
    </rPh>
    <rPh sb="9" eb="10">
      <t>カイ</t>
    </rPh>
    <phoneticPr fontId="40"/>
  </si>
  <si>
    <t>(福)さいたま市社会福祉事業団</t>
    <rPh sb="7" eb="8">
      <t>シ</t>
    </rPh>
    <phoneticPr fontId="36"/>
  </si>
  <si>
    <t>(福)埼玉福祉事業協会</t>
    <rPh sb="3" eb="9">
      <t>サイタマフクシジギョウ</t>
    </rPh>
    <rPh sb="9" eb="11">
      <t>キョウカイ</t>
    </rPh>
    <phoneticPr fontId="40"/>
  </si>
  <si>
    <t>(福)独歩</t>
    <rPh sb="3" eb="5">
      <t>ドッポ</t>
    </rPh>
    <phoneticPr fontId="36"/>
  </si>
  <si>
    <t>(福)えんむすび</t>
    <phoneticPr fontId="36"/>
  </si>
  <si>
    <t>(福)埼玉福祉事業協会</t>
    <rPh sb="3" eb="5">
      <t>サイタマ</t>
    </rPh>
    <rPh sb="5" eb="7">
      <t>フクシ</t>
    </rPh>
    <rPh sb="7" eb="9">
      <t>ジギョウ</t>
    </rPh>
    <rPh sb="9" eb="11">
      <t>キョウカイ</t>
    </rPh>
    <phoneticPr fontId="36"/>
  </si>
  <si>
    <t>(福)うらわ学園</t>
    <rPh sb="6" eb="8">
      <t>ガクエン</t>
    </rPh>
    <phoneticPr fontId="9"/>
  </si>
  <si>
    <t>(福)きずなの会</t>
    <rPh sb="7" eb="8">
      <t>カイ</t>
    </rPh>
    <phoneticPr fontId="5"/>
  </si>
  <si>
    <t>(福)　南桜会</t>
    <rPh sb="4" eb="5">
      <t>ミナミ</t>
    </rPh>
    <rPh sb="5" eb="6">
      <t>サクラ</t>
    </rPh>
    <rPh sb="6" eb="7">
      <t>カイ</t>
    </rPh>
    <phoneticPr fontId="2"/>
  </si>
  <si>
    <t>(福)ななくさ</t>
    <phoneticPr fontId="2"/>
  </si>
  <si>
    <t>(福)織の音</t>
    <rPh sb="3" eb="4">
      <t>オリ</t>
    </rPh>
    <rPh sb="5" eb="6">
      <t>オト</t>
    </rPh>
    <phoneticPr fontId="2"/>
  </si>
  <si>
    <t>川口市（(福)ひふみ会）</t>
    <rPh sb="0" eb="3">
      <t>かわぐちし</t>
    </rPh>
    <rPh sb="10" eb="11">
      <t>かい</t>
    </rPh>
    <phoneticPr fontId="20" type="Hiragana"/>
  </si>
  <si>
    <t>(福)　平徳会</t>
    <rPh sb="4" eb="7">
      <t>ヘイトクカイ</t>
    </rPh>
    <phoneticPr fontId="2"/>
  </si>
  <si>
    <t>(福)カナの会</t>
    <rPh sb="6" eb="7">
      <t>カイ</t>
    </rPh>
    <phoneticPr fontId="2"/>
  </si>
  <si>
    <t>(福)　博心会</t>
    <rPh sb="4" eb="5">
      <t>ヒロシ</t>
    </rPh>
    <rPh sb="5" eb="6">
      <t>シン</t>
    </rPh>
    <rPh sb="6" eb="7">
      <t>カイ</t>
    </rPh>
    <phoneticPr fontId="2"/>
  </si>
  <si>
    <t>(福)忠黎会</t>
    <rPh sb="3" eb="4">
      <t>チュウ</t>
    </rPh>
    <rPh sb="4" eb="5">
      <t>レイ</t>
    </rPh>
    <rPh sb="5" eb="6">
      <t>カイ</t>
    </rPh>
    <phoneticPr fontId="2"/>
  </si>
  <si>
    <t>(福)　埼玉福祉事業協会</t>
    <rPh sb="4" eb="6">
      <t>サイタマ</t>
    </rPh>
    <rPh sb="6" eb="8">
      <t>フクシ</t>
    </rPh>
    <rPh sb="8" eb="10">
      <t>ジギョウ</t>
    </rPh>
    <rPh sb="10" eb="12">
      <t>キョウカイ</t>
    </rPh>
    <phoneticPr fontId="2"/>
  </si>
  <si>
    <t>(福)埼玉福祉事業協会</t>
    <rPh sb="3" eb="11">
      <t>サイタマフクシジギョウキョウカイ</t>
    </rPh>
    <phoneticPr fontId="5"/>
  </si>
  <si>
    <t>(一社)からふる</t>
    <phoneticPr fontId="2" type="Hiragana"/>
  </si>
  <si>
    <t>(一社)福祉教育支援協会</t>
    <rPh sb="4" eb="6">
      <t>ふくし</t>
    </rPh>
    <rPh sb="6" eb="8">
      <t>きょういく</t>
    </rPh>
    <rPh sb="8" eb="10">
      <t>しえん</t>
    </rPh>
    <rPh sb="10" eb="12">
      <t>きょうかい</t>
    </rPh>
    <phoneticPr fontId="2" type="Hiragana"/>
  </si>
  <si>
    <t>(一社)優・ハーモニー</t>
    <phoneticPr fontId="2" type="Hiragana"/>
  </si>
  <si>
    <t>(一社)就労支援ＧＯＮ</t>
    <phoneticPr fontId="20" type="Hiragana"/>
  </si>
  <si>
    <t>(一社)ｂｏｎｄｓ</t>
    <phoneticPr fontId="20" type="Hiragana"/>
  </si>
  <si>
    <t>(一社)ティーエルラボ</t>
  </si>
  <si>
    <t>(一社)あいらんど</t>
  </si>
  <si>
    <t>(一社)ガーネッシュ</t>
    <phoneticPr fontId="2"/>
  </si>
  <si>
    <t>(一社)ワイズ・ドリーム</t>
    <phoneticPr fontId="2"/>
  </si>
  <si>
    <t>(一社)MeRise</t>
    <phoneticPr fontId="5"/>
  </si>
  <si>
    <t>(一社)M＆R</t>
    <phoneticPr fontId="2"/>
  </si>
  <si>
    <t>(一社)勇希</t>
  </si>
  <si>
    <t>(一社)いちご</t>
    <phoneticPr fontId="2"/>
  </si>
  <si>
    <t>(一社)Ｂｅ　Ｙｏｕｒｓｅｌｆ</t>
  </si>
  <si>
    <t>(一社)坂戸鶴ヶ島とちの木会</t>
    <rPh sb="4" eb="6">
      <t>サカド</t>
    </rPh>
    <rPh sb="6" eb="9">
      <t>ツルガシマ</t>
    </rPh>
    <rPh sb="12" eb="13">
      <t>キ</t>
    </rPh>
    <rPh sb="13" eb="14">
      <t>カイ</t>
    </rPh>
    <phoneticPr fontId="2"/>
  </si>
  <si>
    <t>(一社)　朗真堂</t>
    <rPh sb="5" eb="6">
      <t>ロウ</t>
    </rPh>
    <rPh sb="6" eb="7">
      <t>マ</t>
    </rPh>
    <rPh sb="7" eb="8">
      <t>ドウ</t>
    </rPh>
    <phoneticPr fontId="5"/>
  </si>
  <si>
    <t>(一社)　障害者支援協会</t>
    <rPh sb="5" eb="8">
      <t>ショウガイシャ</t>
    </rPh>
    <rPh sb="8" eb="10">
      <t>シエン</t>
    </rPh>
    <rPh sb="10" eb="12">
      <t>キョウカイ</t>
    </rPh>
    <phoneticPr fontId="5"/>
  </si>
  <si>
    <t>(一社)クリスタルサービス</t>
    <phoneticPr fontId="5"/>
  </si>
  <si>
    <t>(一社)Nagi</t>
  </si>
  <si>
    <t>(一社)ＬＬＳ</t>
    <phoneticPr fontId="36"/>
  </si>
  <si>
    <t>(一社)アップリフト</t>
    <phoneticPr fontId="5"/>
  </si>
  <si>
    <t>(一社)あるかでぃあ</t>
    <phoneticPr fontId="2"/>
  </si>
  <si>
    <t>(一社)スタートライン</t>
  </si>
  <si>
    <t>(一社)ウィズみらい</t>
  </si>
  <si>
    <t>(一社)社会福祉相談センター</t>
  </si>
  <si>
    <t>(株)綜合キャリアトラスト</t>
    <rPh sb="3" eb="5">
      <t>そうごう</t>
    </rPh>
    <phoneticPr fontId="20" type="Hiragana"/>
  </si>
  <si>
    <t>ＰＬＵＳケアサービス(株)</t>
    <phoneticPr fontId="2" type="Hiragana"/>
  </si>
  <si>
    <t>中央１丁目３－３　昭和ビル第７　１Ｆ</t>
    <rPh sb="0" eb="2">
      <t>チュウオウ</t>
    </rPh>
    <rPh sb="3" eb="5">
      <t>チョウメ</t>
    </rPh>
    <rPh sb="9" eb="11">
      <t>ショウワ</t>
    </rPh>
    <rPh sb="13" eb="14">
      <t>ダイ</t>
    </rPh>
    <phoneticPr fontId="2"/>
  </si>
  <si>
    <t>（一社）クリスタルサービス</t>
    <rPh sb="1" eb="2">
      <t>イチ</t>
    </rPh>
    <rPh sb="2" eb="3">
      <t>シャ</t>
    </rPh>
    <phoneticPr fontId="2"/>
  </si>
  <si>
    <t>（一社）クリスタルサービス</t>
    <rPh sb="1" eb="3">
      <t>イッシャ</t>
    </rPh>
    <phoneticPr fontId="2"/>
  </si>
  <si>
    <t>0480-31-8543</t>
    <phoneticPr fontId="2"/>
  </si>
  <si>
    <t>090-1774-5610</t>
    <phoneticPr fontId="33"/>
  </si>
  <si>
    <t>048-734-0602</t>
    <phoneticPr fontId="33"/>
  </si>
  <si>
    <t>343-0806</t>
  </si>
  <si>
    <t>宮本町4丁目38番地5</t>
    <rPh sb="0" eb="3">
      <t>ミヤモトチョウ</t>
    </rPh>
    <rPh sb="4" eb="6">
      <t>チョウメ</t>
    </rPh>
    <rPh sb="8" eb="10">
      <t>バンチ</t>
    </rPh>
    <phoneticPr fontId="2"/>
  </si>
  <si>
    <t>見沼区大谷８５７－２</t>
    <phoneticPr fontId="2"/>
  </si>
  <si>
    <t>048-779-8372</t>
  </si>
  <si>
    <t>048-779-8373</t>
  </si>
  <si>
    <t>ニューシャトル加茂宮駅より徒歩12分</t>
    <rPh sb="7" eb="10">
      <t>カモノミヤ</t>
    </rPh>
    <rPh sb="10" eb="11">
      <t>エキ</t>
    </rPh>
    <rPh sb="13" eb="15">
      <t>トホ</t>
    </rPh>
    <rPh sb="17" eb="18">
      <t>プン</t>
    </rPh>
    <phoneticPr fontId="2"/>
  </si>
  <si>
    <t>338-0006</t>
  </si>
  <si>
    <t>048-711-4963</t>
  </si>
  <si>
    <t>048-711-4964</t>
  </si>
  <si>
    <t>国際興業バス八王子庚申堂停留所下車徒歩６分</t>
    <rPh sb="0" eb="2">
      <t>コクサイ</t>
    </rPh>
    <rPh sb="2" eb="4">
      <t>コウギョウ</t>
    </rPh>
    <rPh sb="6" eb="9">
      <t>ハチオウジ</t>
    </rPh>
    <rPh sb="9" eb="11">
      <t>コウシン</t>
    </rPh>
    <rPh sb="11" eb="12">
      <t>ドウ</t>
    </rPh>
    <rPh sb="12" eb="15">
      <t>テイリュウジョ</t>
    </rPh>
    <rPh sb="15" eb="17">
      <t>ゲシャ</t>
    </rPh>
    <rPh sb="17" eb="19">
      <t>トホ</t>
    </rPh>
    <rPh sb="20" eb="21">
      <t>フン</t>
    </rPh>
    <phoneticPr fontId="2"/>
  </si>
  <si>
    <t>大宮区桜木町４－２０９　第３バーディトライビル５階</t>
    <phoneticPr fontId="2"/>
  </si>
  <si>
    <t>048-871-9761</t>
  </si>
  <si>
    <t>JR大宮駅西口より9分</t>
    <rPh sb="2" eb="4">
      <t>オオミヤ</t>
    </rPh>
    <rPh sb="4" eb="5">
      <t>エキ</t>
    </rPh>
    <rPh sb="5" eb="7">
      <t>ニシグチ</t>
    </rPh>
    <rPh sb="10" eb="11">
      <t>フン</t>
    </rPh>
    <phoneticPr fontId="2"/>
  </si>
  <si>
    <t>330-0073</t>
  </si>
  <si>
    <t>048-816-5405</t>
  </si>
  <si>
    <t>048-816-5407</t>
  </si>
  <si>
    <t>JR北浦和駅より徒歩4分</t>
    <rPh sb="2" eb="6">
      <t>キタウラワエキ</t>
    </rPh>
    <rPh sb="8" eb="10">
      <t>トホ</t>
    </rPh>
    <rPh sb="11" eb="12">
      <t>フン</t>
    </rPh>
    <phoneticPr fontId="2"/>
  </si>
  <si>
    <t>048-767-3936</t>
  </si>
  <si>
    <t>048-767-3937</t>
  </si>
  <si>
    <t>JR南浦和駅より徒歩4分</t>
    <rPh sb="2" eb="6">
      <t>ミナミウラワエキ</t>
    </rPh>
    <rPh sb="8" eb="10">
      <t>トホ</t>
    </rPh>
    <rPh sb="11" eb="12">
      <t>フン</t>
    </rPh>
    <phoneticPr fontId="2"/>
  </si>
  <si>
    <t>一般社団法人ＬＬＳ</t>
    <rPh sb="0" eb="2">
      <t>イッパン</t>
    </rPh>
    <rPh sb="2" eb="4">
      <t>シャダン</t>
    </rPh>
    <rPh sb="4" eb="6">
      <t>ホウジン</t>
    </rPh>
    <phoneticPr fontId="2"/>
  </si>
  <si>
    <t>リヴライフサポート本郷町</t>
    <rPh sb="9" eb="12">
      <t>ほんごうちょう</t>
    </rPh>
    <phoneticPr fontId="38" type="Hiragana"/>
  </si>
  <si>
    <t>北区本郷町６２　小林ビル１階</t>
    <phoneticPr fontId="2"/>
  </si>
  <si>
    <t>株式会社そら</t>
    <rPh sb="0" eb="4">
      <t>カブ</t>
    </rPh>
    <phoneticPr fontId="2"/>
  </si>
  <si>
    <t>就労サポート虹</t>
    <rPh sb="0" eb="2">
      <t>しゅうろう</t>
    </rPh>
    <rPh sb="6" eb="7">
      <t>にじ</t>
    </rPh>
    <phoneticPr fontId="38" type="Hiragana"/>
  </si>
  <si>
    <t>中央区八王子３－１０－５　中根貸店舗</t>
    <rPh sb="0" eb="3">
      <t>チュウオウク</t>
    </rPh>
    <rPh sb="3" eb="6">
      <t>ハチオウジ</t>
    </rPh>
    <phoneticPr fontId="2"/>
  </si>
  <si>
    <t>株式会社LITALICOパートナーズ</t>
    <phoneticPr fontId="2"/>
  </si>
  <si>
    <t>女性のためのLITALICOワークス大宮桜木町</t>
    <rPh sb="0" eb="2">
      <t>じょせい</t>
    </rPh>
    <rPh sb="18" eb="20">
      <t>おおみや</t>
    </rPh>
    <rPh sb="20" eb="23">
      <t>さくらぎちょう</t>
    </rPh>
    <phoneticPr fontId="38" type="Hiragana"/>
  </si>
  <si>
    <t>一般財団法人メルディア</t>
    <rPh sb="0" eb="2">
      <t>イッパン</t>
    </rPh>
    <rPh sb="2" eb="4">
      <t>ザイダン</t>
    </rPh>
    <rPh sb="4" eb="6">
      <t>ホウジン</t>
    </rPh>
    <phoneticPr fontId="2"/>
  </si>
  <si>
    <t>メルディアライフネスト浦和</t>
    <rPh sb="11" eb="13">
      <t>うらわ</t>
    </rPh>
    <phoneticPr fontId="38" type="Hiragana"/>
  </si>
  <si>
    <t>浦和区元町３－４－６　メゾンモンブラン１F</t>
    <phoneticPr fontId="2"/>
  </si>
  <si>
    <t>株式会社PolarCoast</t>
    <rPh sb="0" eb="4">
      <t>カブシキガイシャ</t>
    </rPh>
    <phoneticPr fontId="2"/>
  </si>
  <si>
    <t>ANELLA CAFE 南浦和店</t>
    <rPh sb="12" eb="16">
      <t>みなみうらわてん</t>
    </rPh>
    <phoneticPr fontId="38" type="Hiragana"/>
  </si>
  <si>
    <t>南区南浦和２－２８－１６　ハイグレード南浦和１０１</t>
    <rPh sb="0" eb="2">
      <t>ミナミク</t>
    </rPh>
    <rPh sb="2" eb="5">
      <t>ミナミウラワ</t>
    </rPh>
    <rPh sb="19" eb="22">
      <t>ミナミウラワ</t>
    </rPh>
    <phoneticPr fontId="2"/>
  </si>
  <si>
    <t>岩槻区真福寺谷頭９２８</t>
    <rPh sb="0" eb="2">
      <t>イワツキ</t>
    </rPh>
    <rPh sb="2" eb="3">
      <t>ク</t>
    </rPh>
    <rPh sb="3" eb="6">
      <t>シンプクジ</t>
    </rPh>
    <rPh sb="6" eb="8">
      <t>ヤガシラ</t>
    </rPh>
    <phoneticPr fontId="2"/>
  </si>
  <si>
    <t>南区白幡４－２２－３　２Ｆ</t>
    <rPh sb="0" eb="2">
      <t>ミナミク</t>
    </rPh>
    <rPh sb="2" eb="4">
      <t>シラハタ</t>
    </rPh>
    <phoneticPr fontId="2"/>
  </si>
  <si>
    <t>〇</t>
    <phoneticPr fontId="2" type="Hiragana"/>
  </si>
  <si>
    <t>株式会社ココルポート</t>
    <rPh sb="0" eb="4">
      <t>かぶしきかいしゃ</t>
    </rPh>
    <phoneticPr fontId="20" type="Hiragana"/>
  </si>
  <si>
    <t>Ｃｏｃｏｒｐｏｒｔ　Ｒｅｗｏｒｋ　川口駅前</t>
    <rPh sb="17" eb="19">
      <t>かわぐち</t>
    </rPh>
    <rPh sb="19" eb="21">
      <t>えきまえ</t>
    </rPh>
    <phoneticPr fontId="20" type="Hiragana"/>
  </si>
  <si>
    <t>048-299-4216</t>
    <phoneticPr fontId="2" type="Hiragana"/>
  </si>
  <si>
    <t>048-299-4217</t>
    <phoneticPr fontId="2" type="Hiragana"/>
  </si>
  <si>
    <t>（電車）川口駅から徒歩４分</t>
    <rPh sb="1" eb="3">
      <t>でんしゃ</t>
    </rPh>
    <rPh sb="4" eb="6">
      <t>かわぐち</t>
    </rPh>
    <rPh sb="6" eb="7">
      <t>えき</t>
    </rPh>
    <phoneticPr fontId="2" type="Hiragana"/>
  </si>
  <si>
    <t>株式会社Wings</t>
    <rPh sb="0" eb="4">
      <t>かぶしきかいしゃ</t>
    </rPh>
    <phoneticPr fontId="20" type="Hiragana"/>
  </si>
  <si>
    <t>Wingsサポート蕨</t>
    <rPh sb="9" eb="10">
      <t>わらび</t>
    </rPh>
    <phoneticPr fontId="20" type="Hiragana"/>
  </si>
  <si>
    <t>048-485-8407</t>
    <phoneticPr fontId="2" type="Hiragana"/>
  </si>
  <si>
    <t>048-485-8409</t>
    <phoneticPr fontId="2" type="Hiragana"/>
  </si>
  <si>
    <t>（バス）蕨駅東口から新井宿駅行「前川一丁目」徒歩３分</t>
    <rPh sb="4" eb="5">
      <t>わらび</t>
    </rPh>
    <rPh sb="5" eb="6">
      <t>えき</t>
    </rPh>
    <rPh sb="6" eb="8">
      <t>ひがしぐち</t>
    </rPh>
    <rPh sb="10" eb="14">
      <t>あらいじゅくえき</t>
    </rPh>
    <rPh sb="14" eb="15">
      <t>ゆ</t>
    </rPh>
    <rPh sb="16" eb="18">
      <t>まえかわ</t>
    </rPh>
    <rPh sb="18" eb="21">
      <t>いっちょうめ</t>
    </rPh>
    <rPh sb="22" eb="24">
      <t>とほ</t>
    </rPh>
    <rPh sb="25" eb="26">
      <t>ふん</t>
    </rPh>
    <phoneticPr fontId="2" type="Hiragana"/>
  </si>
  <si>
    <t>栄町3-1-14　5階Ａ号室</t>
    <rPh sb="0" eb="2">
      <t>えいまち</t>
    </rPh>
    <rPh sb="10" eb="11">
      <t>かい</t>
    </rPh>
    <rPh sb="12" eb="13">
      <t>ごう</t>
    </rPh>
    <rPh sb="13" eb="14">
      <t>しつ</t>
    </rPh>
    <phoneticPr fontId="20" type="Hiragana"/>
  </si>
  <si>
    <t>上青木西4-12-16</t>
    <rPh sb="0" eb="3">
      <t>かみあおき</t>
    </rPh>
    <rPh sb="3" eb="4">
      <t>にし</t>
    </rPh>
    <phoneticPr fontId="20" type="Hiragana"/>
  </si>
  <si>
    <t>332-0004</t>
  </si>
  <si>
    <t>048-452-8468</t>
  </si>
  <si>
    <t>048-452-8498</t>
  </si>
  <si>
    <t>株式会社コクア</t>
    <phoneticPr fontId="20" type="Hiragana"/>
  </si>
  <si>
    <t>ライフベースかわぐち</t>
    <phoneticPr fontId="20" type="Hiragana"/>
  </si>
  <si>
    <t>（電車）日暮里・舎人ライナー 舎人公園駅から徒歩で26分</t>
    <rPh sb="1" eb="3">
      <t>でんしゃ</t>
    </rPh>
    <phoneticPr fontId="20" type="Hiragana"/>
  </si>
  <si>
    <t>領家3-22-7</t>
    <phoneticPr fontId="20" type="Hiragana"/>
  </si>
  <si>
    <t>（株）ＡＦＦＥＴＴＯ</t>
    <rPh sb="0" eb="3">
      <t>カブ</t>
    </rPh>
    <phoneticPr fontId="2"/>
  </si>
  <si>
    <t>ｆａｉｒｙ　ｔａｌｅ　いちご　Ｅｔｅｒｎｏ</t>
    <phoneticPr fontId="2"/>
  </si>
  <si>
    <t>八條82番1号</t>
    <rPh sb="0" eb="1">
      <t>ハチ</t>
    </rPh>
    <rPh sb="1" eb="2">
      <t>ジョウ</t>
    </rPh>
    <rPh sb="4" eb="5">
      <t>バン</t>
    </rPh>
    <rPh sb="6" eb="7">
      <t>ゴウ</t>
    </rPh>
    <phoneticPr fontId="2"/>
  </si>
  <si>
    <t>340-0801</t>
  </si>
  <si>
    <t>048-949-6567</t>
    <phoneticPr fontId="2"/>
  </si>
  <si>
    <t>048-949-6597</t>
    <phoneticPr fontId="2"/>
  </si>
  <si>
    <t>東武スカイツリーライン獨協大学前（草加松原）からバス「浄水場入口」下車徒歩８分</t>
    <rPh sb="0" eb="2">
      <t>トウブ</t>
    </rPh>
    <rPh sb="11" eb="13">
      <t>ドッキョウ</t>
    </rPh>
    <rPh sb="13" eb="15">
      <t>ダイガク</t>
    </rPh>
    <rPh sb="15" eb="16">
      <t>マエ</t>
    </rPh>
    <rPh sb="17" eb="19">
      <t>ソウカ</t>
    </rPh>
    <rPh sb="19" eb="21">
      <t>マツバラ</t>
    </rPh>
    <rPh sb="33" eb="35">
      <t>ゲシャ</t>
    </rPh>
    <rPh sb="35" eb="37">
      <t>トホ</t>
    </rPh>
    <rPh sb="38" eb="39">
      <t>フン</t>
    </rPh>
    <phoneticPr fontId="2"/>
  </si>
  <si>
    <t>あいおい保険ワールド（株）</t>
    <phoneticPr fontId="2"/>
  </si>
  <si>
    <t>就労継続支援Ｂ型事業所　クローバー草加</t>
    <rPh sb="0" eb="2">
      <t>シュウロウ</t>
    </rPh>
    <rPh sb="2" eb="4">
      <t>ケイゾク</t>
    </rPh>
    <rPh sb="4" eb="6">
      <t>シエン</t>
    </rPh>
    <rPh sb="7" eb="8">
      <t>ガタ</t>
    </rPh>
    <rPh sb="8" eb="11">
      <t>ジギョウショ</t>
    </rPh>
    <rPh sb="17" eb="19">
      <t>ソウカ</t>
    </rPh>
    <phoneticPr fontId="2"/>
  </si>
  <si>
    <t>弁天6-22-9</t>
    <rPh sb="0" eb="2">
      <t>ベンテン</t>
    </rPh>
    <phoneticPr fontId="2"/>
  </si>
  <si>
    <t>048-959-9741</t>
    <phoneticPr fontId="2"/>
  </si>
  <si>
    <t>048-959-9742</t>
    <phoneticPr fontId="2"/>
  </si>
  <si>
    <t>東武スカイツリーライン獨協大学前（草加松原）から徒歩18分、またはバス「北弁天」徒歩4分</t>
    <rPh sb="24" eb="26">
      <t>トホ</t>
    </rPh>
    <rPh sb="28" eb="29">
      <t>プン</t>
    </rPh>
    <rPh sb="36" eb="39">
      <t>キタベンテン</t>
    </rPh>
    <rPh sb="40" eb="42">
      <t>トホ</t>
    </rPh>
    <rPh sb="43" eb="44">
      <t>フン</t>
    </rPh>
    <phoneticPr fontId="2"/>
  </si>
  <si>
    <t>（特非）ビーバー</t>
    <rPh sb="1" eb="2">
      <t>トク</t>
    </rPh>
    <rPh sb="2" eb="3">
      <t>ヒ</t>
    </rPh>
    <phoneticPr fontId="2"/>
  </si>
  <si>
    <t>こども支援ポム草加まつなみき園</t>
    <rPh sb="3" eb="5">
      <t>シエン</t>
    </rPh>
    <rPh sb="7" eb="9">
      <t>ソウカ</t>
    </rPh>
    <rPh sb="14" eb="15">
      <t>エン</t>
    </rPh>
    <phoneticPr fontId="2"/>
  </si>
  <si>
    <t>草加市</t>
    <rPh sb="0" eb="2">
      <t>ソウカ</t>
    </rPh>
    <rPh sb="2" eb="3">
      <t>シ</t>
    </rPh>
    <phoneticPr fontId="2"/>
  </si>
  <si>
    <t>原町1-14-15</t>
    <rPh sb="0" eb="1">
      <t>ハラ</t>
    </rPh>
    <rPh sb="1" eb="2">
      <t>マチ</t>
    </rPh>
    <phoneticPr fontId="2"/>
  </si>
  <si>
    <t>340-0048</t>
  </si>
  <si>
    <t>048-950-8229</t>
    <phoneticPr fontId="2"/>
  </si>
  <si>
    <t>048-950-8286</t>
    <phoneticPr fontId="2"/>
  </si>
  <si>
    <t>獨協大学前（草加松原）駅からバス「昭和橋」下車徒歩5分
※重心型児通所との多機能</t>
    <rPh sb="0" eb="5">
      <t>ドッキョウダイガクマエ</t>
    </rPh>
    <rPh sb="6" eb="10">
      <t>ソウカマツバラ</t>
    </rPh>
    <rPh sb="11" eb="12">
      <t>エキ</t>
    </rPh>
    <rPh sb="17" eb="20">
      <t>ショウワバシ</t>
    </rPh>
    <rPh sb="21" eb="23">
      <t>ゲシャ</t>
    </rPh>
    <rPh sb="23" eb="25">
      <t>トホ</t>
    </rPh>
    <rPh sb="26" eb="27">
      <t>フン</t>
    </rPh>
    <rPh sb="29" eb="31">
      <t>ジュウシン</t>
    </rPh>
    <rPh sb="31" eb="32">
      <t>ガタ</t>
    </rPh>
    <rPh sb="32" eb="33">
      <t>ジ</t>
    </rPh>
    <rPh sb="33" eb="35">
      <t>ツウショ</t>
    </rPh>
    <rPh sb="37" eb="40">
      <t>タキノウ</t>
    </rPh>
    <phoneticPr fontId="2"/>
  </si>
  <si>
    <t>（株）Ｒｅｂａｔｏｎｓ</t>
    <phoneticPr fontId="2"/>
  </si>
  <si>
    <t>といろ久喜</t>
  </si>
  <si>
    <t>本町８丁目５－４８</t>
    <rPh sb="0" eb="2">
      <t>ホンチョウ</t>
    </rPh>
    <rPh sb="3" eb="5">
      <t>チョウメ</t>
    </rPh>
    <phoneticPr fontId="2"/>
  </si>
  <si>
    <t>346-0005</t>
  </si>
  <si>
    <t>080-2067-4653</t>
  </si>
  <si>
    <t>JR久喜駅からバス「中央四丁目」下車徒歩9分</t>
    <rPh sb="2" eb="5">
      <t>クキエキ</t>
    </rPh>
    <rPh sb="16" eb="18">
      <t>ゲシャ</t>
    </rPh>
    <rPh sb="18" eb="20">
      <t>トホ</t>
    </rPh>
    <rPh sb="21" eb="22">
      <t>フン</t>
    </rPh>
    <phoneticPr fontId="2"/>
  </si>
  <si>
    <t>(株)ｔｒｅ　Ａｍｏｒｅ</t>
    <phoneticPr fontId="2"/>
  </si>
  <si>
    <t>３６９～みろくの宿～</t>
    <phoneticPr fontId="2"/>
  </si>
  <si>
    <t>栄町１－４２４－１　ラグーナ春日部２Ｆ</t>
  </si>
  <si>
    <t>080-7590-1369</t>
  </si>
  <si>
    <t>東武スカイツリーライン北春日部駅下車徒歩14分</t>
    <rPh sb="0" eb="2">
      <t>トウブ</t>
    </rPh>
    <rPh sb="11" eb="16">
      <t>キタカスカベエキ</t>
    </rPh>
    <rPh sb="16" eb="18">
      <t>ゲシャ</t>
    </rPh>
    <rPh sb="18" eb="20">
      <t>トホ</t>
    </rPh>
    <rPh sb="22" eb="23">
      <t>フン</t>
    </rPh>
    <phoneticPr fontId="2"/>
  </si>
  <si>
    <t>（福）健翔会</t>
    <rPh sb="1" eb="2">
      <t>フク</t>
    </rPh>
    <rPh sb="3" eb="5">
      <t>ケント</t>
    </rPh>
    <rPh sb="5" eb="6">
      <t>カイ</t>
    </rPh>
    <phoneticPr fontId="2"/>
  </si>
  <si>
    <t>森の木</t>
    <rPh sb="0" eb="1">
      <t>モリ</t>
    </rPh>
    <rPh sb="2" eb="3">
      <t>キ</t>
    </rPh>
    <phoneticPr fontId="2"/>
  </si>
  <si>
    <t>大字小見985番地3</t>
    <rPh sb="0" eb="2">
      <t>オオジ</t>
    </rPh>
    <rPh sb="2" eb="3">
      <t>ショウ</t>
    </rPh>
    <rPh sb="3" eb="4">
      <t>ミ</t>
    </rPh>
    <rPh sb="7" eb="9">
      <t>バンチ</t>
    </rPh>
    <phoneticPr fontId="2"/>
  </si>
  <si>
    <t>048-580-4741</t>
    <phoneticPr fontId="2"/>
  </si>
  <si>
    <t>048-580-4751</t>
    <phoneticPr fontId="2"/>
  </si>
  <si>
    <t>秩父鉄道東行田駅から徒歩20分</t>
    <rPh sb="0" eb="4">
      <t>チチブテツドウ</t>
    </rPh>
    <rPh sb="4" eb="8">
      <t>ヒガシギョウダエキ</t>
    </rPh>
    <rPh sb="10" eb="12">
      <t>トホ</t>
    </rPh>
    <rPh sb="14" eb="15">
      <t>フン</t>
    </rPh>
    <phoneticPr fontId="2"/>
  </si>
  <si>
    <t>株式会社レターズ</t>
    <rPh sb="0" eb="4">
      <t>カブシキカイシャ</t>
    </rPh>
    <phoneticPr fontId="2"/>
  </si>
  <si>
    <t>就労移行ITスクール所沢</t>
    <rPh sb="0" eb="4">
      <t>シュウロウイコウ</t>
    </rPh>
    <rPh sb="10" eb="12">
      <t>トコロザワ</t>
    </rPh>
    <phoneticPr fontId="2"/>
  </si>
  <si>
    <t>くすのき台3丁目1番2号中村ビル２F</t>
    <rPh sb="4" eb="5">
      <t>ダイ</t>
    </rPh>
    <rPh sb="6" eb="8">
      <t>チョウメ</t>
    </rPh>
    <rPh sb="9" eb="10">
      <t>バン</t>
    </rPh>
    <rPh sb="11" eb="12">
      <t>ゴウ</t>
    </rPh>
    <rPh sb="12" eb="14">
      <t>ナカムラ</t>
    </rPh>
    <phoneticPr fontId="2"/>
  </si>
  <si>
    <t>359‐0037</t>
    <phoneticPr fontId="2"/>
  </si>
  <si>
    <t>西武池袋線所沢駅東口から徒歩3分</t>
    <rPh sb="0" eb="5">
      <t>セイブイケブクロセン</t>
    </rPh>
    <rPh sb="5" eb="8">
      <t>トコロザワエキ</t>
    </rPh>
    <rPh sb="8" eb="10">
      <t>ヒガシグチ</t>
    </rPh>
    <rPh sb="12" eb="14">
      <t>トホ</t>
    </rPh>
    <rPh sb="15" eb="16">
      <t>フン</t>
    </rPh>
    <phoneticPr fontId="2"/>
  </si>
  <si>
    <t>04‐2941‐4082</t>
  </si>
  <si>
    <t>04‐2941‐4081</t>
    <phoneticPr fontId="2"/>
  </si>
  <si>
    <t>生活介護事業所あおぞら</t>
    <rPh sb="0" eb="4">
      <t>セイカツカイゴ</t>
    </rPh>
    <rPh sb="4" eb="7">
      <t>ジギョウショ</t>
    </rPh>
    <phoneticPr fontId="2"/>
  </si>
  <si>
    <t>049-299-8864</t>
    <phoneticPr fontId="2"/>
  </si>
  <si>
    <t>(福)平野の里</t>
    <rPh sb="3" eb="5">
      <t>ヒラノ</t>
    </rPh>
    <rPh sb="6" eb="7">
      <t>サト</t>
    </rPh>
    <phoneticPr fontId="2"/>
  </si>
  <si>
    <t>あやめ寮</t>
    <rPh sb="3" eb="4">
      <t>リョウ</t>
    </rPh>
    <phoneticPr fontId="2"/>
  </si>
  <si>
    <t>平野920</t>
    <rPh sb="0" eb="2">
      <t>ヒラノ</t>
    </rPh>
    <phoneticPr fontId="2"/>
  </si>
  <si>
    <t>0480-48-1271</t>
    <phoneticPr fontId="2"/>
  </si>
  <si>
    <t>0480-48-1060</t>
    <phoneticPr fontId="2"/>
  </si>
  <si>
    <t>東武伊勢崎線東武動物公園駅から堺行バス「平野」下車徒歩10分</t>
    <rPh sb="0" eb="2">
      <t>トウブ</t>
    </rPh>
    <rPh sb="2" eb="5">
      <t>イセサキ</t>
    </rPh>
    <rPh sb="5" eb="6">
      <t>セン</t>
    </rPh>
    <rPh sb="6" eb="8">
      <t>トウブ</t>
    </rPh>
    <rPh sb="8" eb="10">
      <t>ドウブツ</t>
    </rPh>
    <rPh sb="10" eb="12">
      <t>コウエン</t>
    </rPh>
    <rPh sb="12" eb="13">
      <t>エキ</t>
    </rPh>
    <rPh sb="15" eb="16">
      <t>サカイ</t>
    </rPh>
    <rPh sb="16" eb="17">
      <t>イ</t>
    </rPh>
    <rPh sb="20" eb="22">
      <t>ヒラノ</t>
    </rPh>
    <rPh sb="23" eb="25">
      <t>ゲシャ</t>
    </rPh>
    <rPh sb="25" eb="27">
      <t>トホ</t>
    </rPh>
    <rPh sb="29" eb="30">
      <t>プン</t>
    </rPh>
    <phoneticPr fontId="2"/>
  </si>
  <si>
    <t>就労継続支援B型みなみ</t>
    <rPh sb="0" eb="6">
      <t>シュウロウケイゾクシエン</t>
    </rPh>
    <rPh sb="7" eb="8">
      <t>ガタ</t>
    </rPh>
    <phoneticPr fontId="2"/>
  </si>
  <si>
    <t>東武日光線幸手駅下車徒歩10分</t>
    <rPh sb="0" eb="2">
      <t>トウブ</t>
    </rPh>
    <rPh sb="2" eb="4">
      <t>ニッコウ</t>
    </rPh>
    <rPh sb="4" eb="5">
      <t>セン</t>
    </rPh>
    <rPh sb="5" eb="7">
      <t>サッテ</t>
    </rPh>
    <rPh sb="7" eb="8">
      <t>エキ</t>
    </rPh>
    <rPh sb="8" eb="10">
      <t>ゲシャ</t>
    </rPh>
    <rPh sb="10" eb="12">
      <t>トホ</t>
    </rPh>
    <rPh sb="14" eb="15">
      <t>プン</t>
    </rPh>
    <phoneticPr fontId="2"/>
  </si>
  <si>
    <t>岡字新田下2642番7</t>
    <rPh sb="0" eb="1">
      <t>オカ</t>
    </rPh>
    <rPh sb="1" eb="2">
      <t>ジ</t>
    </rPh>
    <rPh sb="2" eb="5">
      <t>シンデンシタ</t>
    </rPh>
    <rPh sb="9" eb="10">
      <t>バン</t>
    </rPh>
    <phoneticPr fontId="2"/>
  </si>
  <si>
    <t>北区日進町３－５０１－２</t>
  </si>
  <si>
    <t>北区吉野町２－２２０－１</t>
    <rPh sb="0" eb="2">
      <t>キタク</t>
    </rPh>
    <phoneticPr fontId="6"/>
  </si>
  <si>
    <t>北区日進町２－１８１１－７</t>
  </si>
  <si>
    <t>緑区東浦和１－１７－２　ゆりビル１階B号室</t>
    <rPh sb="2" eb="5">
      <t>ヒガシウラワ</t>
    </rPh>
    <rPh sb="17" eb="18">
      <t>カイ</t>
    </rPh>
    <rPh sb="19" eb="21">
      <t>ゴウシツ</t>
    </rPh>
    <phoneticPr fontId="7"/>
  </si>
  <si>
    <t>休止</t>
    <rPh sb="0" eb="2">
      <t>キュウシ</t>
    </rPh>
    <phoneticPr fontId="37"/>
  </si>
  <si>
    <t>株式会社ワンダフルドア</t>
    <rPh sb="0" eb="4">
      <t>カブシキガイシャ</t>
    </rPh>
    <phoneticPr fontId="2"/>
  </si>
  <si>
    <t>336-0017</t>
    <phoneticPr fontId="37"/>
  </si>
  <si>
    <t>048-813-5311</t>
    <phoneticPr fontId="37"/>
  </si>
  <si>
    <t>048-813-5312</t>
    <phoneticPr fontId="37"/>
  </si>
  <si>
    <t>JR南浦和駅から徒歩５分</t>
    <rPh sb="2" eb="6">
      <t>ミナミウラワエキ</t>
    </rPh>
    <rPh sb="8" eb="10">
      <t>トホ</t>
    </rPh>
    <rPh sb="11" eb="12">
      <t>フン</t>
    </rPh>
    <phoneticPr fontId="2"/>
  </si>
  <si>
    <t>就労支援事業所ワンダーパレット</t>
    <rPh sb="0" eb="2">
      <t>しゅうろう</t>
    </rPh>
    <rPh sb="2" eb="4">
      <t>しえん</t>
    </rPh>
    <rPh sb="4" eb="7">
      <t>じぎょうしょ</t>
    </rPh>
    <phoneticPr fontId="38" type="Hiragana"/>
  </si>
  <si>
    <t>南区南浦和３－３－１７　豊曜ビル２F　</t>
    <phoneticPr fontId="2"/>
  </si>
  <si>
    <t>大宮区仲町２－２５　松亀プレジデントビル３０２</t>
    <phoneticPr fontId="2"/>
  </si>
  <si>
    <t>ＪＲ大宮駅から徒歩5分</t>
    <rPh sb="2" eb="4">
      <t>オオミヤ</t>
    </rPh>
    <rPh sb="4" eb="5">
      <t>エキ</t>
    </rPh>
    <rPh sb="7" eb="9">
      <t>トホ</t>
    </rPh>
    <rPh sb="10" eb="11">
      <t>フン</t>
    </rPh>
    <phoneticPr fontId="2"/>
  </si>
  <si>
    <t>株式会社ＬＯＧＺ</t>
    <rPh sb="0" eb="4">
      <t>カブシキガイシャ</t>
    </rPh>
    <phoneticPr fontId="2"/>
  </si>
  <si>
    <t>就労移行ＩＴスクール大宮</t>
    <rPh sb="0" eb="2">
      <t>しゅうろう</t>
    </rPh>
    <rPh sb="2" eb="4">
      <t>いこう</t>
    </rPh>
    <rPh sb="10" eb="12">
      <t>おおみや</t>
    </rPh>
    <phoneticPr fontId="38" type="Hiragana"/>
  </si>
  <si>
    <t>330-0845</t>
    <phoneticPr fontId="37"/>
  </si>
  <si>
    <t>048-788-5741</t>
    <phoneticPr fontId="37"/>
  </si>
  <si>
    <t>GOOD　THE　GOOD</t>
    <phoneticPr fontId="37" type="Hiragana"/>
  </si>
  <si>
    <t>大宮区宮町３－１－７　宮町ＨＳビル２階Ｄ号室</t>
    <phoneticPr fontId="2"/>
  </si>
  <si>
    <t>048-613-2976</t>
  </si>
  <si>
    <t>ＪＲ大宮駅から徒歩7分</t>
    <rPh sb="2" eb="4">
      <t>オオミヤ</t>
    </rPh>
    <rPh sb="4" eb="5">
      <t>エキ</t>
    </rPh>
    <rPh sb="7" eb="9">
      <t>トホ</t>
    </rPh>
    <rPh sb="10" eb="11">
      <t>フン</t>
    </rPh>
    <phoneticPr fontId="2"/>
  </si>
  <si>
    <t>株式会社EIM Cruise</t>
    <rPh sb="0" eb="4">
      <t>カブシキガイシャ</t>
    </rPh>
    <phoneticPr fontId="2"/>
  </si>
  <si>
    <t>EIM WORKS 大宮</t>
    <rPh sb="10" eb="12">
      <t>おおみや</t>
    </rPh>
    <phoneticPr fontId="38" type="Hiragana"/>
  </si>
  <si>
    <t>330-0802</t>
    <phoneticPr fontId="37"/>
  </si>
  <si>
    <t>048-611-6250</t>
    <phoneticPr fontId="37"/>
  </si>
  <si>
    <t>岩槻区本町１－３－１１　原田ビル２階３階</t>
    <phoneticPr fontId="2"/>
  </si>
  <si>
    <t>048-812-8872</t>
  </si>
  <si>
    <t>東部アーバンパークライン岩槻駅から徒歩４分</t>
    <rPh sb="0" eb="2">
      <t>トウブ</t>
    </rPh>
    <rPh sb="12" eb="14">
      <t>イワツキ</t>
    </rPh>
    <rPh sb="14" eb="15">
      <t>エキ</t>
    </rPh>
    <rPh sb="17" eb="19">
      <t>トホ</t>
    </rPh>
    <rPh sb="20" eb="21">
      <t>フン</t>
    </rPh>
    <phoneticPr fontId="2"/>
  </si>
  <si>
    <t>株式会社SkillFul</t>
    <rPh sb="0" eb="4">
      <t>カブシキガイシャ</t>
    </rPh>
    <phoneticPr fontId="2"/>
  </si>
  <si>
    <t>スキルフル</t>
    <phoneticPr fontId="38" type="Hiragana"/>
  </si>
  <si>
    <t>339-0057</t>
    <phoneticPr fontId="37"/>
  </si>
  <si>
    <t>048-812-8871</t>
    <phoneticPr fontId="37"/>
  </si>
  <si>
    <t>北区宮原町１－８５３－８　ウェルネスキューブ大宮５階</t>
    <phoneticPr fontId="2"/>
  </si>
  <si>
    <t>ニューシャトル加茂宮駅より徒歩10分　運営法人の変更に伴う新規指定</t>
    <rPh sb="7" eb="10">
      <t>カモノミヤ</t>
    </rPh>
    <rPh sb="10" eb="11">
      <t>エキ</t>
    </rPh>
    <rPh sb="13" eb="15">
      <t>トホ</t>
    </rPh>
    <rPh sb="17" eb="18">
      <t>フン</t>
    </rPh>
    <rPh sb="19" eb="21">
      <t>ウンエイ</t>
    </rPh>
    <rPh sb="21" eb="23">
      <t>ホウジン</t>
    </rPh>
    <rPh sb="24" eb="26">
      <t>ヘンコウ</t>
    </rPh>
    <rPh sb="27" eb="28">
      <t>トモナ</t>
    </rPh>
    <rPh sb="29" eb="31">
      <t>シンキ</t>
    </rPh>
    <rPh sb="31" eb="33">
      <t>シテイ</t>
    </rPh>
    <phoneticPr fontId="2"/>
  </si>
  <si>
    <t>株式会社ｂｌｏｏｍ</t>
    <rPh sb="0" eb="4">
      <t>カブシキガイシャ</t>
    </rPh>
    <phoneticPr fontId="2"/>
  </si>
  <si>
    <t>ブロッサムさいたま</t>
    <phoneticPr fontId="38" type="Hiragana"/>
  </si>
  <si>
    <t>048-729-7766</t>
    <phoneticPr fontId="37"/>
  </si>
  <si>
    <t>株式会社stara</t>
    <rPh sb="0" eb="4">
      <t>カブシキガイシャ</t>
    </rPh>
    <phoneticPr fontId="2"/>
  </si>
  <si>
    <t>就労定着支援事業所stara越谷</t>
    <rPh sb="0" eb="9">
      <t>シュウロウテイチャクシエンジギョウショ</t>
    </rPh>
    <rPh sb="14" eb="16">
      <t>コシガヤ</t>
    </rPh>
    <phoneticPr fontId="2"/>
  </si>
  <si>
    <t>埼玉県越谷市瓦曽根1-20-6</t>
    <rPh sb="6" eb="9">
      <t>カワラソネ</t>
    </rPh>
    <phoneticPr fontId="2"/>
  </si>
  <si>
    <t>343-0821</t>
    <phoneticPr fontId="2"/>
  </si>
  <si>
    <t>東武スカイツリーライン越谷駅徒歩5分</t>
    <rPh sb="0" eb="2">
      <t>トウブ</t>
    </rPh>
    <rPh sb="11" eb="13">
      <t>コシガヤ</t>
    </rPh>
    <rPh sb="13" eb="14">
      <t>エキ</t>
    </rPh>
    <rPh sb="14" eb="16">
      <t>トホ</t>
    </rPh>
    <rPh sb="17" eb="18">
      <t>プン</t>
    </rPh>
    <phoneticPr fontId="2"/>
  </si>
  <si>
    <t>有限会社　碧空</t>
    <phoneticPr fontId="2"/>
  </si>
  <si>
    <t>○</t>
    <phoneticPr fontId="2"/>
  </si>
  <si>
    <t>JR川越線南古谷駅から車で６分</t>
    <rPh sb="2" eb="5">
      <t>カワゴエセン</t>
    </rPh>
    <rPh sb="5" eb="6">
      <t>ミナミ</t>
    </rPh>
    <rPh sb="6" eb="8">
      <t>フルヤ</t>
    </rPh>
    <rPh sb="8" eb="9">
      <t>エキ</t>
    </rPh>
    <rPh sb="11" eb="12">
      <t>クルマ</t>
    </rPh>
    <rPh sb="14" eb="15">
      <t>フン</t>
    </rPh>
    <phoneticPr fontId="2"/>
  </si>
  <si>
    <t>tocotoco home 川越（短期入所）</t>
    <phoneticPr fontId="2"/>
  </si>
  <si>
    <t>木野目222-1</t>
    <rPh sb="0" eb="3">
      <t>キノメ</t>
    </rPh>
    <phoneticPr fontId="33"/>
  </si>
  <si>
    <t>049-256-7038</t>
    <phoneticPr fontId="2"/>
  </si>
  <si>
    <t>株式会社エンゼルランプ</t>
    <phoneticPr fontId="2"/>
  </si>
  <si>
    <t>JR川越線南古谷駅から徒歩８分</t>
    <rPh sb="2" eb="5">
      <t>カワゴエセン</t>
    </rPh>
    <rPh sb="5" eb="6">
      <t>ミナミ</t>
    </rPh>
    <rPh sb="6" eb="8">
      <t>フルヤ</t>
    </rPh>
    <rPh sb="8" eb="9">
      <t>エキ</t>
    </rPh>
    <rPh sb="11" eb="13">
      <t>トホ</t>
    </rPh>
    <rPh sb="14" eb="15">
      <t>フン</t>
    </rPh>
    <phoneticPr fontId="2"/>
  </si>
  <si>
    <t>がじゅまるのいえ南古谷</t>
    <phoneticPr fontId="2"/>
  </si>
  <si>
    <t>並木西町13-4</t>
    <phoneticPr fontId="33"/>
  </si>
  <si>
    <t>350-0025</t>
    <phoneticPr fontId="2"/>
  </si>
  <si>
    <t>048-788-3430</t>
    <phoneticPr fontId="2"/>
  </si>
  <si>
    <t>〇</t>
    <phoneticPr fontId="2" type="Hiragana"/>
  </si>
  <si>
    <t>株式会社ココルポート</t>
    <rPh sb="0" eb="4">
      <t>かぶしきかいしゃ</t>
    </rPh>
    <phoneticPr fontId="2" type="Hiragana"/>
  </si>
  <si>
    <t>Ｃｏｃｏｒｐｏｒｔ　Ｒｅｗｏｒｋ　川口駅前</t>
    <rPh sb="17" eb="19">
      <t>かわぐち</t>
    </rPh>
    <rPh sb="19" eb="21">
      <t>えきまえ</t>
    </rPh>
    <phoneticPr fontId="2" type="Hiragana"/>
  </si>
  <si>
    <t>埼玉県川口市栄町3-1-14　5階Ａ号室</t>
    <rPh sb="0" eb="3">
      <t>さいたまけん</t>
    </rPh>
    <rPh sb="3" eb="6">
      <t>かわぐちし</t>
    </rPh>
    <rPh sb="6" eb="8">
      <t>えいまち</t>
    </rPh>
    <rPh sb="16" eb="17">
      <t>かい</t>
    </rPh>
    <rPh sb="18" eb="19">
      <t>ごう</t>
    </rPh>
    <rPh sb="19" eb="20">
      <t>しつ</t>
    </rPh>
    <phoneticPr fontId="2" type="Hiragana"/>
  </si>
  <si>
    <t>Mots Lab合同会社</t>
    <rPh sb="8" eb="12">
      <t>ゴウドウガイシャ</t>
    </rPh>
    <phoneticPr fontId="5"/>
  </si>
  <si>
    <t>048-948-8778</t>
    <phoneticPr fontId="2"/>
  </si>
  <si>
    <t>ＳＯＣＩＡＬＳＱＵＡＲＥ草加谷塚</t>
    <phoneticPr fontId="2"/>
  </si>
  <si>
    <t>（株）ひよこの里</t>
    <rPh sb="0" eb="3">
      <t>カブ</t>
    </rPh>
    <rPh sb="7" eb="8">
      <t>サト</t>
    </rPh>
    <phoneticPr fontId="2"/>
  </si>
  <si>
    <t>ひよこの里　草加</t>
    <rPh sb="4" eb="5">
      <t>サト</t>
    </rPh>
    <rPh sb="6" eb="8">
      <t>ソウカ</t>
    </rPh>
    <phoneticPr fontId="2"/>
  </si>
  <si>
    <t>弁天１－６－１７</t>
    <rPh sb="0" eb="2">
      <t>ベンテン</t>
    </rPh>
    <phoneticPr fontId="2"/>
  </si>
  <si>
    <t>048‐912‐1352</t>
    <phoneticPr fontId="2"/>
  </si>
  <si>
    <t>東武伊勢崎線草加駅から車で11分</t>
    <rPh sb="0" eb="6">
      <t>トウブイセサキセン</t>
    </rPh>
    <rPh sb="6" eb="9">
      <t>ソウカエキ</t>
    </rPh>
    <rPh sb="11" eb="12">
      <t>クルマ</t>
    </rPh>
    <rPh sb="15" eb="16">
      <t>フン</t>
    </rPh>
    <phoneticPr fontId="2"/>
  </si>
  <si>
    <t>ジョブタス春日部事業所</t>
  </si>
  <si>
    <t>大場８７０－６</t>
    <rPh sb="0" eb="2">
      <t>オオバ</t>
    </rPh>
    <phoneticPr fontId="2"/>
  </si>
  <si>
    <t>344-0031</t>
  </si>
  <si>
    <t>048-872-6473</t>
  </si>
  <si>
    <t>048-872-6476</t>
  </si>
  <si>
    <t>（一社）歩未</t>
    <rPh sb="1" eb="3">
      <t>イッシャ</t>
    </rPh>
    <rPh sb="4" eb="5">
      <t>アユ</t>
    </rPh>
    <rPh sb="5" eb="6">
      <t>ミ</t>
    </rPh>
    <phoneticPr fontId="2"/>
  </si>
  <si>
    <t>ゆめの森</t>
    <rPh sb="3" eb="4">
      <t>モリ</t>
    </rPh>
    <phoneticPr fontId="2"/>
  </si>
  <si>
    <t>松伏２４８２－１</t>
    <rPh sb="0" eb="2">
      <t>マツブシ</t>
    </rPh>
    <phoneticPr fontId="2"/>
  </si>
  <si>
    <t>048-940-1070</t>
    <phoneticPr fontId="2"/>
  </si>
  <si>
    <t>048-940-3223</t>
    <phoneticPr fontId="2"/>
  </si>
  <si>
    <t>(株)Waiwai housing</t>
    <rPh sb="0" eb="3">
      <t>カブ</t>
    </rPh>
    <phoneticPr fontId="2"/>
  </si>
  <si>
    <t>ワークテラスUME-NOKI</t>
    <phoneticPr fontId="2"/>
  </si>
  <si>
    <t>越生町</t>
    <rPh sb="0" eb="3">
      <t>オゴセマチ</t>
    </rPh>
    <phoneticPr fontId="2"/>
  </si>
  <si>
    <t>春日１丁目１番地２５</t>
    <rPh sb="0" eb="2">
      <t>カスガ</t>
    </rPh>
    <rPh sb="3" eb="5">
      <t>チョウメ</t>
    </rPh>
    <rPh sb="6" eb="8">
      <t>バンチ</t>
    </rPh>
    <phoneticPr fontId="2"/>
  </si>
  <si>
    <t>355-0047</t>
    <phoneticPr fontId="2"/>
  </si>
  <si>
    <t xml:space="preserve">049-295-4660 </t>
    <phoneticPr fontId="2"/>
  </si>
  <si>
    <t>東武鉄道越生線越生駅から徒歩6分</t>
    <rPh sb="7" eb="10">
      <t>オゴセエキ</t>
    </rPh>
    <rPh sb="12" eb="14">
      <t>トホ</t>
    </rPh>
    <rPh sb="15" eb="16">
      <t>プン</t>
    </rPh>
    <phoneticPr fontId="2"/>
  </si>
  <si>
    <t>(特非)ひなたぼっこ</t>
    <phoneticPr fontId="2"/>
  </si>
  <si>
    <t>(労協)ワーカーズコープ・センター事業団</t>
    <rPh sb="1" eb="3">
      <t>ロウキョウ</t>
    </rPh>
    <rPh sb="17" eb="20">
      <t>ジギョウダン</t>
    </rPh>
    <phoneticPr fontId="2"/>
  </si>
  <si>
    <t>048-546-2557</t>
  </si>
  <si>
    <t>048-585-8222</t>
  </si>
  <si>
    <t>（福）　健翔会</t>
    <rPh sb="4" eb="6">
      <t>ケント</t>
    </rPh>
    <rPh sb="6" eb="7">
      <t>カイ</t>
    </rPh>
    <phoneticPr fontId="2"/>
  </si>
  <si>
    <t>くらすわ</t>
    <phoneticPr fontId="2"/>
  </si>
  <si>
    <t>行田市</t>
    <rPh sb="0" eb="2">
      <t>ギョウダ</t>
    </rPh>
    <rPh sb="2" eb="3">
      <t>シ</t>
    </rPh>
    <phoneticPr fontId="2"/>
  </si>
  <si>
    <t>大字谷郷2027番地1</t>
    <rPh sb="0" eb="2">
      <t>オオジ</t>
    </rPh>
    <rPh sb="2" eb="4">
      <t>タニゴウ</t>
    </rPh>
    <rPh sb="8" eb="10">
      <t>バンチ</t>
    </rPh>
    <phoneticPr fontId="2"/>
  </si>
  <si>
    <t>361-0062</t>
    <phoneticPr fontId="2"/>
  </si>
  <si>
    <t>048-598-6156</t>
    <phoneticPr fontId="2"/>
  </si>
  <si>
    <t>048-598-6157</t>
  </si>
  <si>
    <t>行田市駅より徒歩15分
※共同生活援助との併設</t>
    <rPh sb="0" eb="4">
      <t>ギョウダシエキ</t>
    </rPh>
    <rPh sb="6" eb="8">
      <t>トホ</t>
    </rPh>
    <rPh sb="10" eb="11">
      <t>フン</t>
    </rPh>
    <rPh sb="13" eb="19">
      <t>キョウドウセイカツエンジョ</t>
    </rPh>
    <rPh sb="21" eb="23">
      <t>ヘイセツ</t>
    </rPh>
    <phoneticPr fontId="2"/>
  </si>
  <si>
    <t>04‐2969‐0577</t>
    <phoneticPr fontId="2"/>
  </si>
  <si>
    <t>04‐2969‐0578</t>
    <phoneticPr fontId="2"/>
  </si>
  <si>
    <t>ユースタイルリビング　所沢　生活介護</t>
    <rPh sb="11" eb="13">
      <t>トコロザワ</t>
    </rPh>
    <rPh sb="14" eb="18">
      <t>セイカツカイゴ</t>
    </rPh>
    <phoneticPr fontId="2"/>
  </si>
  <si>
    <t>東狭山ヶ丘一丁目10番地1</t>
    <rPh sb="0" eb="5">
      <t>ヒガシサヤマガオカ</t>
    </rPh>
    <rPh sb="5" eb="8">
      <t>イッチョウメ</t>
    </rPh>
    <rPh sb="10" eb="12">
      <t>バンチ</t>
    </rPh>
    <phoneticPr fontId="2"/>
  </si>
  <si>
    <t>359‐1106</t>
    <phoneticPr fontId="2"/>
  </si>
  <si>
    <t>04‐2996‐8240</t>
    <phoneticPr fontId="2"/>
  </si>
  <si>
    <t>04‐2996‐8250</t>
  </si>
  <si>
    <t>Aネクストワークス株式会社</t>
    <rPh sb="9" eb="13">
      <t>カブシキカイシャ</t>
    </rPh>
    <phoneticPr fontId="2"/>
  </si>
  <si>
    <t>ANELLA　CAFE　ふじみ野店</t>
    <rPh sb="15" eb="17">
      <t>ノテン</t>
    </rPh>
    <phoneticPr fontId="2"/>
  </si>
  <si>
    <t>ふじみ野東2‐1‐1
グリーンテラスふじみ野1階</t>
    <rPh sb="3" eb="5">
      <t>ノヒガシ</t>
    </rPh>
    <rPh sb="21" eb="22">
      <t>ノ</t>
    </rPh>
    <rPh sb="23" eb="24">
      <t>カイ</t>
    </rPh>
    <phoneticPr fontId="2"/>
  </si>
  <si>
    <t>354‐0036</t>
    <phoneticPr fontId="2"/>
  </si>
  <si>
    <t>049‐265‐6731</t>
    <phoneticPr fontId="2"/>
  </si>
  <si>
    <t>049‐265‐6732</t>
    <phoneticPr fontId="2"/>
  </si>
  <si>
    <t>東武東上線ふじみ野駅より徒歩4分</t>
    <rPh sb="0" eb="5">
      <t>トウブトウジョウセン</t>
    </rPh>
    <rPh sb="8" eb="10">
      <t>ノエキ</t>
    </rPh>
    <rPh sb="12" eb="14">
      <t>トホ</t>
    </rPh>
    <rPh sb="15" eb="16">
      <t>フン</t>
    </rPh>
    <phoneticPr fontId="2"/>
  </si>
  <si>
    <t>西武池袋線仏子駅下車タクシー15分
※児童発達支援・放課後等デイサービスとの併設
（R8.7～休止中）</t>
    <rPh sb="19" eb="21">
      <t>ジドウ</t>
    </rPh>
    <rPh sb="21" eb="23">
      <t>ハッタツ</t>
    </rPh>
    <rPh sb="23" eb="25">
      <t>シエン</t>
    </rPh>
    <rPh sb="26" eb="29">
      <t>ホウカゴ</t>
    </rPh>
    <rPh sb="29" eb="30">
      <t>トウ</t>
    </rPh>
    <rPh sb="38" eb="40">
      <t>ヘイセツ</t>
    </rPh>
    <rPh sb="47" eb="50">
      <t>キュウシチュウ</t>
    </rPh>
    <phoneticPr fontId="2"/>
  </si>
  <si>
    <t>西武池袋線東久留米駅北口から徒歩18分
※児通所との多機能
（R8.4～休止）</t>
    <rPh sb="0" eb="5">
      <t>セイブイケブクロセン</t>
    </rPh>
    <rPh sb="5" eb="10">
      <t>ヒガシクルメエキ</t>
    </rPh>
    <rPh sb="10" eb="12">
      <t>キタグチ</t>
    </rPh>
    <rPh sb="14" eb="16">
      <t>トホ</t>
    </rPh>
    <rPh sb="18" eb="19">
      <t>フン</t>
    </rPh>
    <rPh sb="21" eb="24">
      <t>ジツウショ</t>
    </rPh>
    <rPh sb="26" eb="29">
      <t>タキノウ</t>
    </rPh>
    <rPh sb="36" eb="38">
      <t>キュウシ</t>
    </rPh>
    <phoneticPr fontId="2"/>
  </si>
  <si>
    <t>（一社）正和会</t>
    <rPh sb="1" eb="3">
      <t>イッシャ</t>
    </rPh>
    <rPh sb="4" eb="7">
      <t>セイワカイ</t>
    </rPh>
    <phoneticPr fontId="2"/>
  </si>
  <si>
    <t>オフィス　かえで</t>
    <phoneticPr fontId="2"/>
  </si>
  <si>
    <t>一ノ割１丁目７番４－１号</t>
    <rPh sb="0" eb="1">
      <t>イチ</t>
    </rPh>
    <rPh sb="2" eb="3">
      <t>ワリ</t>
    </rPh>
    <rPh sb="3" eb="6">
      <t>イッチョウメ</t>
    </rPh>
    <rPh sb="7" eb="8">
      <t>バン</t>
    </rPh>
    <rPh sb="11" eb="12">
      <t>ゴウ</t>
    </rPh>
    <phoneticPr fontId="2"/>
  </si>
  <si>
    <t>東部スカイツリーライン一ノ割駅徒歩３分</t>
    <rPh sb="0" eb="2">
      <t>トウブ</t>
    </rPh>
    <rPh sb="11" eb="12">
      <t>イチ</t>
    </rPh>
    <rPh sb="13" eb="15">
      <t>ワリエキ</t>
    </rPh>
    <rPh sb="15" eb="17">
      <t>トホ</t>
    </rPh>
    <rPh sb="18" eb="19">
      <t>フン</t>
    </rPh>
    <phoneticPr fontId="2"/>
  </si>
  <si>
    <t>中央1-8-7 ﾌﾟﾚｼﾞﾃﾞﾝﾄ2階</t>
    <rPh sb="0" eb="2">
      <t>チュウオウ</t>
    </rPh>
    <rPh sb="18" eb="19">
      <t>カイ</t>
    </rPh>
    <phoneticPr fontId="2"/>
  </si>
  <si>
    <t>株式会社ぶるーむ</t>
    <rPh sb="0" eb="4">
      <t>カブシキガイシャ</t>
    </rPh>
    <phoneticPr fontId="2"/>
  </si>
  <si>
    <t>ぶるーむ蒲生</t>
    <rPh sb="4" eb="6">
      <t>ガモウ</t>
    </rPh>
    <phoneticPr fontId="2"/>
  </si>
  <si>
    <t>埼玉県越谷市蒲生寿町5番20号フォーレスト壱番館1,2階</t>
    <rPh sb="6" eb="8">
      <t>ガモウ</t>
    </rPh>
    <rPh sb="8" eb="10">
      <t>コトブキチョウ</t>
    </rPh>
    <rPh sb="11" eb="12">
      <t>バン</t>
    </rPh>
    <rPh sb="14" eb="15">
      <t>ゴウ</t>
    </rPh>
    <rPh sb="21" eb="24">
      <t>イチバンカン</t>
    </rPh>
    <rPh sb="27" eb="28">
      <t>カイ</t>
    </rPh>
    <phoneticPr fontId="2"/>
  </si>
  <si>
    <t>090-9833-6169</t>
    <phoneticPr fontId="2"/>
  </si>
  <si>
    <t>東武スカイツリーライン蒲生駅東口徒歩4分</t>
    <rPh sb="11" eb="13">
      <t>ガモウ</t>
    </rPh>
    <rPh sb="13" eb="14">
      <t>エキ</t>
    </rPh>
    <rPh sb="14" eb="16">
      <t>ヒガシグチ</t>
    </rPh>
    <rPh sb="16" eb="18">
      <t>トホ</t>
    </rPh>
    <rPh sb="19" eb="20">
      <t>プン</t>
    </rPh>
    <phoneticPr fontId="2"/>
  </si>
  <si>
    <t>株式会社はるとな</t>
    <rPh sb="0" eb="4">
      <t>カブシキガイシャ</t>
    </rPh>
    <phoneticPr fontId="2"/>
  </si>
  <si>
    <t>就労継続支援B型事業所MiraJob蒲生</t>
    <rPh sb="0" eb="2">
      <t>シュウロウ</t>
    </rPh>
    <rPh sb="2" eb="4">
      <t>ケイゾク</t>
    </rPh>
    <rPh sb="4" eb="6">
      <t>シエン</t>
    </rPh>
    <rPh sb="7" eb="8">
      <t>ガタ</t>
    </rPh>
    <rPh sb="8" eb="11">
      <t>ジギョウショ</t>
    </rPh>
    <rPh sb="18" eb="20">
      <t>ガモウ</t>
    </rPh>
    <phoneticPr fontId="2"/>
  </si>
  <si>
    <t>埼玉県越谷市蒲生茜町12-7アカネプラザ301</t>
    <rPh sb="6" eb="8">
      <t>ガモウ</t>
    </rPh>
    <rPh sb="8" eb="10">
      <t>アカネチョウ</t>
    </rPh>
    <phoneticPr fontId="2"/>
  </si>
  <si>
    <t>343-0843</t>
    <phoneticPr fontId="2"/>
  </si>
  <si>
    <t>080-4503-2394</t>
    <phoneticPr fontId="2"/>
  </si>
  <si>
    <t>東武スカイツリーライン蒲生駅西口徒歩1分</t>
    <rPh sb="0" eb="2">
      <t>トウブ</t>
    </rPh>
    <rPh sb="11" eb="13">
      <t>ガモウ</t>
    </rPh>
    <rPh sb="13" eb="14">
      <t>エキ</t>
    </rPh>
    <rPh sb="14" eb="16">
      <t>ニシグチ</t>
    </rPh>
    <rPh sb="16" eb="18">
      <t>トホ</t>
    </rPh>
    <rPh sb="19" eb="20">
      <t>プン</t>
    </rPh>
    <phoneticPr fontId="2"/>
  </si>
  <si>
    <t>一般社団法人支援事業協会</t>
    <rPh sb="0" eb="6">
      <t>イッパンシャダンホウジン</t>
    </rPh>
    <rPh sb="6" eb="8">
      <t>シエン</t>
    </rPh>
    <rPh sb="8" eb="10">
      <t>ジギョウ</t>
    </rPh>
    <rPh sb="10" eb="12">
      <t>キョウカイ</t>
    </rPh>
    <phoneticPr fontId="2"/>
  </si>
  <si>
    <t>埼玉県越谷市蒲生寿町18-43　朝日プラザ越谷第2ビル202号室</t>
    <rPh sb="0" eb="6">
      <t>サイタマケンコシガヤシ</t>
    </rPh>
    <rPh sb="6" eb="8">
      <t>ガモウ</t>
    </rPh>
    <rPh sb="8" eb="10">
      <t>コトブキチョウ</t>
    </rPh>
    <rPh sb="16" eb="18">
      <t>アサヒ</t>
    </rPh>
    <rPh sb="21" eb="23">
      <t>コシガヤ</t>
    </rPh>
    <rPh sb="23" eb="24">
      <t>ダイ</t>
    </rPh>
    <rPh sb="30" eb="32">
      <t>ゴウシツ</t>
    </rPh>
    <phoneticPr fontId="2"/>
  </si>
  <si>
    <t>0120-169-246</t>
    <phoneticPr fontId="2"/>
  </si>
  <si>
    <t>東武スカイツリーライン蒲生駅徒歩1、2分</t>
    <rPh sb="0" eb="2">
      <t>トウブ</t>
    </rPh>
    <rPh sb="11" eb="13">
      <t>ガモウ</t>
    </rPh>
    <rPh sb="13" eb="14">
      <t>エキ</t>
    </rPh>
    <rPh sb="14" eb="16">
      <t>トホ</t>
    </rPh>
    <rPh sb="19" eb="20">
      <t>プン</t>
    </rPh>
    <phoneticPr fontId="2"/>
  </si>
  <si>
    <t>南区鹿手袋３－２３－３０</t>
    <phoneticPr fontId="2"/>
  </si>
  <si>
    <t>090-3349-7930</t>
    <phoneticPr fontId="37"/>
  </si>
  <si>
    <t>050-4560-2267</t>
    <phoneticPr fontId="37"/>
  </si>
  <si>
    <t>JR中浦和駅より徒歩6分</t>
    <rPh sb="2" eb="5">
      <t>ナカウラワ</t>
    </rPh>
    <rPh sb="5" eb="6">
      <t>エキ</t>
    </rPh>
    <rPh sb="8" eb="10">
      <t>トホ</t>
    </rPh>
    <rPh sb="11" eb="12">
      <t>プン</t>
    </rPh>
    <phoneticPr fontId="2"/>
  </si>
  <si>
    <t>岩槻区南下新井1108-7</t>
    <phoneticPr fontId="2"/>
  </si>
  <si>
    <t>朝日バス村国入口停留所より徒歩12分</t>
    <rPh sb="0" eb="2">
      <t>アサヒ</t>
    </rPh>
    <rPh sb="4" eb="6">
      <t>ムラクニ</t>
    </rPh>
    <rPh sb="6" eb="8">
      <t>イリグチ</t>
    </rPh>
    <rPh sb="8" eb="11">
      <t>テイリュウジョ</t>
    </rPh>
    <rPh sb="13" eb="15">
      <t>トホ</t>
    </rPh>
    <rPh sb="17" eb="18">
      <t>フン</t>
    </rPh>
    <phoneticPr fontId="2"/>
  </si>
  <si>
    <t>ＪＲ大宮駅より徒歩４分</t>
    <rPh sb="2" eb="4">
      <t>オオミヤ</t>
    </rPh>
    <rPh sb="4" eb="5">
      <t>エキ</t>
    </rPh>
    <rPh sb="7" eb="9">
      <t>トホ</t>
    </rPh>
    <rPh sb="10" eb="11">
      <t>フン</t>
    </rPh>
    <phoneticPr fontId="2"/>
  </si>
  <si>
    <t>北区宮原町１－８５３－８　　ウェルネスキューブ大宮５Ｆ</t>
    <phoneticPr fontId="2"/>
  </si>
  <si>
    <t>さいたま市コミュニティバス「ステラタウン」より徒歩1分</t>
    <rPh sb="4" eb="5">
      <t>シ</t>
    </rPh>
    <rPh sb="23" eb="25">
      <t>トホ</t>
    </rPh>
    <rPh sb="26" eb="27">
      <t>フン</t>
    </rPh>
    <phoneticPr fontId="2"/>
  </si>
  <si>
    <t>北区宮原町１－８２５－１</t>
    <phoneticPr fontId="2"/>
  </si>
  <si>
    <t>048-782-5948</t>
  </si>
  <si>
    <t>ＪＲ東宮原駅より徒歩４分</t>
    <rPh sb="2" eb="3">
      <t>ヒガシ</t>
    </rPh>
    <rPh sb="3" eb="5">
      <t>ミヤハラ</t>
    </rPh>
    <rPh sb="5" eb="6">
      <t>エキ</t>
    </rPh>
    <rPh sb="8" eb="10">
      <t>トホ</t>
    </rPh>
    <rPh sb="11" eb="12">
      <t>フン</t>
    </rPh>
    <phoneticPr fontId="2"/>
  </si>
  <si>
    <t>中央区本町東４－９－８</t>
    <phoneticPr fontId="2"/>
  </si>
  <si>
    <t>070-4553-2868</t>
    <phoneticPr fontId="37"/>
  </si>
  <si>
    <t>ＪＲ与野本町駅より徒歩12分</t>
    <rPh sb="2" eb="6">
      <t>ヨノホンマチ</t>
    </rPh>
    <rPh sb="6" eb="7">
      <t>エキ</t>
    </rPh>
    <rPh sb="9" eb="11">
      <t>トホ</t>
    </rPh>
    <rPh sb="13" eb="14">
      <t>フン</t>
    </rPh>
    <phoneticPr fontId="2"/>
  </si>
  <si>
    <t>株式会社フロー</t>
    <rPh sb="0" eb="4">
      <t>カブシキガイシャ</t>
    </rPh>
    <phoneticPr fontId="2"/>
  </si>
  <si>
    <t>OK自立支援事業所　しか館</t>
    <rPh sb="2" eb="4">
      <t>じりつ</t>
    </rPh>
    <rPh sb="4" eb="6">
      <t>しえん</t>
    </rPh>
    <rPh sb="6" eb="9">
      <t>じぎょうしょ</t>
    </rPh>
    <rPh sb="12" eb="13">
      <t>かん</t>
    </rPh>
    <phoneticPr fontId="38" type="Hiragana"/>
  </si>
  <si>
    <t>336-0031</t>
    <phoneticPr fontId="37"/>
  </si>
  <si>
    <t>株式会社介護サービスひまわり</t>
    <rPh sb="0" eb="4">
      <t>カブ</t>
    </rPh>
    <rPh sb="4" eb="6">
      <t>カイゴ</t>
    </rPh>
    <phoneticPr fontId="2"/>
  </si>
  <si>
    <t>ひまわり</t>
    <phoneticPr fontId="38" type="Hiragana"/>
  </si>
  <si>
    <t>339-0032</t>
    <phoneticPr fontId="37"/>
  </si>
  <si>
    <t>048-796-0707</t>
    <phoneticPr fontId="37"/>
  </si>
  <si>
    <t>株式会社ユナイテッドマジック</t>
    <rPh sb="0" eb="4">
      <t>カブシキガイシャ</t>
    </rPh>
    <phoneticPr fontId="2"/>
  </si>
  <si>
    <t>にじげん大宮</t>
    <rPh sb="4" eb="6">
      <t>おおみや</t>
    </rPh>
    <phoneticPr fontId="38" type="Hiragana"/>
  </si>
  <si>
    <t>大宮区宮町２－１０　シンテイ大宮ビル３Ｆ－Ａ</t>
    <rPh sb="0" eb="2">
      <t>オオミヤク</t>
    </rPh>
    <rPh sb="2" eb="4">
      <t>ミヤマチ</t>
    </rPh>
    <rPh sb="13" eb="15">
      <t>オオミヤ</t>
    </rPh>
    <phoneticPr fontId="2"/>
  </si>
  <si>
    <t>048-662-9678</t>
    <phoneticPr fontId="37"/>
  </si>
  <si>
    <t>株式会社アップコム</t>
    <rPh sb="0" eb="4">
      <t>カブシキカイシャ</t>
    </rPh>
    <phoneticPr fontId="2"/>
  </si>
  <si>
    <t>グロウ＋</t>
    <phoneticPr fontId="38" type="Hiragana"/>
  </si>
  <si>
    <t>03-6709-8776</t>
    <phoneticPr fontId="37"/>
  </si>
  <si>
    <t>株式会社Coo&amp;RIKU</t>
    <rPh sb="0" eb="4">
      <t>カブシキカイシャ</t>
    </rPh>
    <phoneticPr fontId="2"/>
  </si>
  <si>
    <t>就労継続支援B型事業所　はこぶね宮原</t>
    <rPh sb="0" eb="2">
      <t>しゅうろう</t>
    </rPh>
    <rPh sb="2" eb="4">
      <t>けいぞく</t>
    </rPh>
    <rPh sb="4" eb="6">
      <t>しえん</t>
    </rPh>
    <rPh sb="7" eb="8">
      <t>がた</t>
    </rPh>
    <rPh sb="8" eb="11">
      <t>じぎょうしょ</t>
    </rPh>
    <rPh sb="16" eb="18">
      <t>みやはら</t>
    </rPh>
    <phoneticPr fontId="38" type="Hiragana"/>
  </si>
  <si>
    <t>048-782-9005</t>
    <phoneticPr fontId="37"/>
  </si>
  <si>
    <t>株式会社はるとな</t>
    <rPh sb="0" eb="4">
      <t>カブ</t>
    </rPh>
    <phoneticPr fontId="2"/>
  </si>
  <si>
    <t>就労継続支援B型事業所MiraJob与野本町</t>
    <rPh sb="0" eb="6">
      <t>しゅうろうけいぞくしえん</t>
    </rPh>
    <rPh sb="7" eb="8">
      <t>かた</t>
    </rPh>
    <rPh sb="8" eb="11">
      <t>じぎょうしょ</t>
    </rPh>
    <rPh sb="18" eb="22">
      <t>よのほんまち</t>
    </rPh>
    <phoneticPr fontId="38" type="Hiragana"/>
  </si>
  <si>
    <t>338-0003</t>
    <phoneticPr fontId="37"/>
  </si>
  <si>
    <t>080-4743-2360</t>
    <phoneticPr fontId="2" type="Hiragana"/>
  </si>
  <si>
    <t>株式会社usform</t>
    <rPh sb="0" eb="4">
      <t>カブシキガイシャ</t>
    </rPh>
    <phoneticPr fontId="2"/>
  </si>
  <si>
    <t>あすほーむ川口南町ショートステイ</t>
    <rPh sb="5" eb="9">
      <t>カワグチミナミチョウ</t>
    </rPh>
    <phoneticPr fontId="2"/>
  </si>
  <si>
    <t>南町2-2-26</t>
    <rPh sb="0" eb="2">
      <t>ミナミチョウ</t>
    </rPh>
    <phoneticPr fontId="2"/>
  </si>
  <si>
    <t>332-0026</t>
    <phoneticPr fontId="2"/>
  </si>
  <si>
    <t>（バス）川口駅西口から鳩ヶ谷駅東口行き「南町公園」から徒歩２分</t>
    <rPh sb="4" eb="7">
      <t>カワグチエキ</t>
    </rPh>
    <rPh sb="7" eb="9">
      <t>ニシグチ</t>
    </rPh>
    <rPh sb="11" eb="14">
      <t>ハトガヤ</t>
    </rPh>
    <rPh sb="14" eb="15">
      <t>エキ</t>
    </rPh>
    <rPh sb="15" eb="17">
      <t>ヒガシグチ</t>
    </rPh>
    <rPh sb="17" eb="18">
      <t>イ</t>
    </rPh>
    <rPh sb="20" eb="21">
      <t>ミナミ</t>
    </rPh>
    <rPh sb="21" eb="22">
      <t>チョウ</t>
    </rPh>
    <rPh sb="22" eb="24">
      <t>コウエン</t>
    </rPh>
    <rPh sb="27" eb="29">
      <t>トホ</t>
    </rPh>
    <rPh sb="30" eb="31">
      <t>フン</t>
    </rPh>
    <phoneticPr fontId="2"/>
  </si>
  <si>
    <t>(株)アクト</t>
    <rPh sb="0" eb="3">
      <t>カブ</t>
    </rPh>
    <phoneticPr fontId="2"/>
  </si>
  <si>
    <t>アクトツールホーム</t>
    <phoneticPr fontId="2"/>
  </si>
  <si>
    <t>花栗4－9－15</t>
    <rPh sb="0" eb="2">
      <t>ハナグリ</t>
    </rPh>
    <phoneticPr fontId="2"/>
  </si>
  <si>
    <t>340-0044</t>
    <phoneticPr fontId="2"/>
  </si>
  <si>
    <t>070-9280-0662</t>
    <phoneticPr fontId="2"/>
  </si>
  <si>
    <t>東部スカイツリーライン獨協大学前（草加松原）駅から徒歩18分</t>
    <rPh sb="0" eb="2">
      <t>トウブ</t>
    </rPh>
    <rPh sb="11" eb="16">
      <t>ドッキョウダイガクマエ</t>
    </rPh>
    <rPh sb="17" eb="21">
      <t>ソウカマツバラ</t>
    </rPh>
    <rPh sb="22" eb="23">
      <t>エキ</t>
    </rPh>
    <rPh sb="25" eb="27">
      <t>トホ</t>
    </rPh>
    <rPh sb="29" eb="30">
      <t>フン</t>
    </rPh>
    <phoneticPr fontId="2"/>
  </si>
  <si>
    <t>特定非営利活動法人地域再生研究機構</t>
    <rPh sb="0" eb="15">
      <t>トクテイヒエイリカツドウホウジンチイキサイセイケンキュウ</t>
    </rPh>
    <rPh sb="15" eb="17">
      <t>キコウ</t>
    </rPh>
    <phoneticPr fontId="2"/>
  </si>
  <si>
    <t>どすこい就労支援B型草加作業所</t>
    <rPh sb="4" eb="8">
      <t>シュウロウシエン</t>
    </rPh>
    <rPh sb="9" eb="10">
      <t>ガタ</t>
    </rPh>
    <rPh sb="10" eb="15">
      <t>ソウカサギョウショ</t>
    </rPh>
    <phoneticPr fontId="2"/>
  </si>
  <si>
    <t>草加市八幡町639-11</t>
    <rPh sb="0" eb="3">
      <t>ソウカシ</t>
    </rPh>
    <rPh sb="3" eb="6">
      <t>ヤハタマチ</t>
    </rPh>
    <phoneticPr fontId="2"/>
  </si>
  <si>
    <t>048-953-9317</t>
    <phoneticPr fontId="2"/>
  </si>
  <si>
    <t>黄色＝変更、赤＝廃止　　　令和8年8月1日現在</t>
    <rPh sb="13" eb="14">
      <t>レイ</t>
    </rPh>
    <rPh sb="14" eb="15">
      <t>ワ</t>
    </rPh>
    <rPh sb="16" eb="17">
      <t>ネン</t>
    </rPh>
    <rPh sb="18" eb="19">
      <t>ガツ</t>
    </rPh>
    <rPh sb="20" eb="21">
      <t>ニチ</t>
    </rPh>
    <rPh sb="21" eb="23">
      <t>ゲンザイ</t>
    </rPh>
    <phoneticPr fontId="2"/>
  </si>
  <si>
    <t>※肢…肢体不自由者　　視…視覚障害者　　聴…聴覚言語障害者　　内…内部障害者　　知…知的障害者　　精…精神障害者　難…難病患者等　　なお、身体障害者すべてを対象とする事業所は「肢」「視」「聴」「内」に○を、「主たる障害の特定なし」の事業所はすべてに○を付けてある</t>
    <phoneticPr fontId="2"/>
  </si>
  <si>
    <t>東武鉄道新田駅から徒歩１８分</t>
    <rPh sb="4" eb="6">
      <t>シンデン</t>
    </rPh>
    <rPh sb="6" eb="7">
      <t>エキ</t>
    </rPh>
    <rPh sb="9" eb="11">
      <t>トホ</t>
    </rPh>
    <rPh sb="13" eb="14">
      <t>プン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</si>
</sst>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7" formatCode="[$-411]ge\.m\.d;@"/>
    <numFmt numFmtId="178" formatCode="[&lt;=999]000;000\-0000"/>
    <numFmt numFmtId="179" formatCode="[&lt;=999]000;[&lt;=9999]000\-00;000\-0000"/>
    <numFmt numFmtId="180" formatCode="#,##0_ "/>
    <numFmt numFmtId="181" formatCode="0_);[Red]\(0\)"/>
    <numFmt numFmtId="182" formatCode="000\-0000"/>
  </numFmts>
  <fonts count="64" x14ac:knownFonts="1">
    <font>
      <sz val="11"/>
      <name val="ＭＳ Ｐゴシック"/>
      <family val="3"/>
      <charset val="128"/>
    </font>
    <font>
      <sz val="11"/>
      <name val="ＭＳ Ｐゴシック"/>
      <family val="3"/>
      <charset val="128"/>
    </font>
    <font>
      <sz val="6"/>
      <name val="ＭＳ Ｐゴシック"/>
      <family val="3"/>
      <charset val="128"/>
    </font>
    <font>
      <u/>
      <sz val="8.25"/>
      <color indexed="36"/>
      <name val="ＭＳ Ｐゴシック"/>
      <family val="3"/>
      <charset val="128"/>
    </font>
    <font>
      <sz val="11"/>
      <color indexed="8"/>
      <name val="ＭＳ Ｐゴシック"/>
      <family val="3"/>
      <charset val="128"/>
    </font>
    <font>
      <sz val="10"/>
      <name val="ＭＳ Ｐゴシック"/>
      <family val="3"/>
      <charset val="128"/>
    </font>
    <font>
      <sz val="11"/>
      <name val="ＭＳ Ｐゴシック"/>
      <family val="3"/>
      <charset val="128"/>
    </font>
    <font>
      <sz val="9"/>
      <color indexed="10"/>
      <name val="ＭＳ Ｐゴシック"/>
      <family val="3"/>
      <charset val="128"/>
    </font>
    <font>
      <b/>
      <sz val="10"/>
      <name val="ＭＳ Ｐゴシック"/>
      <family val="3"/>
      <charset val="128"/>
    </font>
    <font>
      <sz val="10"/>
      <color indexed="8"/>
      <name val="ＭＳ Ｐゴシック"/>
      <family val="3"/>
      <charset val="128"/>
    </font>
    <font>
      <sz val="10"/>
      <color indexed="12"/>
      <name val="ＭＳ Ｐゴシック"/>
      <family val="3"/>
      <charset val="128"/>
    </font>
    <font>
      <u/>
      <sz val="10"/>
      <color indexed="12"/>
      <name val="ＭＳ Ｐゴシック"/>
      <family val="3"/>
      <charset val="128"/>
    </font>
    <font>
      <sz val="8"/>
      <color indexed="10"/>
      <name val="ＭＳ Ｐゴシック"/>
      <family val="3"/>
      <charset val="128"/>
    </font>
    <font>
      <sz val="6"/>
      <name val="ＭＳ Ｐゴシック"/>
      <family val="3"/>
      <charset val="128"/>
    </font>
    <font>
      <sz val="6"/>
      <name val="ＭＳ Ｐゴシック"/>
      <family val="3"/>
      <charset val="128"/>
    </font>
    <font>
      <sz val="10"/>
      <color indexed="30"/>
      <name val="ＭＳ Ｐゴシック"/>
      <family val="3"/>
      <charset val="128"/>
    </font>
    <font>
      <b/>
      <sz val="11"/>
      <color indexed="10"/>
      <name val="ＭＳ Ｐゴシック"/>
      <family val="3"/>
      <charset val="128"/>
    </font>
    <font>
      <sz val="20"/>
      <name val="ＭＳ Ｐゴシック"/>
      <family val="3"/>
      <charset val="128"/>
    </font>
    <font>
      <sz val="13"/>
      <name val="ＭＳ Ｐゴシック"/>
      <family val="3"/>
      <charset val="128"/>
    </font>
    <font>
      <b/>
      <sz val="9"/>
      <color indexed="81"/>
      <name val="ＭＳ Ｐゴシック"/>
      <family val="3"/>
      <charset val="128"/>
    </font>
    <font>
      <sz val="10"/>
      <name val="Arial"/>
      <family val="2"/>
    </font>
    <font>
      <sz val="11"/>
      <color indexed="9"/>
      <name val="ＭＳ Ｐゴシック"/>
      <family val="3"/>
      <charset val="128"/>
    </font>
    <font>
      <b/>
      <sz val="11"/>
      <color indexed="9"/>
      <name val="ＭＳ Ｐゴシック"/>
      <family val="3"/>
      <charset val="128"/>
    </font>
    <font>
      <u/>
      <sz val="11"/>
      <color indexed="12"/>
      <name val="ＭＳ Ｐゴシック"/>
      <family val="3"/>
      <charset val="128"/>
    </font>
    <font>
      <sz val="11"/>
      <color indexed="10"/>
      <name val="ＭＳ Ｐゴシック"/>
      <family val="3"/>
      <charset val="128"/>
    </font>
    <font>
      <b/>
      <sz val="11"/>
      <color indexed="8"/>
      <name val="ＭＳ Ｐゴシック"/>
      <family val="3"/>
      <charset val="128"/>
    </font>
    <font>
      <i/>
      <sz val="11"/>
      <name val="ＭＳ Ｐゴシック"/>
      <family val="3"/>
      <charset val="128"/>
    </font>
    <font>
      <b/>
      <sz val="11"/>
      <name val="ＭＳ Ｐゴシック"/>
      <family val="3"/>
      <charset val="128"/>
    </font>
    <font>
      <b/>
      <sz val="18"/>
      <name val="ＭＳ Ｐゴシック"/>
      <family val="3"/>
      <charset val="128"/>
    </font>
    <font>
      <b/>
      <sz val="15"/>
      <name val="ＭＳ Ｐゴシック"/>
      <family val="3"/>
      <charset val="128"/>
    </font>
    <font>
      <b/>
      <sz val="13"/>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color indexed="8"/>
      <name val="ＭＳ Ｐゴシック"/>
      <family val="3"/>
    </font>
    <font>
      <sz val="10"/>
      <name val="ＭＳ Ｐゴシック"/>
      <family val="3"/>
    </font>
    <font>
      <sz val="6"/>
      <name val="ＭＳ Ｐゴシック"/>
      <family val="3"/>
    </font>
    <font>
      <u/>
      <sz val="8.25"/>
      <color indexed="36"/>
      <name val="ＭＳ Ｐゴシック"/>
      <family val="3"/>
    </font>
    <font>
      <sz val="11"/>
      <color indexed="30"/>
      <name val="ＭＳ Ｐゴシック"/>
      <family val="3"/>
      <charset val="128"/>
    </font>
    <font>
      <b/>
      <sz val="10"/>
      <name val="ＭＳ Ｐゴシック"/>
      <family val="3"/>
    </font>
    <font>
      <b/>
      <sz val="18"/>
      <color indexed="56"/>
      <name val="ＭＳ Ｐゴシック"/>
      <family val="3"/>
      <charset val="128"/>
    </font>
    <font>
      <sz val="11"/>
      <color indexed="8"/>
      <name val="ＭＳ Ｐゴシック"/>
      <family val="3"/>
    </font>
    <font>
      <sz val="11"/>
      <color theme="1"/>
      <name val="ＭＳ Ｐゴシック"/>
      <family val="3"/>
      <charset val="128"/>
      <scheme val="minor"/>
    </font>
    <font>
      <u/>
      <sz val="11"/>
      <color theme="10"/>
      <name val="ＭＳ Ｐゴシック"/>
      <family val="3"/>
      <charset val="128"/>
    </font>
    <font>
      <sz val="11"/>
      <color rgb="FF000000"/>
      <name val="ＭＳ Ｐゴシック"/>
      <family val="3"/>
      <charset val="128"/>
    </font>
    <font>
      <sz val="10"/>
      <color rgb="FFFF0000"/>
      <name val="ＭＳ Ｐゴシック"/>
      <family val="3"/>
      <charset val="128"/>
    </font>
    <font>
      <sz val="10"/>
      <color theme="1"/>
      <name val="ＭＳ Ｐゴシック"/>
      <family val="3"/>
      <charset val="128"/>
    </font>
    <font>
      <sz val="10"/>
      <color rgb="FF0070C0"/>
      <name val="ＭＳ Ｐゴシック"/>
      <family val="3"/>
      <charset val="128"/>
    </font>
    <font>
      <b/>
      <sz val="10"/>
      <color theme="1"/>
      <name val="ＭＳ Ｐゴシック"/>
      <family val="3"/>
      <charset val="128"/>
    </font>
    <font>
      <sz val="14"/>
      <color theme="1"/>
      <name val="ＭＳ Ｐゴシック"/>
      <family val="3"/>
      <charset val="128"/>
    </font>
    <font>
      <sz val="11"/>
      <color theme="1"/>
      <name val="ＭＳ Ｐゴシック"/>
      <family val="3"/>
      <charset val="128"/>
    </font>
    <font>
      <sz val="20"/>
      <color rgb="FF000000"/>
      <name val="ＭＳ Ｐゴシック"/>
      <family val="3"/>
      <charset val="128"/>
    </font>
    <font>
      <sz val="14"/>
      <color rgb="FF000000"/>
      <name val="ＭＳ Ｐゴシック"/>
      <family val="3"/>
      <charset val="128"/>
    </font>
    <font>
      <sz val="10"/>
      <color theme="1"/>
      <name val="ＭＳ 明朝"/>
      <family val="1"/>
      <charset val="128"/>
    </font>
    <font>
      <sz val="10"/>
      <color theme="1"/>
      <name val="ＭＳ Ｐゴシック"/>
      <family val="3"/>
      <charset val="128"/>
      <scheme val="minor"/>
    </font>
    <font>
      <strike/>
      <sz val="10"/>
      <color theme="1"/>
      <name val="ＭＳ Ｐゴシック"/>
      <family val="3"/>
      <charset val="128"/>
    </font>
    <font>
      <sz val="10"/>
      <color theme="1"/>
      <name val="ＭＳ Ｐゴシック"/>
      <family val="3"/>
    </font>
    <font>
      <sz val="10"/>
      <color indexed="10"/>
      <name val="ＭＳ Ｐゴシック"/>
      <family val="3"/>
    </font>
    <font>
      <sz val="12"/>
      <name val="ＭＳ Ｐゴシック"/>
      <family val="3"/>
      <charset val="128"/>
    </font>
    <font>
      <sz val="8"/>
      <color theme="1"/>
      <name val="ＭＳ Ｐゴシック"/>
      <family val="3"/>
      <charset val="128"/>
    </font>
    <font>
      <sz val="8"/>
      <name val="ＭＳ Ｐゴシック"/>
      <family val="3"/>
      <charset val="128"/>
    </font>
    <font>
      <sz val="9"/>
      <color theme="1"/>
      <name val="ＭＳ Ｐゴシック"/>
      <family val="3"/>
      <charset val="128"/>
    </font>
    <font>
      <sz val="6"/>
      <color theme="1"/>
      <name val="ＭＳ Ｐゴシック"/>
      <family val="3"/>
      <charset val="128"/>
    </font>
  </fonts>
  <fills count="23">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indexed="31"/>
        <bgColor indexed="64"/>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43"/>
        <bgColor indexed="64"/>
      </patternFill>
    </fill>
    <fill>
      <patternFill patternType="solid">
        <fgColor indexed="45"/>
        <bgColor indexed="64"/>
      </patternFill>
    </fill>
    <fill>
      <patternFill patternType="solid">
        <fgColor indexed="9"/>
        <bgColor indexed="64"/>
      </patternFill>
    </fill>
    <fill>
      <patternFill patternType="solid">
        <fgColor theme="0"/>
        <bgColor indexed="64"/>
      </patternFill>
    </fill>
    <fill>
      <patternFill patternType="solid">
        <fgColor theme="8" tint="0.39997558519241921"/>
        <bgColor indexed="64"/>
      </patternFill>
    </fill>
    <fill>
      <patternFill patternType="solid">
        <fgColor rgb="FFFFFFFF"/>
        <bgColor rgb="FF000000"/>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s>
  <borders count="9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style="thin">
        <color indexed="54"/>
      </top>
      <bottom style="double">
        <color indexed="54"/>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thin">
        <color indexed="64"/>
      </right>
      <top/>
      <bottom style="thin">
        <color indexed="64"/>
      </bottom>
      <diagonal/>
    </border>
    <border>
      <left/>
      <right style="double">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hair">
        <color indexed="64"/>
      </left>
      <right style="thin">
        <color indexed="64"/>
      </right>
      <top style="thin">
        <color indexed="64"/>
      </top>
      <bottom style="thin">
        <color indexed="64"/>
      </bottom>
      <diagonal/>
    </border>
    <border>
      <left/>
      <right style="dotted">
        <color indexed="64"/>
      </right>
      <top/>
      <bottom style="thin">
        <color indexed="64"/>
      </bottom>
      <diagonal/>
    </border>
    <border>
      <left style="dashed">
        <color indexed="64"/>
      </left>
      <right style="dashed">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top/>
      <bottom/>
      <diagonal/>
    </border>
    <border>
      <left style="thin">
        <color indexed="64"/>
      </left>
      <right/>
      <top/>
      <bottom/>
      <diagonal/>
    </border>
    <border>
      <left style="dotted">
        <color indexed="64"/>
      </left>
      <right style="thin">
        <color indexed="64"/>
      </right>
      <top/>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thin">
        <color theme="0"/>
      </bottom>
      <diagonal/>
    </border>
    <border>
      <left style="thin">
        <color indexed="64"/>
      </left>
      <right/>
      <top style="thin">
        <color indexed="64"/>
      </top>
      <bottom style="thin">
        <color theme="0"/>
      </bottom>
      <diagonal/>
    </border>
    <border>
      <left style="dotted">
        <color indexed="64"/>
      </left>
      <right style="thin">
        <color indexed="64"/>
      </right>
      <top style="thin">
        <color indexed="64"/>
      </top>
      <bottom style="thin">
        <color theme="0"/>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thin">
        <color rgb="FF000000"/>
      </right>
      <top style="thin">
        <color indexed="64"/>
      </top>
      <bottom/>
      <diagonal/>
    </border>
    <border>
      <left style="thin">
        <color indexed="64"/>
      </left>
      <right style="hair">
        <color indexed="64"/>
      </right>
      <top/>
      <bottom style="thin">
        <color rgb="FF000000"/>
      </bottom>
      <diagonal/>
    </border>
    <border>
      <left style="hair">
        <color indexed="64"/>
      </left>
      <right style="hair">
        <color indexed="64"/>
      </right>
      <top/>
      <bottom style="thin">
        <color rgb="FF000000"/>
      </bottom>
      <diagonal/>
    </border>
    <border>
      <left style="hair">
        <color indexed="64"/>
      </left>
      <right style="thin">
        <color indexed="64"/>
      </right>
      <top/>
      <bottom style="thin">
        <color rgb="FF000000"/>
      </bottom>
      <diagonal/>
    </border>
    <border>
      <left/>
      <right style="thin">
        <color indexed="64"/>
      </right>
      <top/>
      <bottom style="thin">
        <color rgb="FF000000"/>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right/>
      <top/>
      <bottom style="hair">
        <color indexed="64"/>
      </bottom>
      <diagonal/>
    </border>
    <border>
      <left style="thin">
        <color indexed="64"/>
      </left>
      <right/>
      <top style="hair">
        <color indexed="64"/>
      </top>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right style="hair">
        <color indexed="64"/>
      </right>
      <top/>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style="dotted">
        <color indexed="64"/>
      </top>
      <bottom style="thin">
        <color indexed="64"/>
      </bottom>
      <diagonal/>
    </border>
  </borders>
  <cellStyleXfs count="50">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4" borderId="0" applyNumberFormat="0" applyBorder="0" applyAlignment="0" applyProtection="0">
      <alignment vertical="center"/>
    </xf>
    <xf numFmtId="0" fontId="4"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7"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1" fillId="9" borderId="0" applyNumberFormat="0" applyBorder="0" applyAlignment="0" applyProtection="0">
      <alignment vertical="center"/>
    </xf>
    <xf numFmtId="0" fontId="28" fillId="0" borderId="0" applyNumberFormat="0" applyFill="0" applyBorder="0" applyAlignment="0" applyProtection="0">
      <alignment vertical="center"/>
    </xf>
    <xf numFmtId="0" fontId="22" fillId="12" borderId="1" applyNumberFormat="0" applyAlignment="0" applyProtection="0">
      <alignment vertical="center"/>
    </xf>
    <xf numFmtId="0" fontId="1" fillId="14" borderId="0" applyNumberFormat="0" applyBorder="0" applyAlignment="0" applyProtection="0">
      <alignment vertical="center"/>
    </xf>
    <xf numFmtId="0" fontId="11"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1" fillId="3" borderId="2" applyNumberFormat="0" applyFont="0" applyAlignment="0" applyProtection="0">
      <alignment vertical="center"/>
    </xf>
    <xf numFmtId="0" fontId="1" fillId="0" borderId="3" applyNumberFormat="0" applyFill="0" applyAlignment="0" applyProtection="0">
      <alignment vertical="center"/>
    </xf>
    <xf numFmtId="0" fontId="1" fillId="15" borderId="0" applyNumberFormat="0" applyBorder="0" applyAlignment="0" applyProtection="0">
      <alignment vertical="center"/>
    </xf>
    <xf numFmtId="0" fontId="27" fillId="16" borderId="4" applyNumberFormat="0" applyAlignment="0" applyProtection="0">
      <alignment vertical="center"/>
    </xf>
    <xf numFmtId="0" fontId="24" fillId="0" borderId="0" applyNumberFormat="0" applyFill="0" applyBorder="0" applyAlignment="0" applyProtection="0">
      <alignment vertical="center"/>
    </xf>
    <xf numFmtId="0" fontId="29" fillId="0" borderId="5" applyNumberFormat="0" applyFill="0" applyAlignment="0" applyProtection="0">
      <alignment vertical="center"/>
    </xf>
    <xf numFmtId="0" fontId="30"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5" fillId="0" borderId="8" applyNumberFormat="0" applyFill="0" applyAlignment="0" applyProtection="0">
      <alignment vertical="center"/>
    </xf>
    <xf numFmtId="0" fontId="27" fillId="16" borderId="9" applyNumberFormat="0" applyAlignment="0" applyProtection="0">
      <alignment vertical="center"/>
    </xf>
    <xf numFmtId="0" fontId="26" fillId="0" borderId="0" applyNumberFormat="0" applyFill="0" applyBorder="0" applyAlignment="0" applyProtection="0">
      <alignment vertical="center"/>
    </xf>
    <xf numFmtId="0" fontId="1" fillId="7" borderId="4" applyNumberFormat="0" applyAlignment="0" applyProtection="0">
      <alignment vertical="center"/>
    </xf>
    <xf numFmtId="0" fontId="43" fillId="0" borderId="0">
      <alignment vertical="center"/>
    </xf>
    <xf numFmtId="0" fontId="4" fillId="0" borderId="0">
      <alignment vertical="center"/>
    </xf>
    <xf numFmtId="0" fontId="5" fillId="0" borderId="0"/>
    <xf numFmtId="0" fontId="5" fillId="0" borderId="0"/>
    <xf numFmtId="0" fontId="4" fillId="0" borderId="0"/>
    <xf numFmtId="0" fontId="1" fillId="6" borderId="0" applyNumberFormat="0" applyBorder="0" applyAlignment="0" applyProtection="0">
      <alignment vertical="center"/>
    </xf>
  </cellStyleXfs>
  <cellXfs count="699">
    <xf numFmtId="0" fontId="0" fillId="0" borderId="0" xfId="0">
      <alignment vertical="center"/>
    </xf>
    <xf numFmtId="0" fontId="0" fillId="17" borderId="10" xfId="0" applyFill="1" applyBorder="1" applyAlignment="1">
      <alignment horizontal="center" vertical="center"/>
    </xf>
    <xf numFmtId="0" fontId="0" fillId="17" borderId="11" xfId="0" applyFill="1" applyBorder="1" applyAlignment="1">
      <alignment horizontal="center" vertical="center"/>
    </xf>
    <xf numFmtId="0" fontId="0" fillId="17" borderId="12" xfId="0" applyFill="1" applyBorder="1" applyAlignment="1">
      <alignment horizontal="center" vertical="center"/>
    </xf>
    <xf numFmtId="0" fontId="0" fillId="0" borderId="0" xfId="0" applyAlignment="1">
      <alignment vertical="center" shrinkToFi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shrinkToFit="1"/>
    </xf>
    <xf numFmtId="0" fontId="0" fillId="0" borderId="12" xfId="0"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0" fontId="0" fillId="17" borderId="17" xfId="0" applyFill="1" applyBorder="1" applyAlignment="1">
      <alignment horizontal="center" vertical="center" shrinkToFit="1"/>
    </xf>
    <xf numFmtId="0" fontId="0" fillId="0" borderId="18" xfId="0" applyBorder="1" applyAlignment="1">
      <alignment horizontal="center" vertical="center"/>
    </xf>
    <xf numFmtId="0" fontId="0" fillId="17" borderId="19" xfId="0" applyFill="1" applyBorder="1" applyAlignment="1">
      <alignment horizontal="center" vertical="center" shrinkToFit="1"/>
    </xf>
    <xf numFmtId="0" fontId="0" fillId="17" borderId="18" xfId="0" applyFill="1" applyBorder="1" applyAlignment="1">
      <alignment horizontal="center" vertical="center"/>
    </xf>
    <xf numFmtId="0" fontId="0" fillId="17" borderId="16" xfId="0" applyFill="1" applyBorder="1" applyAlignment="1">
      <alignment horizontal="center" vertical="center"/>
    </xf>
    <xf numFmtId="0" fontId="0" fillId="17" borderId="20" xfId="0" applyFill="1" applyBorder="1" applyAlignment="1">
      <alignment horizontal="center" vertical="center" shrinkToFit="1"/>
    </xf>
    <xf numFmtId="0" fontId="0" fillId="0" borderId="13" xfId="0" applyBorder="1" applyAlignment="1"/>
    <xf numFmtId="0" fontId="45" fillId="0" borderId="17" xfId="0" applyFont="1" applyBorder="1" applyAlignment="1"/>
    <xf numFmtId="0" fontId="0" fillId="0" borderId="17" xfId="0" applyBorder="1" applyAlignment="1"/>
    <xf numFmtId="0" fontId="45" fillId="0" borderId="10" xfId="0" applyFont="1" applyBorder="1" applyAlignment="1"/>
    <xf numFmtId="0" fontId="0" fillId="0" borderId="18" xfId="0" applyBorder="1" applyAlignment="1"/>
    <xf numFmtId="0" fontId="45" fillId="0" borderId="19" xfId="0" applyFont="1" applyBorder="1" applyAlignment="1"/>
    <xf numFmtId="0" fontId="0" fillId="0" borderId="19" xfId="0" applyBorder="1" applyAlignment="1"/>
    <xf numFmtId="0" fontId="45" fillId="0" borderId="11" xfId="0" applyFont="1" applyBorder="1" applyAlignment="1"/>
    <xf numFmtId="0" fontId="0" fillId="0" borderId="16" xfId="0" applyBorder="1" applyAlignment="1"/>
    <xf numFmtId="0" fontId="45" fillId="0" borderId="20" xfId="0" applyFont="1" applyBorder="1" applyAlignment="1"/>
    <xf numFmtId="0" fontId="0" fillId="0" borderId="20" xfId="0" applyBorder="1" applyAlignment="1"/>
    <xf numFmtId="0" fontId="45" fillId="0" borderId="12" xfId="0" applyFont="1" applyBorder="1" applyAlignment="1"/>
    <xf numFmtId="180" fontId="18" fillId="0" borderId="21" xfId="0" applyNumberFormat="1" applyFont="1" applyBorder="1" applyAlignment="1">
      <alignment horizontal="right" vertical="center" shrinkToFit="1"/>
    </xf>
    <xf numFmtId="0" fontId="51" fillId="0" borderId="0" xfId="0" applyFont="1">
      <alignment vertical="center"/>
    </xf>
    <xf numFmtId="0" fontId="45" fillId="0" borderId="0" xfId="0" applyFont="1">
      <alignment vertical="center"/>
    </xf>
    <xf numFmtId="0" fontId="53" fillId="0" borderId="48" xfId="0" applyFont="1" applyBorder="1" applyAlignment="1">
      <alignment horizontal="center" vertical="center"/>
    </xf>
    <xf numFmtId="0" fontId="45" fillId="0" borderId="44" xfId="0" applyFont="1" applyBorder="1" applyAlignment="1">
      <alignment horizontal="center" vertical="center"/>
    </xf>
    <xf numFmtId="0" fontId="45" fillId="0" borderId="21" xfId="0" applyFont="1" applyBorder="1" applyAlignment="1">
      <alignment horizontal="center" vertical="center"/>
    </xf>
    <xf numFmtId="0" fontId="45" fillId="0" borderId="32" xfId="0" applyFont="1" applyBorder="1" applyAlignment="1">
      <alignment horizontal="center" vertical="center"/>
    </xf>
    <xf numFmtId="0" fontId="51" fillId="18" borderId="0" xfId="0" applyFont="1" applyFill="1">
      <alignment vertical="center"/>
    </xf>
    <xf numFmtId="0" fontId="51" fillId="17" borderId="0" xfId="0" applyFont="1" applyFill="1">
      <alignment vertical="center"/>
    </xf>
    <xf numFmtId="0" fontId="45" fillId="0" borderId="81" xfId="0" applyFont="1" applyBorder="1" applyAlignment="1">
      <alignment horizontal="center" vertical="center"/>
    </xf>
    <xf numFmtId="0" fontId="45" fillId="0" borderId="82" xfId="0" applyFont="1" applyBorder="1" applyAlignment="1">
      <alignment horizontal="center" vertical="center" shrinkToFit="1"/>
    </xf>
    <xf numFmtId="0" fontId="45" fillId="0" borderId="83" xfId="0" applyFont="1" applyBorder="1" applyAlignment="1">
      <alignment horizontal="center" vertical="center"/>
    </xf>
    <xf numFmtId="0" fontId="50" fillId="0" borderId="84" xfId="0" applyFont="1" applyBorder="1" applyAlignment="1">
      <alignment horizontal="center" vertical="center"/>
    </xf>
    <xf numFmtId="0" fontId="51" fillId="0" borderId="13" xfId="0" applyFont="1" applyBorder="1" applyAlignment="1"/>
    <xf numFmtId="0" fontId="51" fillId="0" borderId="82" xfId="0" applyFont="1" applyBorder="1" applyAlignment="1">
      <alignment horizontal="center" vertical="center"/>
    </xf>
    <xf numFmtId="0" fontId="51" fillId="0" borderId="85" xfId="0" applyFont="1" applyBorder="1" applyAlignment="1">
      <alignment horizontal="center" vertical="center"/>
    </xf>
    <xf numFmtId="0" fontId="50" fillId="0" borderId="86" xfId="0" applyFont="1" applyBorder="1" applyAlignment="1">
      <alignment horizontal="center" vertical="center"/>
    </xf>
    <xf numFmtId="0" fontId="51" fillId="0" borderId="18" xfId="0" applyFont="1" applyBorder="1" applyAlignment="1"/>
    <xf numFmtId="0" fontId="51" fillId="0" borderId="86" xfId="0" applyFont="1" applyBorder="1" applyAlignment="1">
      <alignment horizontal="center" vertical="center"/>
    </xf>
    <xf numFmtId="0" fontId="51" fillId="0" borderId="19" xfId="0" applyFont="1" applyBorder="1" applyAlignment="1">
      <alignment horizontal="center" vertical="center"/>
    </xf>
    <xf numFmtId="0" fontId="51" fillId="0" borderId="11" xfId="0" applyFont="1" applyBorder="1" applyAlignment="1">
      <alignment horizontal="center" vertical="center"/>
    </xf>
    <xf numFmtId="0" fontId="50" fillId="0" borderId="87" xfId="0" applyFont="1" applyBorder="1" applyAlignment="1">
      <alignment horizontal="center" vertical="center"/>
    </xf>
    <xf numFmtId="0" fontId="45" fillId="0" borderId="88" xfId="0" applyFont="1" applyBorder="1" applyAlignment="1">
      <alignment horizontal="center" vertical="center"/>
    </xf>
    <xf numFmtId="0" fontId="45" fillId="0" borderId="89" xfId="0" applyFont="1" applyBorder="1" applyAlignment="1">
      <alignment horizontal="center" vertical="center" shrinkToFit="1"/>
    </xf>
    <xf numFmtId="0" fontId="45" fillId="0" borderId="0" xfId="0" applyFont="1" applyAlignment="1">
      <alignment horizontal="center" vertical="center"/>
    </xf>
    <xf numFmtId="0" fontId="51" fillId="0" borderId="16" xfId="0" applyFont="1" applyBorder="1" applyAlignment="1"/>
    <xf numFmtId="0" fontId="51" fillId="0" borderId="89" xfId="0" applyFont="1" applyBorder="1" applyAlignment="1">
      <alignment horizontal="center" vertical="center"/>
    </xf>
    <xf numFmtId="0" fontId="51" fillId="0" borderId="90" xfId="0" applyFont="1" applyBorder="1" applyAlignment="1">
      <alignment horizontal="center" vertical="center"/>
    </xf>
    <xf numFmtId="0" fontId="50" fillId="0" borderId="91" xfId="0" applyFont="1" applyBorder="1" applyAlignment="1">
      <alignment horizontal="center" vertical="center"/>
    </xf>
    <xf numFmtId="0" fontId="50" fillId="19" borderId="28" xfId="0" applyFont="1" applyFill="1" applyBorder="1" applyAlignment="1">
      <alignment horizontal="center" vertical="center"/>
    </xf>
    <xf numFmtId="0" fontId="50" fillId="19" borderId="57" xfId="0" applyFont="1" applyFill="1" applyBorder="1" applyAlignment="1">
      <alignment horizontal="center" vertical="center"/>
    </xf>
    <xf numFmtId="0" fontId="50" fillId="19" borderId="21" xfId="0" applyFont="1" applyFill="1" applyBorder="1" applyAlignment="1">
      <alignment horizontal="center" vertical="center"/>
    </xf>
    <xf numFmtId="0" fontId="50" fillId="19" borderId="33" xfId="0" applyFont="1" applyFill="1" applyBorder="1" applyAlignment="1">
      <alignment horizontal="center" vertical="center"/>
    </xf>
    <xf numFmtId="0" fontId="50" fillId="19" borderId="22" xfId="0" applyFont="1" applyFill="1" applyBorder="1" applyAlignment="1">
      <alignment horizontal="center" vertical="center"/>
    </xf>
    <xf numFmtId="0" fontId="0" fillId="0" borderId="0" xfId="0" applyAlignment="1">
      <alignment horizontal="right" vertical="center"/>
    </xf>
    <xf numFmtId="0" fontId="5" fillId="0" borderId="0" xfId="0" applyFont="1" applyAlignment="1">
      <alignment horizontal="center" vertical="center"/>
    </xf>
    <xf numFmtId="49" fontId="8" fillId="0" borderId="51" xfId="0" applyNumberFormat="1" applyFont="1" applyBorder="1" applyAlignment="1">
      <alignment horizontal="left" vertical="center"/>
    </xf>
    <xf numFmtId="0" fontId="5" fillId="0" borderId="0" xfId="0" applyFont="1">
      <alignment vertical="center"/>
    </xf>
    <xf numFmtId="0" fontId="5" fillId="0" borderId="0" xfId="0" applyFont="1" applyAlignment="1">
      <alignment vertical="center" wrapText="1"/>
    </xf>
    <xf numFmtId="179" fontId="5" fillId="0" borderId="0" xfId="0" applyNumberFormat="1" applyFont="1" applyAlignment="1">
      <alignment horizontal="center" vertical="center"/>
    </xf>
    <xf numFmtId="0" fontId="5" fillId="0" borderId="28" xfId="0" applyFont="1" applyBorder="1" applyAlignment="1">
      <alignment horizontal="center" vertical="center"/>
    </xf>
    <xf numFmtId="0" fontId="5" fillId="0" borderId="33" xfId="0" applyFont="1" applyBorder="1" applyAlignment="1">
      <alignment horizontal="center" vertical="center"/>
    </xf>
    <xf numFmtId="0" fontId="5" fillId="0" borderId="2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2"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wrapText="1"/>
    </xf>
    <xf numFmtId="177" fontId="5" fillId="0" borderId="23" xfId="0" applyNumberFormat="1" applyFont="1" applyBorder="1" applyAlignment="1">
      <alignment horizontal="center" vertical="center" wrapText="1"/>
    </xf>
    <xf numFmtId="0" fontId="5" fillId="0" borderId="0" xfId="0" applyFont="1" applyAlignment="1">
      <alignment horizontal="right" vertical="center"/>
    </xf>
    <xf numFmtId="177" fontId="5" fillId="0" borderId="22" xfId="0" applyNumberFormat="1" applyFont="1" applyBorder="1" applyAlignment="1">
      <alignment horizontal="left" vertical="center"/>
    </xf>
    <xf numFmtId="0" fontId="5" fillId="0" borderId="23" xfId="0" applyFont="1" applyBorder="1" applyAlignment="1">
      <alignment horizontal="center" vertical="center"/>
    </xf>
    <xf numFmtId="180" fontId="5" fillId="0" borderId="0" xfId="0" applyNumberFormat="1" applyFont="1" applyAlignment="1">
      <alignment horizontal="right" vertical="center"/>
    </xf>
    <xf numFmtId="49" fontId="5" fillId="0" borderId="23" xfId="0" applyNumberFormat="1" applyFont="1" applyBorder="1" applyAlignment="1">
      <alignment horizontal="center" vertical="center"/>
    </xf>
    <xf numFmtId="0" fontId="5" fillId="0" borderId="23" xfId="0" applyFont="1" applyBorder="1" applyAlignment="1">
      <alignment vertical="center" wrapText="1"/>
    </xf>
    <xf numFmtId="179" fontId="5" fillId="0" borderId="23" xfId="0" applyNumberFormat="1" applyFont="1" applyBorder="1" applyAlignment="1">
      <alignment horizontal="center" vertical="center"/>
    </xf>
    <xf numFmtId="0" fontId="5" fillId="0" borderId="41"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40" xfId="0" applyFont="1" applyBorder="1" applyAlignment="1">
      <alignment horizontal="center" vertical="center"/>
    </xf>
    <xf numFmtId="0" fontId="5" fillId="0" borderId="28" xfId="0" applyFont="1" applyBorder="1" applyAlignment="1">
      <alignment horizontal="center" vertical="center" shrinkToFit="1"/>
    </xf>
    <xf numFmtId="0" fontId="5" fillId="0" borderId="27" xfId="0" applyFont="1" applyBorder="1" applyAlignment="1">
      <alignment horizontal="center" vertical="center" wrapText="1"/>
    </xf>
    <xf numFmtId="0" fontId="5" fillId="0" borderId="27" xfId="0" applyFont="1" applyBorder="1" applyAlignment="1">
      <alignment horizontal="center" vertical="center"/>
    </xf>
    <xf numFmtId="0" fontId="5" fillId="0" borderId="51" xfId="0" applyFont="1" applyBorder="1" applyAlignment="1">
      <alignment horizontal="center" vertical="center"/>
    </xf>
    <xf numFmtId="0" fontId="5" fillId="0" borderId="42" xfId="0" applyFont="1" applyBorder="1" applyAlignment="1">
      <alignment horizontal="center" vertical="center"/>
    </xf>
    <xf numFmtId="0" fontId="5" fillId="0" borderId="48" xfId="0" applyFont="1" applyBorder="1" applyAlignment="1">
      <alignment horizontal="center" vertical="center"/>
    </xf>
    <xf numFmtId="0" fontId="5" fillId="0" borderId="47" xfId="0" applyFont="1" applyBorder="1" applyAlignment="1">
      <alignment horizontal="center" vertical="center"/>
    </xf>
    <xf numFmtId="49" fontId="8" fillId="0" borderId="22" xfId="0" applyNumberFormat="1" applyFont="1" applyBorder="1" applyAlignment="1">
      <alignment horizontal="center" vertical="center"/>
    </xf>
    <xf numFmtId="49" fontId="8" fillId="0" borderId="22" xfId="0" applyNumberFormat="1" applyFont="1" applyBorder="1">
      <alignment vertical="center"/>
    </xf>
    <xf numFmtId="49" fontId="8" fillId="0" borderId="22" xfId="0" applyNumberFormat="1" applyFont="1" applyBorder="1" applyAlignment="1">
      <alignment vertical="center" wrapText="1"/>
    </xf>
    <xf numFmtId="49" fontId="49" fillId="0" borderId="22" xfId="0" applyNumberFormat="1" applyFont="1" applyBorder="1">
      <alignment vertical="center"/>
    </xf>
    <xf numFmtId="180" fontId="47" fillId="0" borderId="22" xfId="0" applyNumberFormat="1" applyFont="1" applyBorder="1" applyAlignment="1">
      <alignment vertical="center" shrinkToFit="1"/>
    </xf>
    <xf numFmtId="180" fontId="47" fillId="0" borderId="23" xfId="0" applyNumberFormat="1" applyFont="1" applyBorder="1" applyAlignment="1">
      <alignment vertical="center" shrinkToFit="1"/>
    </xf>
    <xf numFmtId="0" fontId="5" fillId="0" borderId="24" xfId="0" applyFont="1" applyBorder="1" applyAlignment="1">
      <alignment horizontal="center" vertical="center"/>
    </xf>
    <xf numFmtId="177" fontId="5" fillId="0" borderId="22" xfId="0" applyNumberFormat="1" applyFont="1" applyBorder="1" applyAlignment="1">
      <alignment horizontal="center" vertical="center"/>
    </xf>
    <xf numFmtId="0" fontId="47" fillId="0" borderId="22" xfId="0" applyFont="1" applyBorder="1" applyAlignment="1">
      <alignment horizontal="center" vertical="center"/>
    </xf>
    <xf numFmtId="0" fontId="47" fillId="0" borderId="22" xfId="0" applyFont="1" applyBorder="1" applyAlignment="1">
      <alignment horizontal="left" vertical="center" wrapText="1" shrinkToFit="1"/>
    </xf>
    <xf numFmtId="0" fontId="47" fillId="0" borderId="22" xfId="0" applyFont="1" applyBorder="1" applyAlignment="1">
      <alignment vertical="center" wrapText="1" shrinkToFit="1"/>
    </xf>
    <xf numFmtId="0" fontId="47" fillId="0" borderId="22" xfId="0" applyFont="1" applyBorder="1" applyAlignment="1">
      <alignment vertical="center" wrapText="1"/>
    </xf>
    <xf numFmtId="182" fontId="47" fillId="0" borderId="22" xfId="0" applyNumberFormat="1" applyFont="1" applyBorder="1" applyAlignment="1">
      <alignment horizontal="center" vertical="center" shrinkToFit="1"/>
    </xf>
    <xf numFmtId="0" fontId="47" fillId="0" borderId="22" xfId="0" applyFont="1" applyBorder="1" applyAlignment="1">
      <alignment horizontal="center" vertical="center" shrinkToFit="1"/>
    </xf>
    <xf numFmtId="49" fontId="47" fillId="0" borderId="44" xfId="0" applyNumberFormat="1" applyFont="1" applyBorder="1" applyAlignment="1">
      <alignment horizontal="center" vertical="center" wrapText="1"/>
    </xf>
    <xf numFmtId="49" fontId="47" fillId="0" borderId="21" xfId="0" applyNumberFormat="1" applyFont="1" applyBorder="1" applyAlignment="1">
      <alignment horizontal="center" vertical="center" wrapText="1"/>
    </xf>
    <xf numFmtId="49" fontId="47" fillId="0" borderId="57" xfId="0" applyNumberFormat="1" applyFont="1" applyBorder="1" applyAlignment="1">
      <alignment horizontal="center" vertical="center" wrapText="1"/>
    </xf>
    <xf numFmtId="0" fontId="47" fillId="0" borderId="57" xfId="0" applyFont="1" applyBorder="1" applyAlignment="1">
      <alignment horizontal="center" vertical="center"/>
    </xf>
    <xf numFmtId="0" fontId="47" fillId="0" borderId="54" xfId="0" applyFont="1" applyBorder="1" applyAlignment="1">
      <alignment horizontal="center" vertical="center"/>
    </xf>
    <xf numFmtId="0" fontId="47" fillId="0" borderId="24" xfId="0" applyFont="1" applyBorder="1" applyAlignment="1">
      <alignment horizontal="center" vertical="center"/>
    </xf>
    <xf numFmtId="0" fontId="47" fillId="0" borderId="32" xfId="0" applyFont="1" applyBorder="1" applyAlignment="1">
      <alignment horizontal="center" vertical="center"/>
    </xf>
    <xf numFmtId="177" fontId="47" fillId="0" borderId="22" xfId="0" applyNumberFormat="1" applyFont="1" applyBorder="1" applyAlignment="1">
      <alignment horizontal="center" vertical="center"/>
    </xf>
    <xf numFmtId="177" fontId="5" fillId="0" borderId="28" xfId="0" applyNumberFormat="1" applyFont="1" applyBorder="1" applyAlignment="1">
      <alignment horizontal="center" vertical="center"/>
    </xf>
    <xf numFmtId="177" fontId="5" fillId="0" borderId="22" xfId="0" applyNumberFormat="1" applyFont="1" applyBorder="1" applyAlignment="1">
      <alignment horizontal="left" vertical="center" shrinkToFit="1"/>
    </xf>
    <xf numFmtId="177" fontId="5" fillId="0" borderId="22" xfId="0" applyNumberFormat="1" applyFont="1" applyBorder="1" applyAlignment="1">
      <alignment vertical="center" shrinkToFit="1"/>
    </xf>
    <xf numFmtId="0" fontId="5" fillId="0" borderId="33" xfId="0" applyFont="1" applyBorder="1" applyAlignment="1">
      <alignment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24" xfId="0" applyFont="1" applyBorder="1" applyAlignment="1">
      <alignment horizontal="center" vertical="center" wrapText="1"/>
    </xf>
    <xf numFmtId="177" fontId="5" fillId="0" borderId="22" xfId="0" applyNumberFormat="1" applyFont="1" applyBorder="1" applyAlignment="1">
      <alignment horizontal="center" vertical="center" wrapText="1"/>
    </xf>
    <xf numFmtId="0" fontId="47" fillId="0" borderId="22" xfId="0" applyFont="1" applyBorder="1" applyAlignment="1">
      <alignment horizontal="left" vertical="center" wrapText="1"/>
    </xf>
    <xf numFmtId="179" fontId="47" fillId="0" borderId="22" xfId="0" applyNumberFormat="1" applyFont="1" applyBorder="1" applyAlignment="1">
      <alignment horizontal="center" vertical="center" wrapText="1"/>
    </xf>
    <xf numFmtId="0" fontId="47" fillId="0" borderId="22" xfId="0" applyFont="1" applyBorder="1" applyAlignment="1">
      <alignment horizontal="center" vertical="center" wrapText="1"/>
    </xf>
    <xf numFmtId="0" fontId="47" fillId="0" borderId="24" xfId="0" applyFont="1" applyBorder="1" applyAlignment="1">
      <alignment horizontal="center" vertical="center" wrapText="1"/>
    </xf>
    <xf numFmtId="0" fontId="47" fillId="0" borderId="25" xfId="0" applyFont="1" applyBorder="1" applyAlignment="1">
      <alignment horizontal="center" vertical="center" wrapText="1"/>
    </xf>
    <xf numFmtId="0" fontId="47" fillId="0" borderId="26" xfId="0" applyFont="1" applyBorder="1" applyAlignment="1">
      <alignment horizontal="center" vertical="center" wrapText="1"/>
    </xf>
    <xf numFmtId="0" fontId="47" fillId="0" borderId="27" xfId="0" applyFont="1" applyBorder="1" applyAlignment="1">
      <alignment horizontal="center" vertical="center" wrapText="1"/>
    </xf>
    <xf numFmtId="0" fontId="47" fillId="0" borderId="28" xfId="0" applyFont="1" applyBorder="1" applyAlignment="1">
      <alignment horizontal="center" vertical="center"/>
    </xf>
    <xf numFmtId="0" fontId="47" fillId="0" borderId="27" xfId="0" applyFont="1" applyBorder="1" applyAlignment="1">
      <alignment horizontal="center" vertical="center"/>
    </xf>
    <xf numFmtId="178" fontId="47" fillId="0" borderId="22" xfId="0" applyNumberFormat="1" applyFont="1" applyBorder="1" applyAlignment="1">
      <alignment horizontal="center" vertical="center" shrinkToFit="1"/>
    </xf>
    <xf numFmtId="49" fontId="47" fillId="0" borderId="22" xfId="0" applyNumberFormat="1" applyFont="1" applyBorder="1" applyAlignment="1">
      <alignment horizontal="center" vertical="center" wrapText="1"/>
    </xf>
    <xf numFmtId="49" fontId="47" fillId="0" borderId="24" xfId="0" applyNumberFormat="1" applyFont="1" applyBorder="1" applyAlignment="1">
      <alignment horizontal="center" vertical="center" wrapText="1"/>
    </xf>
    <xf numFmtId="49" fontId="47" fillId="0" borderId="25" xfId="0" applyNumberFormat="1" applyFont="1" applyBorder="1" applyAlignment="1">
      <alignment horizontal="center" vertical="center" wrapText="1"/>
    </xf>
    <xf numFmtId="0" fontId="47" fillId="0" borderId="26" xfId="0" applyFont="1" applyBorder="1" applyAlignment="1">
      <alignment horizontal="center" vertical="center"/>
    </xf>
    <xf numFmtId="57" fontId="47" fillId="0" borderId="22" xfId="0" applyNumberFormat="1" applyFont="1" applyBorder="1" applyAlignment="1">
      <alignment horizontal="center" vertical="center"/>
    </xf>
    <xf numFmtId="57" fontId="5" fillId="0" borderId="22" xfId="0" applyNumberFormat="1" applyFont="1" applyBorder="1" applyAlignment="1">
      <alignment horizontal="center" vertical="center"/>
    </xf>
    <xf numFmtId="57" fontId="5" fillId="0" borderId="22" xfId="0" applyNumberFormat="1" applyFont="1" applyBorder="1" applyAlignment="1">
      <alignment horizontal="center" vertical="center" wrapText="1"/>
    </xf>
    <xf numFmtId="0" fontId="5" fillId="0" borderId="22" xfId="0" applyFont="1" applyBorder="1">
      <alignment vertical="center"/>
    </xf>
    <xf numFmtId="0" fontId="5" fillId="0" borderId="26" xfId="0" applyFont="1" applyBorder="1" applyAlignment="1">
      <alignment horizontal="center" vertical="center"/>
    </xf>
    <xf numFmtId="0" fontId="5" fillId="0" borderId="0" xfId="0" applyFont="1" applyAlignment="1">
      <alignment horizontal="center" vertical="center" wrapText="1"/>
    </xf>
    <xf numFmtId="0" fontId="47" fillId="0" borderId="22" xfId="0" quotePrefix="1" applyFont="1" applyBorder="1" applyAlignment="1">
      <alignment horizontal="center" vertical="center"/>
    </xf>
    <xf numFmtId="178" fontId="47" fillId="0" borderId="22" xfId="0" quotePrefix="1" applyNumberFormat="1" applyFont="1" applyBorder="1" applyAlignment="1">
      <alignment horizontal="center" vertical="center" shrinkToFit="1"/>
    </xf>
    <xf numFmtId="0" fontId="47" fillId="0" borderId="28" xfId="0" applyFont="1" applyBorder="1" applyAlignment="1">
      <alignment horizontal="center" vertical="center" wrapText="1"/>
    </xf>
    <xf numFmtId="0" fontId="5" fillId="0" borderId="22" xfId="0" applyFont="1" applyBorder="1" applyAlignment="1">
      <alignment horizontal="left" vertical="center"/>
    </xf>
    <xf numFmtId="0" fontId="47" fillId="0" borderId="25" xfId="0" applyFont="1" applyBorder="1" applyAlignment="1">
      <alignment horizontal="center" vertical="center"/>
    </xf>
    <xf numFmtId="57" fontId="47" fillId="0" borderId="22" xfId="0" applyNumberFormat="1" applyFont="1" applyBorder="1" applyAlignment="1">
      <alignment horizontal="center" vertical="center" wrapText="1"/>
    </xf>
    <xf numFmtId="179" fontId="47" fillId="0" borderId="22" xfId="0" applyNumberFormat="1" applyFont="1" applyBorder="1" applyAlignment="1">
      <alignment horizontal="center" vertical="center" shrinkToFit="1"/>
    </xf>
    <xf numFmtId="0" fontId="47" fillId="0" borderId="22" xfId="0" applyFont="1" applyBorder="1">
      <alignment vertical="center"/>
    </xf>
    <xf numFmtId="0" fontId="5" fillId="0" borderId="26" xfId="0" applyFont="1" applyBorder="1" applyAlignment="1">
      <alignment horizontal="center" vertical="center" wrapText="1"/>
    </xf>
    <xf numFmtId="49" fontId="47" fillId="0" borderId="28" xfId="0" applyNumberFormat="1" applyFont="1" applyBorder="1" applyAlignment="1">
      <alignment horizontal="center" vertical="center" wrapText="1"/>
    </xf>
    <xf numFmtId="49" fontId="47" fillId="0" borderId="31" xfId="0" applyNumberFormat="1" applyFont="1" applyBorder="1" applyAlignment="1">
      <alignment horizontal="center" vertical="center" wrapText="1"/>
    </xf>
    <xf numFmtId="0" fontId="47" fillId="0" borderId="23" xfId="0" applyFont="1" applyBorder="1" applyAlignment="1">
      <alignment horizontal="left" vertical="center" wrapText="1" shrinkToFit="1"/>
    </xf>
    <xf numFmtId="0" fontId="47" fillId="0" borderId="23" xfId="0" applyFont="1" applyBorder="1" applyAlignment="1">
      <alignment vertical="center" wrapText="1"/>
    </xf>
    <xf numFmtId="0" fontId="5" fillId="0" borderId="22" xfId="0" applyFont="1" applyBorder="1" applyAlignment="1">
      <alignment horizontal="left" vertical="center" wrapText="1" shrinkToFit="1"/>
    </xf>
    <xf numFmtId="0" fontId="5" fillId="0" borderId="22" xfId="0" applyFont="1" applyBorder="1" applyAlignment="1">
      <alignment vertical="center" wrapText="1" shrinkToFit="1"/>
    </xf>
    <xf numFmtId="0" fontId="5" fillId="0" borderId="22" xfId="0" applyFont="1" applyBorder="1" applyAlignment="1">
      <alignment horizontal="left" vertical="center" wrapText="1"/>
    </xf>
    <xf numFmtId="0" fontId="5" fillId="0" borderId="22" xfId="0" applyFont="1" applyBorder="1" applyAlignment="1">
      <alignment vertical="center" wrapText="1"/>
    </xf>
    <xf numFmtId="178" fontId="5" fillId="0" borderId="22" xfId="0" applyNumberFormat="1" applyFont="1" applyBorder="1" applyAlignment="1">
      <alignment horizontal="center" vertical="center" shrinkToFit="1"/>
    </xf>
    <xf numFmtId="49" fontId="5" fillId="0" borderId="22" xfId="0" applyNumberFormat="1" applyFont="1" applyBorder="1" applyAlignment="1">
      <alignment horizontal="center" vertical="center" wrapText="1"/>
    </xf>
    <xf numFmtId="49" fontId="5" fillId="0" borderId="31"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0" fontId="47" fillId="0" borderId="22" xfId="0" applyFont="1" applyBorder="1" applyAlignment="1">
      <alignment vertical="center" shrinkToFit="1"/>
    </xf>
    <xf numFmtId="182" fontId="47" fillId="0" borderId="22" xfId="0" applyNumberFormat="1" applyFont="1" applyBorder="1" applyAlignment="1">
      <alignment horizontal="right" vertical="center" shrinkToFit="1"/>
    </xf>
    <xf numFmtId="0" fontId="47" fillId="0" borderId="23" xfId="0" applyFont="1" applyBorder="1" applyAlignment="1">
      <alignment horizontal="center" vertical="center" shrinkToFit="1"/>
    </xf>
    <xf numFmtId="49" fontId="47" fillId="0" borderId="92" xfId="0" applyNumberFormat="1" applyFont="1" applyBorder="1" applyAlignment="1">
      <alignment horizontal="center" vertical="center" wrapText="1"/>
    </xf>
    <xf numFmtId="0" fontId="47" fillId="0" borderId="23" xfId="0" applyFont="1" applyBorder="1" applyAlignment="1">
      <alignment horizontal="center" vertical="center"/>
    </xf>
    <xf numFmtId="49" fontId="47" fillId="0" borderId="27" xfId="0" applyNumberFormat="1" applyFont="1" applyBorder="1" applyAlignment="1">
      <alignment horizontal="center" vertical="center" wrapText="1"/>
    </xf>
    <xf numFmtId="49" fontId="47" fillId="0" borderId="26"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0" fontId="5" fillId="0" borderId="22" xfId="0" applyFont="1" applyBorder="1" applyAlignment="1">
      <alignment horizontal="center" vertical="center" shrinkToFit="1"/>
    </xf>
    <xf numFmtId="0" fontId="47" fillId="0" borderId="25" xfId="0" quotePrefix="1" applyFont="1" applyBorder="1" applyAlignment="1">
      <alignment horizontal="center" vertical="center"/>
    </xf>
    <xf numFmtId="0" fontId="47" fillId="0" borderId="31" xfId="0" applyFont="1" applyBorder="1" applyAlignment="1">
      <alignment horizontal="center" vertical="center"/>
    </xf>
    <xf numFmtId="0" fontId="47" fillId="0" borderId="22" xfId="0" quotePrefix="1" applyFont="1" applyBorder="1" applyAlignment="1">
      <alignment vertical="center" wrapText="1" shrinkToFit="1"/>
    </xf>
    <xf numFmtId="0" fontId="47" fillId="0" borderId="31" xfId="0" applyFont="1" applyBorder="1" applyAlignment="1">
      <alignment horizontal="center" vertical="center" wrapText="1"/>
    </xf>
    <xf numFmtId="0" fontId="47" fillId="0" borderId="26" xfId="0" quotePrefix="1" applyFont="1" applyBorder="1" applyAlignment="1">
      <alignment horizontal="center" vertical="center"/>
    </xf>
    <xf numFmtId="0" fontId="47" fillId="0" borderId="27" xfId="0" quotePrefix="1" applyFont="1" applyBorder="1" applyAlignment="1">
      <alignment horizontal="center" vertical="center"/>
    </xf>
    <xf numFmtId="0" fontId="49" fillId="0" borderId="22" xfId="0" applyFont="1" applyBorder="1" applyAlignment="1">
      <alignment horizontal="center" vertical="center"/>
    </xf>
    <xf numFmtId="57" fontId="47" fillId="0" borderId="27" xfId="0" applyNumberFormat="1" applyFont="1" applyBorder="1" applyAlignment="1">
      <alignment horizontal="center" vertical="center"/>
    </xf>
    <xf numFmtId="0" fontId="47" fillId="0" borderId="22" xfId="0" applyFont="1" applyBorder="1" applyAlignment="1">
      <alignment horizontal="justify" vertical="center"/>
    </xf>
    <xf numFmtId="0" fontId="47" fillId="0" borderId="22" xfId="0" applyFont="1" applyBorder="1" applyAlignment="1">
      <alignment horizontal="justify" vertical="center" wrapText="1"/>
    </xf>
    <xf numFmtId="0" fontId="5" fillId="0" borderId="0" xfId="0" applyFont="1" applyAlignment="1">
      <alignment horizontal="left" vertical="center"/>
    </xf>
    <xf numFmtId="49" fontId="47" fillId="0" borderId="22" xfId="45" applyNumberFormat="1" applyFont="1" applyBorder="1">
      <alignment vertical="center"/>
    </xf>
    <xf numFmtId="49" fontId="47" fillId="0" borderId="22" xfId="0" applyNumberFormat="1" applyFont="1" applyBorder="1" applyAlignment="1">
      <alignment vertical="center" wrapText="1"/>
    </xf>
    <xf numFmtId="0" fontId="9" fillId="0" borderId="22" xfId="0" applyFont="1" applyBorder="1" applyAlignment="1">
      <alignment horizontal="justify" vertical="center" wrapText="1"/>
    </xf>
    <xf numFmtId="49" fontId="47" fillId="0" borderId="22" xfId="45" applyNumberFormat="1" applyFont="1" applyBorder="1" applyAlignment="1">
      <alignment horizontal="center" vertical="center"/>
    </xf>
    <xf numFmtId="49" fontId="47" fillId="0" borderId="29" xfId="0" applyNumberFormat="1" applyFont="1" applyBorder="1" applyAlignment="1">
      <alignment horizontal="center" vertical="center" wrapText="1"/>
    </xf>
    <xf numFmtId="49" fontId="47" fillId="0" borderId="56" xfId="0" applyNumberFormat="1" applyFont="1" applyBorder="1" applyAlignment="1">
      <alignment horizontal="center" vertical="center" wrapText="1"/>
    </xf>
    <xf numFmtId="49" fontId="47" fillId="0" borderId="30" xfId="0" applyNumberFormat="1" applyFont="1" applyBorder="1" applyAlignment="1">
      <alignment horizontal="center" vertical="center" wrapText="1"/>
    </xf>
    <xf numFmtId="0" fontId="47" fillId="0" borderId="0" xfId="0" applyFont="1">
      <alignment vertical="center"/>
    </xf>
    <xf numFmtId="0" fontId="9" fillId="0" borderId="22" xfId="0" applyFont="1" applyBorder="1" applyAlignment="1">
      <alignment horizontal="justify" vertical="center"/>
    </xf>
    <xf numFmtId="57" fontId="5" fillId="0" borderId="22" xfId="0" applyNumberFormat="1" applyFont="1" applyBorder="1" applyAlignment="1">
      <alignment vertical="center" wrapText="1"/>
    </xf>
    <xf numFmtId="0" fontId="54" fillId="0" borderId="22" xfId="0" applyFont="1" applyBorder="1" applyAlignment="1">
      <alignment horizontal="justify" vertical="center"/>
    </xf>
    <xf numFmtId="0" fontId="54" fillId="0" borderId="22" xfId="0" applyFont="1" applyBorder="1" applyAlignment="1">
      <alignment horizontal="justify" vertical="center" wrapText="1"/>
    </xf>
    <xf numFmtId="0" fontId="47" fillId="0" borderId="23" xfId="0" applyFont="1" applyBorder="1" applyAlignment="1">
      <alignment horizontal="center" vertical="center" wrapText="1"/>
    </xf>
    <xf numFmtId="0" fontId="47" fillId="0" borderId="23" xfId="0" applyFont="1" applyBorder="1" applyAlignment="1">
      <alignment horizontal="left" vertical="center" wrapText="1"/>
    </xf>
    <xf numFmtId="178" fontId="47" fillId="0" borderId="23" xfId="0" applyNumberFormat="1" applyFont="1" applyBorder="1" applyAlignment="1">
      <alignment horizontal="center" vertical="center" shrinkToFit="1"/>
    </xf>
    <xf numFmtId="49" fontId="47" fillId="0" borderId="23" xfId="0" applyNumberFormat="1" applyFont="1" applyBorder="1" applyAlignment="1">
      <alignment horizontal="center" vertical="center" wrapText="1"/>
    </xf>
    <xf numFmtId="0" fontId="47" fillId="0" borderId="58" xfId="0" applyFont="1" applyBorder="1" applyAlignment="1">
      <alignment horizontal="center" vertical="center"/>
    </xf>
    <xf numFmtId="0" fontId="47" fillId="0" borderId="53" xfId="0" applyFont="1" applyBorder="1" applyAlignment="1">
      <alignment horizontal="center" vertical="center"/>
    </xf>
    <xf numFmtId="0" fontId="47" fillId="0" borderId="39" xfId="0" applyFont="1" applyBorder="1" applyAlignment="1">
      <alignment horizontal="center" vertical="center"/>
    </xf>
    <xf numFmtId="0" fontId="47" fillId="0" borderId="40" xfId="0" applyFont="1" applyBorder="1" applyAlignment="1">
      <alignment horizontal="center" vertical="center"/>
    </xf>
    <xf numFmtId="57" fontId="47" fillId="0" borderId="23" xfId="0" applyNumberFormat="1" applyFont="1" applyBorder="1" applyAlignment="1">
      <alignment horizontal="center" vertical="center" wrapText="1"/>
    </xf>
    <xf numFmtId="0" fontId="5" fillId="0" borderId="28" xfId="0" applyFont="1" applyBorder="1">
      <alignment vertical="center"/>
    </xf>
    <xf numFmtId="0" fontId="47" fillId="0" borderId="42" xfId="0" applyFont="1" applyBorder="1" applyAlignment="1">
      <alignment horizontal="left" vertical="center" wrapText="1"/>
    </xf>
    <xf numFmtId="0" fontId="47" fillId="0" borderId="42" xfId="0" applyFont="1" applyBorder="1" applyAlignment="1">
      <alignment vertical="center" wrapText="1"/>
    </xf>
    <xf numFmtId="0" fontId="47" fillId="0" borderId="28" xfId="0" applyFont="1" applyBorder="1" applyAlignment="1">
      <alignment vertical="center" wrapText="1"/>
    </xf>
    <xf numFmtId="179" fontId="47" fillId="0" borderId="28" xfId="0" applyNumberFormat="1" applyFont="1" applyBorder="1" applyAlignment="1">
      <alignment horizontal="center" vertical="center" wrapText="1"/>
    </xf>
    <xf numFmtId="177" fontId="47" fillId="0" borderId="22" xfId="0" applyNumberFormat="1" applyFont="1" applyBorder="1" applyAlignment="1">
      <alignment horizontal="left" vertical="center"/>
    </xf>
    <xf numFmtId="0" fontId="1" fillId="0" borderId="0" xfId="0" applyFont="1">
      <alignment vertical="center"/>
    </xf>
    <xf numFmtId="178" fontId="47" fillId="0" borderId="28" xfId="0" quotePrefix="1" applyNumberFormat="1" applyFont="1" applyBorder="1" applyAlignment="1">
      <alignment horizontal="center" vertical="center" shrinkToFit="1"/>
    </xf>
    <xf numFmtId="0" fontId="5" fillId="0" borderId="39" xfId="0" applyFont="1" applyBorder="1" applyAlignment="1">
      <alignment horizontal="center" vertical="center"/>
    </xf>
    <xf numFmtId="49" fontId="47" fillId="0" borderId="41" xfId="0" applyNumberFormat="1" applyFont="1" applyBorder="1" applyAlignment="1">
      <alignment horizontal="center" vertical="center" wrapText="1"/>
    </xf>
    <xf numFmtId="49" fontId="47" fillId="0" borderId="52" xfId="0" applyNumberFormat="1" applyFont="1" applyBorder="1" applyAlignment="1">
      <alignment horizontal="center" vertical="center" wrapText="1"/>
    </xf>
    <xf numFmtId="49" fontId="47" fillId="0" borderId="50" xfId="0" applyNumberFormat="1" applyFont="1" applyBorder="1" applyAlignment="1">
      <alignment horizontal="center" vertical="center" wrapText="1"/>
    </xf>
    <xf numFmtId="0" fontId="47" fillId="0" borderId="48" xfId="0" applyFont="1" applyBorder="1" applyAlignment="1">
      <alignment horizontal="center" vertical="center"/>
    </xf>
    <xf numFmtId="0" fontId="47" fillId="0" borderId="42" xfId="0" applyFont="1" applyBorder="1" applyAlignment="1">
      <alignment horizontal="center" vertical="center"/>
    </xf>
    <xf numFmtId="0" fontId="47" fillId="0" borderId="47" xfId="0" applyFont="1" applyBorder="1" applyAlignment="1">
      <alignment horizontal="center" vertical="center"/>
    </xf>
    <xf numFmtId="177" fontId="47" fillId="0" borderId="23" xfId="0" applyNumberFormat="1" applyFont="1" applyBorder="1" applyAlignment="1">
      <alignment horizontal="center" vertical="center"/>
    </xf>
    <xf numFmtId="0" fontId="47" fillId="0" borderId="22" xfId="0" quotePrefix="1" applyFont="1" applyBorder="1" applyAlignment="1">
      <alignment horizontal="center" vertical="center" wrapText="1"/>
    </xf>
    <xf numFmtId="0" fontId="46" fillId="0" borderId="0" xfId="0" applyFont="1" applyAlignment="1">
      <alignment horizontal="center" vertical="center"/>
    </xf>
    <xf numFmtId="179" fontId="47" fillId="0" borderId="22" xfId="0" quotePrefix="1" applyNumberFormat="1" applyFont="1" applyBorder="1" applyAlignment="1">
      <alignment horizontal="center" vertical="center" shrinkToFit="1"/>
    </xf>
    <xf numFmtId="0" fontId="5" fillId="0" borderId="43" xfId="0" applyFont="1" applyBorder="1" applyAlignment="1">
      <alignment vertical="center" wrapText="1"/>
    </xf>
    <xf numFmtId="58" fontId="47" fillId="0" borderId="22" xfId="0" applyNumberFormat="1" applyFont="1" applyBorder="1" applyAlignment="1">
      <alignment vertical="center" wrapText="1"/>
    </xf>
    <xf numFmtId="58" fontId="47" fillId="0" borderId="23" xfId="0" applyNumberFormat="1" applyFont="1" applyBorder="1" applyAlignment="1">
      <alignment vertical="center" wrapText="1"/>
    </xf>
    <xf numFmtId="49" fontId="47" fillId="0" borderId="22" xfId="0" applyNumberFormat="1" applyFont="1" applyBorder="1">
      <alignment vertical="center"/>
    </xf>
    <xf numFmtId="49" fontId="47" fillId="0" borderId="22" xfId="0" applyNumberFormat="1" applyFont="1" applyBorder="1" applyAlignment="1">
      <alignment horizontal="center" vertical="center"/>
    </xf>
    <xf numFmtId="0" fontId="55" fillId="0" borderId="22" xfId="0" applyFont="1" applyBorder="1" applyAlignment="1">
      <alignment horizontal="center" vertical="center"/>
    </xf>
    <xf numFmtId="49" fontId="47" fillId="0" borderId="24" xfId="0" applyNumberFormat="1" applyFont="1" applyBorder="1" applyAlignment="1">
      <alignment horizontal="center" vertical="center"/>
    </xf>
    <xf numFmtId="49" fontId="47" fillId="0" borderId="25" xfId="0" applyNumberFormat="1" applyFont="1" applyBorder="1" applyAlignment="1">
      <alignment horizontal="center" vertical="center"/>
    </xf>
    <xf numFmtId="177" fontId="47" fillId="0" borderId="22" xfId="0" applyNumberFormat="1" applyFont="1" applyBorder="1" applyAlignment="1">
      <alignment horizontal="center" vertical="center" wrapText="1"/>
    </xf>
    <xf numFmtId="0" fontId="47" fillId="0" borderId="22" xfId="0" applyFont="1" applyBorder="1" applyAlignment="1">
      <alignment horizontal="left" vertical="center"/>
    </xf>
    <xf numFmtId="0" fontId="47" fillId="0" borderId="54" xfId="0" applyFont="1" applyBorder="1" applyAlignment="1">
      <alignment horizontal="center" vertical="center" wrapText="1"/>
    </xf>
    <xf numFmtId="0" fontId="47" fillId="0" borderId="32" xfId="0" applyFont="1" applyBorder="1" applyAlignment="1">
      <alignment horizontal="center" vertical="center" wrapText="1"/>
    </xf>
    <xf numFmtId="0" fontId="47" fillId="0" borderId="22" xfId="48" applyFont="1" applyBorder="1" applyAlignment="1">
      <alignment vertical="center" wrapText="1"/>
    </xf>
    <xf numFmtId="179" fontId="47" fillId="0" borderId="22" xfId="48" applyNumberFormat="1" applyFont="1" applyBorder="1" applyAlignment="1">
      <alignment horizontal="center" vertical="center" wrapText="1"/>
    </xf>
    <xf numFmtId="0" fontId="47" fillId="0" borderId="24" xfId="48" applyFont="1" applyBorder="1" applyAlignment="1">
      <alignment horizontal="center" vertical="center" wrapText="1"/>
    </xf>
    <xf numFmtId="0" fontId="47" fillId="0" borderId="25" xfId="48" applyFont="1" applyBorder="1" applyAlignment="1">
      <alignment horizontal="center" vertical="center" wrapText="1"/>
    </xf>
    <xf numFmtId="0" fontId="47" fillId="0" borderId="27" xfId="48" applyFont="1" applyBorder="1" applyAlignment="1">
      <alignment horizontal="center" vertical="center" wrapText="1"/>
    </xf>
    <xf numFmtId="0" fontId="47" fillId="0" borderId="27" xfId="0" quotePrefix="1" applyFont="1" applyBorder="1" applyAlignment="1">
      <alignment horizontal="center" vertical="center" wrapText="1"/>
    </xf>
    <xf numFmtId="0" fontId="47" fillId="0" borderId="28" xfId="48" applyFont="1" applyBorder="1" applyAlignment="1">
      <alignment horizontal="center" vertical="center" wrapText="1"/>
    </xf>
    <xf numFmtId="177" fontId="47" fillId="0" borderId="22" xfId="48" applyNumberFormat="1" applyFont="1" applyBorder="1" applyAlignment="1">
      <alignment horizontal="center" vertical="center" wrapText="1"/>
    </xf>
    <xf numFmtId="49" fontId="47" fillId="0" borderId="27" xfId="0" applyNumberFormat="1" applyFont="1" applyBorder="1" applyAlignment="1">
      <alignment horizontal="center" vertical="center"/>
    </xf>
    <xf numFmtId="49" fontId="47" fillId="0" borderId="26" xfId="0" applyNumberFormat="1" applyFont="1" applyBorder="1" applyAlignment="1">
      <alignment horizontal="center" vertical="center"/>
    </xf>
    <xf numFmtId="0" fontId="55" fillId="0" borderId="22" xfId="0" applyFont="1" applyBorder="1" applyAlignment="1">
      <alignment horizontal="center" vertical="center" wrapText="1"/>
    </xf>
    <xf numFmtId="179" fontId="5" fillId="0" borderId="22" xfId="0" applyNumberFormat="1" applyFont="1" applyBorder="1" applyAlignment="1">
      <alignment horizontal="center" vertical="center" wrapText="1"/>
    </xf>
    <xf numFmtId="0" fontId="5" fillId="0" borderId="31" xfId="0" applyFont="1" applyBorder="1" applyAlignment="1">
      <alignment horizontal="center" vertical="center" wrapText="1"/>
    </xf>
    <xf numFmtId="0" fontId="5" fillId="0" borderId="25" xfId="0" applyFont="1" applyBorder="1" applyAlignment="1">
      <alignment horizontal="center" vertical="center" wrapText="1"/>
    </xf>
    <xf numFmtId="49" fontId="47" fillId="0" borderId="22" xfId="0" applyNumberFormat="1" applyFont="1" applyBorder="1" applyAlignment="1">
      <alignment vertical="center" wrapText="1" shrinkToFit="1"/>
    </xf>
    <xf numFmtId="0" fontId="5" fillId="0" borderId="22" xfId="0" quotePrefix="1" applyFont="1" applyBorder="1" applyAlignment="1">
      <alignment horizontal="center" vertical="center"/>
    </xf>
    <xf numFmtId="178" fontId="5" fillId="0" borderId="22" xfId="0" quotePrefix="1" applyNumberFormat="1" applyFont="1" applyBorder="1" applyAlignment="1">
      <alignment horizontal="center" vertical="center" shrinkToFit="1"/>
    </xf>
    <xf numFmtId="0" fontId="5" fillId="0" borderId="25" xfId="0" applyFont="1" applyBorder="1" applyAlignment="1">
      <alignment horizontal="center" vertical="center"/>
    </xf>
    <xf numFmtId="49" fontId="5" fillId="0" borderId="22" xfId="0" applyNumberFormat="1" applyFont="1" applyBorder="1" applyAlignment="1">
      <alignment horizontal="left" vertical="center" wrapText="1"/>
    </xf>
    <xf numFmtId="0" fontId="5" fillId="0" borderId="51" xfId="0" applyFont="1" applyBorder="1">
      <alignment vertical="center"/>
    </xf>
    <xf numFmtId="0" fontId="47" fillId="0" borderId="23" xfId="0" applyFont="1" applyBorder="1" applyAlignment="1">
      <alignment vertical="center" wrapText="1" shrinkToFit="1"/>
    </xf>
    <xf numFmtId="179" fontId="47" fillId="0" borderId="22" xfId="0" applyNumberFormat="1" applyFont="1" applyBorder="1" applyAlignment="1">
      <alignment horizontal="center" vertical="center"/>
    </xf>
    <xf numFmtId="0" fontId="5" fillId="0" borderId="27" xfId="0" applyFont="1" applyBorder="1">
      <alignment vertical="center"/>
    </xf>
    <xf numFmtId="0" fontId="47" fillId="0" borderId="0" xfId="0" applyFont="1" applyAlignment="1">
      <alignment horizontal="center" vertical="center"/>
    </xf>
    <xf numFmtId="0" fontId="47" fillId="0" borderId="33" xfId="0" applyFont="1" applyBorder="1" applyAlignment="1">
      <alignment vertical="center" wrapText="1"/>
    </xf>
    <xf numFmtId="179" fontId="47" fillId="0" borderId="23" xfId="0" applyNumberFormat="1" applyFont="1" applyBorder="1" applyAlignment="1">
      <alignment horizontal="center" vertical="center" wrapText="1"/>
    </xf>
    <xf numFmtId="0" fontId="46" fillId="0" borderId="28" xfId="0" applyFont="1" applyBorder="1" applyAlignment="1">
      <alignment horizontal="center" vertical="center"/>
    </xf>
    <xf numFmtId="0" fontId="47" fillId="0" borderId="29" xfId="0" applyFont="1" applyBorder="1" applyAlignment="1">
      <alignment horizontal="center" vertical="center"/>
    </xf>
    <xf numFmtId="0" fontId="47" fillId="0" borderId="30" xfId="0" applyFont="1" applyBorder="1" applyAlignment="1">
      <alignment horizontal="center" vertical="center"/>
    </xf>
    <xf numFmtId="0" fontId="47" fillId="0" borderId="28" xfId="0" quotePrefix="1" applyFont="1" applyBorder="1" applyAlignment="1">
      <alignment horizontal="center" vertical="center" wrapText="1"/>
    </xf>
    <xf numFmtId="3" fontId="47" fillId="0" borderId="22" xfId="0" applyNumberFormat="1" applyFont="1" applyBorder="1" applyAlignment="1">
      <alignment vertical="center" wrapText="1"/>
    </xf>
    <xf numFmtId="49" fontId="47" fillId="0" borderId="39" xfId="0" applyNumberFormat="1" applyFont="1" applyBorder="1" applyAlignment="1">
      <alignment horizontal="center" vertical="center" wrapText="1"/>
    </xf>
    <xf numFmtId="57" fontId="47" fillId="0" borderId="23" xfId="0" applyNumberFormat="1" applyFont="1" applyBorder="1" applyAlignment="1">
      <alignment horizontal="center" vertical="center"/>
    </xf>
    <xf numFmtId="177" fontId="5" fillId="0" borderId="0" xfId="0" applyNumberFormat="1" applyFont="1" applyAlignment="1">
      <alignment horizontal="center" vertical="center"/>
    </xf>
    <xf numFmtId="0" fontId="47" fillId="0" borderId="22" xfId="48" applyFont="1" applyBorder="1" applyAlignment="1">
      <alignment horizontal="center" vertical="center" wrapText="1"/>
    </xf>
    <xf numFmtId="0" fontId="47" fillId="0" borderId="22" xfId="48" applyFont="1" applyBorder="1" applyAlignment="1">
      <alignment horizontal="left" vertical="center" wrapText="1"/>
    </xf>
    <xf numFmtId="0" fontId="47" fillId="0" borderId="26" xfId="48" applyFont="1" applyBorder="1" applyAlignment="1">
      <alignment horizontal="center" vertical="center" wrapText="1"/>
    </xf>
    <xf numFmtId="0" fontId="47" fillId="0" borderId="22" xfId="0" quotePrefix="1" applyFont="1" applyBorder="1" applyAlignment="1">
      <alignment horizontal="left" vertical="center" wrapText="1"/>
    </xf>
    <xf numFmtId="178" fontId="47" fillId="0" borderId="22" xfId="0" applyNumberFormat="1" applyFont="1" applyBorder="1" applyAlignment="1">
      <alignment horizontal="left" vertical="center" wrapText="1" shrinkToFit="1"/>
    </xf>
    <xf numFmtId="0" fontId="60" fillId="0" borderId="22" xfId="0" applyFont="1" applyBorder="1" applyAlignment="1">
      <alignment vertical="center" wrapText="1"/>
    </xf>
    <xf numFmtId="179" fontId="47" fillId="0" borderId="42" xfId="0" applyNumberFormat="1" applyFont="1" applyBorder="1" applyAlignment="1">
      <alignment horizontal="center" vertical="center" wrapText="1"/>
    </xf>
    <xf numFmtId="0" fontId="47" fillId="0" borderId="48" xfId="0" applyFont="1" applyBorder="1" applyAlignment="1">
      <alignment horizontal="center" vertical="center" wrapText="1"/>
    </xf>
    <xf numFmtId="0" fontId="47" fillId="0" borderId="42" xfId="0" applyFont="1" applyBorder="1" applyAlignment="1">
      <alignment horizontal="center" vertical="center" wrapText="1"/>
    </xf>
    <xf numFmtId="0" fontId="47" fillId="0" borderId="55" xfId="0" applyFont="1" applyBorder="1" applyAlignment="1">
      <alignment horizontal="center" vertical="center" wrapText="1"/>
    </xf>
    <xf numFmtId="0" fontId="47" fillId="0" borderId="46" xfId="0" applyFont="1" applyBorder="1" applyAlignment="1">
      <alignment horizontal="center" vertical="center" wrapText="1"/>
    </xf>
    <xf numFmtId="49" fontId="47" fillId="0" borderId="46" xfId="0" applyNumberFormat="1" applyFont="1" applyBorder="1" applyAlignment="1">
      <alignment horizontal="center" vertical="center" wrapText="1"/>
    </xf>
    <xf numFmtId="0" fontId="47" fillId="0" borderId="49" xfId="0" applyFont="1" applyBorder="1" applyAlignment="1">
      <alignment horizontal="center" vertical="center"/>
    </xf>
    <xf numFmtId="177" fontId="47" fillId="0" borderId="42" xfId="0" applyNumberFormat="1" applyFont="1" applyBorder="1" applyAlignment="1">
      <alignment horizontal="center" vertical="center"/>
    </xf>
    <xf numFmtId="0" fontId="47" fillId="0" borderId="42" xfId="0" applyFont="1" applyBorder="1" applyAlignment="1">
      <alignment horizontal="left" vertical="center" wrapText="1" shrinkToFit="1"/>
    </xf>
    <xf numFmtId="0" fontId="5" fillId="0" borderId="24" xfId="44" applyFont="1" applyBorder="1" applyAlignment="1">
      <alignment horizontal="center" vertical="center" wrapText="1"/>
    </xf>
    <xf numFmtId="0" fontId="5" fillId="0" borderId="25" xfId="44" applyFont="1" applyBorder="1" applyAlignment="1">
      <alignment horizontal="center" vertical="center" wrapText="1"/>
    </xf>
    <xf numFmtId="0" fontId="5" fillId="0" borderId="26" xfId="44" applyFont="1" applyBorder="1" applyAlignment="1">
      <alignment horizontal="center" vertical="center" wrapText="1"/>
    </xf>
    <xf numFmtId="0" fontId="5" fillId="0" borderId="27" xfId="44" applyFont="1" applyBorder="1" applyAlignment="1">
      <alignment horizontal="center" vertical="center" wrapText="1"/>
    </xf>
    <xf numFmtId="0" fontId="5" fillId="0" borderId="23" xfId="0" applyFont="1" applyBorder="1" applyAlignment="1">
      <alignment horizontal="left" vertical="center" wrapText="1"/>
    </xf>
    <xf numFmtId="178" fontId="5" fillId="0" borderId="23" xfId="0" applyNumberFormat="1" applyFont="1" applyBorder="1" applyAlignment="1">
      <alignment horizontal="left" vertical="center" wrapText="1" shrinkToFit="1"/>
    </xf>
    <xf numFmtId="178" fontId="5" fillId="0" borderId="23" xfId="0" applyNumberFormat="1" applyFont="1" applyBorder="1" applyAlignment="1">
      <alignment horizontal="center" vertical="center" shrinkToFit="1"/>
    </xf>
    <xf numFmtId="49" fontId="5" fillId="0" borderId="41" xfId="0" applyNumberFormat="1" applyFont="1" applyBorder="1" applyAlignment="1">
      <alignment horizontal="center" vertical="center" wrapText="1"/>
    </xf>
    <xf numFmtId="49" fontId="5" fillId="0" borderId="52" xfId="0" applyNumberFormat="1" applyFont="1" applyBorder="1" applyAlignment="1">
      <alignment horizontal="center" vertical="center" wrapText="1"/>
    </xf>
    <xf numFmtId="57" fontId="5" fillId="0" borderId="23" xfId="0" applyNumberFormat="1" applyFont="1" applyBorder="1" applyAlignment="1">
      <alignment horizontal="center" vertical="center" wrapText="1"/>
    </xf>
    <xf numFmtId="0" fontId="10" fillId="0" borderId="0" xfId="0" applyFont="1" applyAlignment="1">
      <alignment vertical="center" wrapText="1"/>
    </xf>
    <xf numFmtId="57" fontId="47" fillId="0" borderId="22" xfId="0" applyNumberFormat="1" applyFont="1" applyBorder="1" applyAlignment="1">
      <alignment horizontal="left" vertical="center"/>
    </xf>
    <xf numFmtId="0" fontId="47" fillId="0" borderId="22" xfId="47" applyFont="1" applyBorder="1" applyAlignment="1">
      <alignment vertical="center" wrapText="1"/>
    </xf>
    <xf numFmtId="0" fontId="47" fillId="0" borderId="22" xfId="46" applyFont="1" applyBorder="1" applyAlignment="1">
      <alignment horizontal="center" vertical="center" wrapText="1"/>
    </xf>
    <xf numFmtId="0" fontId="47" fillId="0" borderId="22" xfId="46" applyFont="1" applyBorder="1" applyAlignment="1">
      <alignment horizontal="center" vertical="center"/>
    </xf>
    <xf numFmtId="0" fontId="49" fillId="0" borderId="28" xfId="0" applyFont="1" applyBorder="1" applyAlignment="1">
      <alignment horizontal="center" vertical="center" wrapText="1"/>
    </xf>
    <xf numFmtId="0" fontId="47" fillId="0" borderId="23" xfId="0" applyFont="1" applyBorder="1">
      <alignment vertical="center"/>
    </xf>
    <xf numFmtId="179" fontId="47" fillId="0" borderId="23" xfId="0" applyNumberFormat="1" applyFont="1" applyBorder="1" applyAlignment="1">
      <alignment horizontal="center" vertical="center"/>
    </xf>
    <xf numFmtId="0" fontId="5" fillId="0" borderId="23" xfId="0" applyFont="1" applyBorder="1">
      <alignment vertical="center"/>
    </xf>
    <xf numFmtId="0" fontId="5" fillId="0" borderId="0" xfId="44" applyFont="1" applyAlignment="1">
      <alignment horizontal="center" vertical="center"/>
    </xf>
    <xf numFmtId="0" fontId="5" fillId="0" borderId="0" xfId="44" applyFont="1">
      <alignment vertical="center"/>
    </xf>
    <xf numFmtId="0" fontId="47" fillId="0" borderId="22" xfId="44" applyFont="1" applyBorder="1" applyAlignment="1">
      <alignment horizontal="center" vertical="center" wrapText="1"/>
    </xf>
    <xf numFmtId="0" fontId="47" fillId="0" borderId="22" xfId="44" applyFont="1" applyBorder="1" applyAlignment="1">
      <alignment horizontal="left" vertical="center" wrapText="1"/>
    </xf>
    <xf numFmtId="0" fontId="47" fillId="0" borderId="22" xfId="44" applyFont="1" applyBorder="1" applyAlignment="1">
      <alignment vertical="center" wrapText="1"/>
    </xf>
    <xf numFmtId="178" fontId="47" fillId="0" borderId="22" xfId="44" applyNumberFormat="1" applyFont="1" applyBorder="1" applyAlignment="1">
      <alignment horizontal="center" vertical="center" shrinkToFit="1"/>
    </xf>
    <xf numFmtId="49" fontId="47" fillId="0" borderId="22" xfId="44" applyNumberFormat="1" applyFont="1" applyBorder="1" applyAlignment="1">
      <alignment horizontal="center" vertical="center" wrapText="1"/>
    </xf>
    <xf numFmtId="49" fontId="47" fillId="0" borderId="24" xfId="44" applyNumberFormat="1" applyFont="1" applyBorder="1" applyAlignment="1">
      <alignment horizontal="center" vertical="center" wrapText="1"/>
    </xf>
    <xf numFmtId="49" fontId="47" fillId="0" borderId="25" xfId="44" applyNumberFormat="1" applyFont="1" applyBorder="1" applyAlignment="1">
      <alignment horizontal="center" vertical="center" wrapText="1"/>
    </xf>
    <xf numFmtId="0" fontId="47" fillId="0" borderId="26" xfId="44" applyFont="1" applyBorder="1" applyAlignment="1">
      <alignment horizontal="center" vertical="center"/>
    </xf>
    <xf numFmtId="0" fontId="47" fillId="0" borderId="27" xfId="44" applyFont="1" applyBorder="1" applyAlignment="1">
      <alignment horizontal="center" vertical="center"/>
    </xf>
    <xf numFmtId="0" fontId="47" fillId="0" borderId="22" xfId="44" applyFont="1" applyBorder="1" applyAlignment="1">
      <alignment horizontal="center" vertical="center"/>
    </xf>
    <xf numFmtId="0" fontId="47" fillId="0" borderId="28" xfId="44" applyFont="1" applyBorder="1" applyAlignment="1">
      <alignment horizontal="center" vertical="center"/>
    </xf>
    <xf numFmtId="57" fontId="47" fillId="0" borderId="22" xfId="44" applyNumberFormat="1" applyFont="1" applyBorder="1" applyAlignment="1">
      <alignment horizontal="center" vertical="center"/>
    </xf>
    <xf numFmtId="177" fontId="47" fillId="0" borderId="0" xfId="0" applyNumberFormat="1" applyFont="1" applyAlignment="1">
      <alignment horizontal="center" vertical="center"/>
    </xf>
    <xf numFmtId="57" fontId="47" fillId="0" borderId="0" xfId="0" applyNumberFormat="1" applyFont="1" applyAlignment="1">
      <alignment horizontal="center" vertical="center"/>
    </xf>
    <xf numFmtId="49" fontId="47" fillId="0" borderId="48" xfId="0" applyNumberFormat="1" applyFont="1" applyBorder="1" applyAlignment="1">
      <alignment horizontal="center" vertical="center" wrapText="1"/>
    </xf>
    <xf numFmtId="179" fontId="5" fillId="0" borderId="22" xfId="0" applyNumberFormat="1" applyFont="1" applyBorder="1" applyAlignment="1">
      <alignment horizontal="center" vertical="center"/>
    </xf>
    <xf numFmtId="0" fontId="47" fillId="0" borderId="22" xfId="0" quotePrefix="1" applyFont="1" applyBorder="1" applyAlignment="1">
      <alignment vertical="center" wrapText="1"/>
    </xf>
    <xf numFmtId="179" fontId="47" fillId="0" borderId="22" xfId="44" applyNumberFormat="1" applyFont="1" applyBorder="1" applyAlignment="1">
      <alignment horizontal="center" vertical="center"/>
    </xf>
    <xf numFmtId="0" fontId="47" fillId="0" borderId="24" xfId="44" applyFont="1" applyBorder="1" applyAlignment="1">
      <alignment horizontal="center" vertical="center" wrapText="1"/>
    </xf>
    <xf numFmtId="0" fontId="47" fillId="0" borderId="25" xfId="44" applyFont="1" applyBorder="1" applyAlignment="1">
      <alignment horizontal="center" vertical="center" wrapText="1"/>
    </xf>
    <xf numFmtId="0" fontId="47" fillId="0" borderId="26" xfId="44" applyFont="1" applyBorder="1" applyAlignment="1">
      <alignment horizontal="center" vertical="center" wrapText="1"/>
    </xf>
    <xf numFmtId="0" fontId="47" fillId="0" borderId="27" xfId="44" applyFont="1" applyBorder="1" applyAlignment="1">
      <alignment horizontal="center" vertical="center" wrapText="1"/>
    </xf>
    <xf numFmtId="0" fontId="47" fillId="0" borderId="28" xfId="44" applyFont="1" applyBorder="1" applyAlignment="1">
      <alignment horizontal="center" vertical="center" wrapText="1"/>
    </xf>
    <xf numFmtId="0" fontId="47" fillId="0" borderId="32" xfId="44" applyFont="1" applyBorder="1" applyAlignment="1">
      <alignment horizontal="center" vertical="center" wrapText="1"/>
    </xf>
    <xf numFmtId="177" fontId="47" fillId="0" borderId="22" xfId="44" applyNumberFormat="1" applyFont="1" applyBorder="1" applyAlignment="1">
      <alignment horizontal="center" vertical="center"/>
    </xf>
    <xf numFmtId="178" fontId="47" fillId="0" borderId="22" xfId="0" applyNumberFormat="1" applyFont="1" applyBorder="1" applyAlignment="1">
      <alignment horizontal="center" vertical="center" wrapText="1"/>
    </xf>
    <xf numFmtId="0" fontId="47" fillId="0" borderId="0" xfId="0" applyFont="1" applyAlignment="1">
      <alignment horizontal="left" vertical="center" wrapText="1"/>
    </xf>
    <xf numFmtId="0" fontId="47" fillId="0" borderId="0" xfId="0" applyFont="1" applyAlignment="1">
      <alignment vertical="center" wrapText="1"/>
    </xf>
    <xf numFmtId="179" fontId="47" fillId="0" borderId="0" xfId="0" applyNumberFormat="1" applyFont="1" applyAlignment="1">
      <alignment horizontal="center" vertical="center" wrapText="1"/>
    </xf>
    <xf numFmtId="0" fontId="47" fillId="0" borderId="0" xfId="0" applyFont="1" applyAlignment="1">
      <alignment horizontal="center" vertical="center" wrapText="1"/>
    </xf>
    <xf numFmtId="177" fontId="5" fillId="0" borderId="0" xfId="0" applyNumberFormat="1" applyFont="1" applyAlignment="1">
      <alignment horizontal="left" vertical="center" shrinkToFit="1"/>
    </xf>
    <xf numFmtId="177" fontId="5" fillId="0" borderId="0" xfId="0" applyNumberFormat="1" applyFont="1" applyAlignment="1">
      <alignment vertical="center" shrinkToFit="1"/>
    </xf>
    <xf numFmtId="177" fontId="5" fillId="0" borderId="0" xfId="0" applyNumberFormat="1" applyFont="1" applyAlignment="1">
      <alignment horizontal="center" vertical="center" wrapText="1"/>
    </xf>
    <xf numFmtId="179" fontId="47" fillId="0" borderId="22" xfId="0" applyNumberFormat="1" applyFont="1" applyBorder="1" applyAlignment="1">
      <alignment horizontal="left" vertical="center" wrapText="1"/>
    </xf>
    <xf numFmtId="0" fontId="47" fillId="0" borderId="33" xfId="0" applyFont="1" applyBorder="1" applyAlignment="1">
      <alignment horizontal="center" vertical="center"/>
    </xf>
    <xf numFmtId="0" fontId="46" fillId="0" borderId="22" xfId="0" applyFont="1" applyBorder="1" applyAlignment="1">
      <alignment horizontal="center" vertical="center"/>
    </xf>
    <xf numFmtId="0" fontId="1" fillId="0" borderId="25" xfId="0" applyFont="1" applyBorder="1">
      <alignment vertical="center"/>
    </xf>
    <xf numFmtId="0" fontId="5" fillId="0" borderId="42" xfId="0" applyFont="1" applyBorder="1" applyAlignment="1">
      <alignment horizontal="left" vertical="center" wrapText="1" shrinkToFit="1"/>
    </xf>
    <xf numFmtId="0" fontId="5" fillId="0" borderId="42" xfId="0" applyFont="1" applyBorder="1" applyAlignment="1">
      <alignment vertical="center" wrapText="1" shrinkToFit="1"/>
    </xf>
    <xf numFmtId="0" fontId="5" fillId="0" borderId="42" xfId="0" applyFont="1" applyBorder="1" applyAlignment="1">
      <alignment vertical="center" wrapText="1"/>
    </xf>
    <xf numFmtId="178" fontId="5" fillId="0" borderId="42" xfId="0" applyNumberFormat="1" applyFont="1" applyBorder="1" applyAlignment="1">
      <alignment horizontal="center" vertical="center" shrinkToFit="1"/>
    </xf>
    <xf numFmtId="49" fontId="5" fillId="0" borderId="42" xfId="0" applyNumberFormat="1" applyFont="1" applyBorder="1" applyAlignment="1">
      <alignment horizontal="center" vertical="center" wrapText="1"/>
    </xf>
    <xf numFmtId="57" fontId="5" fillId="0" borderId="42" xfId="0" applyNumberFormat="1" applyFont="1" applyBorder="1" applyAlignment="1">
      <alignment horizontal="center" vertical="center"/>
    </xf>
    <xf numFmtId="0" fontId="47" fillId="0" borderId="23" xfId="0" quotePrefix="1" applyFont="1" applyBorder="1" applyAlignment="1">
      <alignment horizontal="center" vertical="center"/>
    </xf>
    <xf numFmtId="0" fontId="47" fillId="0" borderId="41" xfId="0" applyFont="1" applyBorder="1" applyAlignment="1">
      <alignment horizontal="center" vertical="center" wrapText="1"/>
    </xf>
    <xf numFmtId="0" fontId="47" fillId="0" borderId="52" xfId="0" applyFont="1" applyBorder="1" applyAlignment="1">
      <alignment horizontal="center" vertical="center" wrapText="1"/>
    </xf>
    <xf numFmtId="0" fontId="47" fillId="0" borderId="53" xfId="0" applyFont="1" applyBorder="1" applyAlignment="1">
      <alignment horizontal="center" vertical="center" wrapText="1"/>
    </xf>
    <xf numFmtId="0" fontId="47" fillId="0" borderId="40" xfId="0" applyFont="1" applyBorder="1" applyAlignment="1">
      <alignment horizontal="center" vertical="center" wrapText="1"/>
    </xf>
    <xf numFmtId="0" fontId="47" fillId="0" borderId="39" xfId="0" applyFont="1" applyBorder="1" applyAlignment="1">
      <alignment vertical="center" wrapText="1"/>
    </xf>
    <xf numFmtId="178" fontId="47" fillId="0" borderId="39" xfId="0" quotePrefix="1" applyNumberFormat="1" applyFont="1" applyBorder="1" applyAlignment="1">
      <alignment horizontal="center" vertical="center" shrinkToFit="1"/>
    </xf>
    <xf numFmtId="0" fontId="47" fillId="0" borderId="39" xfId="0" applyFont="1" applyBorder="1" applyAlignment="1">
      <alignment horizontal="center" vertical="center" wrapText="1"/>
    </xf>
    <xf numFmtId="0" fontId="47" fillId="0" borderId="42" xfId="0" applyFont="1" applyBorder="1" applyAlignment="1">
      <alignment vertical="center" wrapText="1" shrinkToFit="1"/>
    </xf>
    <xf numFmtId="57" fontId="5" fillId="0" borderId="0" xfId="0" applyNumberFormat="1" applyFont="1" applyAlignment="1">
      <alignment horizontal="center" vertical="center"/>
    </xf>
    <xf numFmtId="0" fontId="48" fillId="0" borderId="22" xfId="0" applyFont="1" applyBorder="1" applyAlignment="1">
      <alignment horizontal="center" vertical="center"/>
    </xf>
    <xf numFmtId="0" fontId="60" fillId="0" borderId="22" xfId="0" applyFont="1" applyBorder="1" applyAlignment="1">
      <alignment horizontal="center" vertical="center" wrapText="1"/>
    </xf>
    <xf numFmtId="179" fontId="47" fillId="0" borderId="22" xfId="44" applyNumberFormat="1" applyFont="1" applyBorder="1" applyAlignment="1">
      <alignment horizontal="center" vertical="center" wrapText="1"/>
    </xf>
    <xf numFmtId="57" fontId="47" fillId="0" borderId="22" xfId="44" applyNumberFormat="1" applyFont="1" applyBorder="1" applyAlignment="1">
      <alignment horizontal="center" vertical="center" wrapText="1"/>
    </xf>
    <xf numFmtId="0" fontId="47" fillId="0" borderId="28" xfId="0" applyFont="1" applyBorder="1">
      <alignment vertical="center"/>
    </xf>
    <xf numFmtId="179" fontId="47" fillId="0" borderId="32" xfId="0" applyNumberFormat="1" applyFont="1" applyBorder="1" applyAlignment="1">
      <alignment horizontal="center" vertical="center"/>
    </xf>
    <xf numFmtId="0" fontId="47" fillId="0" borderId="32" xfId="0" applyFont="1" applyBorder="1">
      <alignment vertical="center"/>
    </xf>
    <xf numFmtId="0" fontId="1" fillId="0" borderId="22" xfId="0" applyFont="1" applyBorder="1" applyAlignment="1">
      <alignment vertical="center" wrapText="1"/>
    </xf>
    <xf numFmtId="0" fontId="5" fillId="0" borderId="23" xfId="0" applyFont="1" applyBorder="1" applyAlignment="1">
      <alignment horizontal="left" vertical="center" wrapText="1" shrinkToFit="1"/>
    </xf>
    <xf numFmtId="0" fontId="5" fillId="0" borderId="23" xfId="0" applyFont="1" applyBorder="1" applyAlignment="1">
      <alignment vertical="center" wrapText="1" shrinkToFit="1"/>
    </xf>
    <xf numFmtId="49" fontId="5" fillId="0" borderId="23" xfId="0" applyNumberFormat="1" applyFont="1" applyBorder="1" applyAlignment="1">
      <alignment horizontal="center" vertical="center" wrapText="1"/>
    </xf>
    <xf numFmtId="49" fontId="56" fillId="0" borderId="24" xfId="0" applyNumberFormat="1" applyFont="1" applyBorder="1" applyAlignment="1">
      <alignment horizontal="center" vertical="center" wrapText="1"/>
    </xf>
    <xf numFmtId="0" fontId="9" fillId="0" borderId="22" xfId="48" applyFont="1" applyBorder="1" applyAlignment="1">
      <alignment horizontal="center" vertical="center" wrapText="1"/>
    </xf>
    <xf numFmtId="0" fontId="56" fillId="0" borderId="28" xfId="0" applyFont="1" applyBorder="1" applyAlignment="1">
      <alignment horizontal="center" vertical="center"/>
    </xf>
    <xf numFmtId="0" fontId="57" fillId="0" borderId="22" xfId="0" applyFont="1" applyBorder="1" applyAlignment="1">
      <alignment horizontal="center" vertical="center"/>
    </xf>
    <xf numFmtId="0" fontId="57" fillId="0" borderId="22" xfId="0" applyFont="1" applyBorder="1" applyAlignment="1">
      <alignment horizontal="left" vertical="center" wrapText="1" shrinkToFit="1"/>
    </xf>
    <xf numFmtId="0" fontId="57" fillId="0" borderId="22" xfId="48" applyFont="1" applyBorder="1" applyAlignment="1">
      <alignment horizontal="left" vertical="center" wrapText="1"/>
    </xf>
    <xf numFmtId="0" fontId="57" fillId="0" borderId="22" xfId="48" applyFont="1" applyBorder="1" applyAlignment="1">
      <alignment vertical="center" wrapText="1"/>
    </xf>
    <xf numFmtId="0" fontId="57" fillId="0" borderId="22" xfId="48" applyFont="1" applyBorder="1" applyAlignment="1">
      <alignment horizontal="center" vertical="center" wrapText="1"/>
    </xf>
    <xf numFmtId="49" fontId="57" fillId="0" borderId="24" xfId="0" applyNumberFormat="1" applyFont="1" applyBorder="1" applyAlignment="1">
      <alignment horizontal="center" vertical="center" wrapText="1"/>
    </xf>
    <xf numFmtId="49" fontId="57" fillId="0" borderId="25" xfId="0" applyNumberFormat="1" applyFont="1" applyBorder="1" applyAlignment="1">
      <alignment horizontal="center" vertical="center" wrapText="1"/>
    </xf>
    <xf numFmtId="0" fontId="57" fillId="0" borderId="26" xfId="0" applyFont="1" applyBorder="1" applyAlignment="1">
      <alignment horizontal="center" vertical="center"/>
    </xf>
    <xf numFmtId="0" fontId="57" fillId="0" borderId="27" xfId="0" applyFont="1" applyBorder="1" applyAlignment="1">
      <alignment horizontal="center" vertical="center"/>
    </xf>
    <xf numFmtId="0" fontId="57" fillId="0" borderId="28" xfId="0" applyFont="1" applyBorder="1" applyAlignment="1">
      <alignment horizontal="center" vertical="center"/>
    </xf>
    <xf numFmtId="57" fontId="57" fillId="0" borderId="22" xfId="0" applyNumberFormat="1" applyFont="1" applyBorder="1" applyAlignment="1">
      <alignment horizontal="center" vertical="center"/>
    </xf>
    <xf numFmtId="0" fontId="35" fillId="0" borderId="22" xfId="48" applyFont="1" applyBorder="1" applyAlignment="1">
      <alignment horizontal="center" vertical="center" wrapText="1"/>
    </xf>
    <xf numFmtId="178" fontId="47" fillId="0" borderId="22" xfId="0" applyNumberFormat="1" applyFont="1" applyBorder="1" applyAlignment="1">
      <alignment horizontal="center" vertical="center" wrapText="1" shrinkToFit="1"/>
    </xf>
    <xf numFmtId="0" fontId="47" fillId="0" borderId="45" xfId="48" applyFont="1" applyBorder="1" applyAlignment="1">
      <alignment horizontal="center" vertical="center" wrapText="1"/>
    </xf>
    <xf numFmtId="0" fontId="47" fillId="0" borderId="46" xfId="48" applyFont="1" applyBorder="1" applyAlignment="1">
      <alignment horizontal="center" vertical="center" wrapText="1"/>
    </xf>
    <xf numFmtId="0" fontId="47" fillId="0" borderId="49" xfId="48" applyFont="1" applyBorder="1" applyAlignment="1">
      <alignment horizontal="center" vertical="center" wrapText="1"/>
    </xf>
    <xf numFmtId="0" fontId="47" fillId="0" borderId="47" xfId="48" applyFont="1" applyBorder="1" applyAlignment="1">
      <alignment horizontal="center" vertical="center" wrapText="1"/>
    </xf>
    <xf numFmtId="0" fontId="47" fillId="0" borderId="47" xfId="0" applyFont="1" applyBorder="1" applyAlignment="1">
      <alignment horizontal="center" vertical="center" wrapText="1"/>
    </xf>
    <xf numFmtId="0" fontId="47" fillId="0" borderId="42" xfId="48" applyFont="1" applyBorder="1" applyAlignment="1">
      <alignment horizontal="center" vertical="center" wrapText="1"/>
    </xf>
    <xf numFmtId="177" fontId="47" fillId="0" borderId="42" xfId="48" applyNumberFormat="1" applyFont="1" applyBorder="1" applyAlignment="1">
      <alignment horizontal="center" vertical="center" wrapText="1"/>
    </xf>
    <xf numFmtId="0" fontId="57" fillId="0" borderId="22" xfId="0" applyFont="1" applyBorder="1" applyAlignment="1">
      <alignment vertical="center" wrapText="1" shrinkToFit="1"/>
    </xf>
    <xf numFmtId="0" fontId="57" fillId="0" borderId="22" xfId="0" applyFont="1" applyBorder="1" applyAlignment="1">
      <alignment vertical="center" wrapText="1"/>
    </xf>
    <xf numFmtId="178" fontId="57" fillId="0" borderId="22" xfId="0" applyNumberFormat="1" applyFont="1" applyBorder="1" applyAlignment="1">
      <alignment horizontal="center" vertical="center" shrinkToFit="1"/>
    </xf>
    <xf numFmtId="49" fontId="57" fillId="0" borderId="22" xfId="0" applyNumberFormat="1" applyFont="1" applyBorder="1" applyAlignment="1">
      <alignment horizontal="center" vertical="center" wrapText="1"/>
    </xf>
    <xf numFmtId="57" fontId="57" fillId="0" borderId="22" xfId="0" applyNumberFormat="1" applyFont="1" applyBorder="1" applyAlignment="1">
      <alignment horizontal="center" vertical="center" wrapText="1"/>
    </xf>
    <xf numFmtId="57" fontId="36" fillId="0" borderId="22" xfId="0" applyNumberFormat="1" applyFont="1" applyBorder="1" applyAlignment="1">
      <alignment horizontal="center" vertical="center" wrapText="1"/>
    </xf>
    <xf numFmtId="0" fontId="36" fillId="0" borderId="22" xfId="0" applyFont="1" applyBorder="1" applyAlignment="1">
      <alignment vertical="center" wrapText="1"/>
    </xf>
    <xf numFmtId="57" fontId="36" fillId="0" borderId="22" xfId="0" applyNumberFormat="1" applyFont="1" applyBorder="1" applyAlignment="1">
      <alignment horizontal="left" vertical="center" wrapText="1"/>
    </xf>
    <xf numFmtId="57" fontId="47" fillId="0" borderId="42" xfId="0" applyNumberFormat="1" applyFont="1" applyBorder="1" applyAlignment="1">
      <alignment horizontal="center" vertical="center" wrapText="1"/>
    </xf>
    <xf numFmtId="0" fontId="36" fillId="0" borderId="22" xfId="0" applyFont="1" applyBorder="1" applyAlignment="1">
      <alignment horizontal="left" vertical="center"/>
    </xf>
    <xf numFmtId="49" fontId="47" fillId="0" borderId="22" xfId="48" applyNumberFormat="1" applyFont="1" applyBorder="1" applyAlignment="1">
      <alignment horizontal="center" vertical="center" wrapText="1"/>
    </xf>
    <xf numFmtId="0" fontId="47" fillId="0" borderId="42" xfId="0" quotePrefix="1" applyFont="1" applyBorder="1" applyAlignment="1">
      <alignment horizontal="center" vertical="center"/>
    </xf>
    <xf numFmtId="178" fontId="47" fillId="0" borderId="42" xfId="0" quotePrefix="1" applyNumberFormat="1" applyFont="1" applyBorder="1" applyAlignment="1">
      <alignment horizontal="center" vertical="center" shrinkToFit="1"/>
    </xf>
    <xf numFmtId="0" fontId="47" fillId="0" borderId="45" xfId="0" applyFont="1" applyBorder="1" applyAlignment="1">
      <alignment horizontal="center" vertical="center"/>
    </xf>
    <xf numFmtId="0" fontId="47" fillId="0" borderId="46" xfId="0" applyFont="1" applyBorder="1" applyAlignment="1">
      <alignment horizontal="center" vertical="center"/>
    </xf>
    <xf numFmtId="0" fontId="47" fillId="0" borderId="50" xfId="0" applyFont="1" applyBorder="1" applyAlignment="1">
      <alignment horizontal="center" vertical="center" wrapText="1"/>
    </xf>
    <xf numFmtId="49" fontId="47" fillId="0" borderId="22" xfId="0" applyNumberFormat="1" applyFont="1" applyBorder="1" applyAlignment="1">
      <alignment horizontal="left" vertical="center" wrapText="1"/>
    </xf>
    <xf numFmtId="0" fontId="56" fillId="0" borderId="22" xfId="0" applyFont="1" applyBorder="1" applyAlignment="1">
      <alignment horizontal="center" vertical="center"/>
    </xf>
    <xf numFmtId="0" fontId="47" fillId="0" borderId="23" xfId="48" applyFont="1" applyBorder="1" applyAlignment="1">
      <alignment horizontal="center" vertical="center" wrapText="1"/>
    </xf>
    <xf numFmtId="0" fontId="47" fillId="0" borderId="23" xfId="48" applyFont="1" applyBorder="1" applyAlignment="1">
      <alignment horizontal="left" vertical="center" wrapText="1"/>
    </xf>
    <xf numFmtId="0" fontId="47" fillId="0" borderId="23" xfId="48" applyFont="1" applyBorder="1" applyAlignment="1">
      <alignment vertical="center" wrapText="1"/>
    </xf>
    <xf numFmtId="179" fontId="47" fillId="0" borderId="23" xfId="48" applyNumberFormat="1" applyFont="1" applyBorder="1" applyAlignment="1">
      <alignment horizontal="center" vertical="center" wrapText="1"/>
    </xf>
    <xf numFmtId="177" fontId="47" fillId="0" borderId="23" xfId="48" applyNumberFormat="1" applyFont="1" applyBorder="1" applyAlignment="1">
      <alignment horizontal="center" vertical="center" wrapText="1"/>
    </xf>
    <xf numFmtId="0" fontId="36" fillId="0" borderId="22" xfId="0" applyFont="1" applyBorder="1" applyAlignment="1">
      <alignment horizontal="left" vertical="center" wrapText="1" shrinkToFit="1"/>
    </xf>
    <xf numFmtId="57" fontId="36" fillId="0" borderId="22" xfId="0" applyNumberFormat="1" applyFont="1" applyBorder="1" applyAlignment="1">
      <alignment horizontal="left" vertical="center"/>
    </xf>
    <xf numFmtId="0" fontId="36" fillId="0" borderId="22" xfId="0" applyFont="1" applyBorder="1" applyAlignment="1">
      <alignment horizontal="center" vertical="center"/>
    </xf>
    <xf numFmtId="178" fontId="36" fillId="0" borderId="22" xfId="0" applyNumberFormat="1" applyFont="1" applyBorder="1" applyAlignment="1">
      <alignment horizontal="center" vertical="center" shrinkToFit="1"/>
    </xf>
    <xf numFmtId="49" fontId="36" fillId="0" borderId="24" xfId="0" applyNumberFormat="1" applyFont="1" applyBorder="1" applyAlignment="1">
      <alignment horizontal="center" vertical="center" wrapText="1"/>
    </xf>
    <xf numFmtId="49" fontId="36" fillId="0" borderId="25" xfId="0" applyNumberFormat="1" applyFont="1" applyBorder="1" applyAlignment="1">
      <alignment horizontal="center" vertical="center" wrapText="1"/>
    </xf>
    <xf numFmtId="0" fontId="36" fillId="0" borderId="27" xfId="0" applyFont="1" applyBorder="1" applyAlignment="1">
      <alignment horizontal="center" vertical="center"/>
    </xf>
    <xf numFmtId="0" fontId="36" fillId="0" borderId="28" xfId="0" applyFont="1" applyBorder="1" applyAlignment="1">
      <alignment horizontal="center" vertical="center"/>
    </xf>
    <xf numFmtId="0" fontId="36" fillId="0" borderId="22" xfId="0" applyFont="1" applyBorder="1" applyAlignment="1">
      <alignment vertical="center" wrapText="1" shrinkToFit="1"/>
    </xf>
    <xf numFmtId="178" fontId="47" fillId="0" borderId="22" xfId="0" applyNumberFormat="1" applyFont="1" applyBorder="1" applyAlignment="1">
      <alignment horizontal="left" vertical="center" wrapText="1"/>
    </xf>
    <xf numFmtId="0" fontId="36" fillId="0" borderId="22" xfId="0" applyFont="1" applyBorder="1" applyAlignment="1">
      <alignment horizontal="center" vertical="center" wrapText="1"/>
    </xf>
    <xf numFmtId="0" fontId="5" fillId="0" borderId="22" xfId="0" quotePrefix="1" applyFont="1" applyBorder="1" applyAlignment="1">
      <alignment vertical="center" wrapText="1"/>
    </xf>
    <xf numFmtId="49" fontId="47" fillId="0" borderId="59" xfId="0" applyNumberFormat="1" applyFont="1" applyBorder="1" applyAlignment="1">
      <alignment horizontal="center" vertical="center" wrapText="1"/>
    </xf>
    <xf numFmtId="49" fontId="47" fillId="0" borderId="60" xfId="0" applyNumberFormat="1" applyFont="1" applyBorder="1" applyAlignment="1">
      <alignment horizontal="center" vertical="center" wrapText="1"/>
    </xf>
    <xf numFmtId="49" fontId="47" fillId="0" borderId="61" xfId="0" applyNumberFormat="1" applyFont="1" applyBorder="1" applyAlignment="1">
      <alignment horizontal="center" vertical="center" wrapText="1"/>
    </xf>
    <xf numFmtId="49" fontId="47" fillId="0" borderId="40" xfId="0" applyNumberFormat="1" applyFont="1" applyBorder="1" applyAlignment="1">
      <alignment horizontal="center" vertical="center" wrapText="1"/>
    </xf>
    <xf numFmtId="181" fontId="47" fillId="0" borderId="27" xfId="0" applyNumberFormat="1" applyFont="1" applyBorder="1" applyAlignment="1">
      <alignment horizontal="center" vertical="center"/>
    </xf>
    <xf numFmtId="0" fontId="47" fillId="0" borderId="62" xfId="0" applyFont="1" applyBorder="1" applyAlignment="1">
      <alignment horizontal="center" vertical="center"/>
    </xf>
    <xf numFmtId="0" fontId="47" fillId="0" borderId="62" xfId="0" applyFont="1" applyBorder="1" applyAlignment="1">
      <alignment horizontal="left" vertical="center" wrapText="1" shrinkToFit="1"/>
    </xf>
    <xf numFmtId="0" fontId="47" fillId="0" borderId="62" xfId="0" applyFont="1" applyBorder="1" applyAlignment="1">
      <alignment vertical="center" wrapText="1" shrinkToFit="1"/>
    </xf>
    <xf numFmtId="0" fontId="47" fillId="0" borderId="62" xfId="0" applyFont="1" applyBorder="1" applyAlignment="1">
      <alignment vertical="center" wrapText="1"/>
    </xf>
    <xf numFmtId="178" fontId="47" fillId="0" borderId="62" xfId="0" applyNumberFormat="1" applyFont="1" applyBorder="1" applyAlignment="1">
      <alignment horizontal="center" vertical="center" shrinkToFit="1"/>
    </xf>
    <xf numFmtId="49" fontId="47" fillId="0" borderId="63" xfId="0" applyNumberFormat="1" applyFont="1" applyBorder="1" applyAlignment="1">
      <alignment horizontal="center" vertical="center" wrapText="1"/>
    </xf>
    <xf numFmtId="49" fontId="47" fillId="0" borderId="64" xfId="0" applyNumberFormat="1" applyFont="1" applyBorder="1" applyAlignment="1">
      <alignment horizontal="center" vertical="center" wrapText="1"/>
    </xf>
    <xf numFmtId="49" fontId="47" fillId="0" borderId="53" xfId="0" applyNumberFormat="1" applyFont="1" applyBorder="1" applyAlignment="1">
      <alignment horizontal="center" vertical="center" wrapText="1"/>
    </xf>
    <xf numFmtId="49" fontId="47" fillId="0" borderId="65" xfId="0" applyNumberFormat="1" applyFont="1" applyBorder="1" applyAlignment="1">
      <alignment horizontal="center" vertical="center" wrapText="1"/>
    </xf>
    <xf numFmtId="0" fontId="47" fillId="0" borderId="66" xfId="0" applyFont="1" applyBorder="1" applyAlignment="1">
      <alignment horizontal="center" vertical="center"/>
    </xf>
    <xf numFmtId="0" fontId="47" fillId="0" borderId="67" xfId="0" applyFont="1" applyBorder="1" applyAlignment="1">
      <alignment horizontal="center" vertical="center"/>
    </xf>
    <xf numFmtId="57" fontId="47" fillId="0" borderId="62" xfId="0" applyNumberFormat="1" applyFont="1" applyBorder="1" applyAlignment="1">
      <alignment horizontal="center" vertical="center" wrapText="1"/>
    </xf>
    <xf numFmtId="0" fontId="36" fillId="0" borderId="51" xfId="0" applyFont="1" applyBorder="1" applyAlignment="1">
      <alignment vertical="center" wrapText="1"/>
    </xf>
    <xf numFmtId="0" fontId="35" fillId="0" borderId="22" xfId="48" applyFont="1" applyBorder="1" applyAlignment="1">
      <alignment horizontal="left" vertical="center" wrapText="1"/>
    </xf>
    <xf numFmtId="0" fontId="35" fillId="0" borderId="22" xfId="48" applyFont="1" applyBorder="1" applyAlignment="1">
      <alignment vertical="center" wrapText="1"/>
    </xf>
    <xf numFmtId="0" fontId="36" fillId="0" borderId="26" xfId="0" applyFont="1" applyBorder="1" applyAlignment="1">
      <alignment horizontal="center" vertical="center"/>
    </xf>
    <xf numFmtId="178" fontId="36" fillId="0" borderId="22" xfId="0" applyNumberFormat="1" applyFont="1" applyBorder="1" applyAlignment="1">
      <alignment horizontal="center" vertical="center" wrapText="1" shrinkToFit="1"/>
    </xf>
    <xf numFmtId="57" fontId="47" fillId="0" borderId="32" xfId="0" applyNumberFormat="1" applyFont="1" applyBorder="1" applyAlignment="1">
      <alignment horizontal="center" vertical="center" wrapText="1"/>
    </xf>
    <xf numFmtId="0" fontId="36" fillId="0" borderId="22" xfId="0" applyFont="1" applyBorder="1" applyAlignment="1">
      <alignment horizontal="left" vertical="center" wrapText="1"/>
    </xf>
    <xf numFmtId="178" fontId="47" fillId="0" borderId="42" xfId="0" applyNumberFormat="1" applyFont="1" applyBorder="1" applyAlignment="1">
      <alignment horizontal="center" vertical="center" shrinkToFit="1"/>
    </xf>
    <xf numFmtId="49" fontId="47" fillId="0" borderId="49" xfId="0" applyNumberFormat="1" applyFont="1" applyBorder="1" applyAlignment="1">
      <alignment horizontal="center" vertical="center" wrapText="1"/>
    </xf>
    <xf numFmtId="49" fontId="47" fillId="0" borderId="47" xfId="0" applyNumberFormat="1" applyFont="1" applyBorder="1" applyAlignment="1">
      <alignment horizontal="center" vertical="center" wrapText="1"/>
    </xf>
    <xf numFmtId="57" fontId="5" fillId="0" borderId="42" xfId="0" applyNumberFormat="1" applyFont="1" applyBorder="1" applyAlignment="1">
      <alignment horizontal="center" vertical="center" wrapText="1"/>
    </xf>
    <xf numFmtId="0" fontId="47" fillId="0" borderId="51" xfId="0" applyFont="1" applyBorder="1" applyAlignment="1">
      <alignment vertical="center" wrapText="1"/>
    </xf>
    <xf numFmtId="0" fontId="57" fillId="0" borderId="22" xfId="0" applyFont="1" applyBorder="1" applyAlignment="1">
      <alignment horizontal="left" vertical="center" wrapText="1"/>
    </xf>
    <xf numFmtId="178" fontId="5" fillId="0" borderId="22" xfId="0" applyNumberFormat="1" applyFont="1" applyBorder="1" applyAlignment="1">
      <alignment horizontal="center" vertical="center" wrapText="1" shrinkToFit="1"/>
    </xf>
    <xf numFmtId="0" fontId="5" fillId="0" borderId="42" xfId="0" quotePrefix="1" applyFont="1" applyBorder="1" applyAlignment="1">
      <alignment vertical="center" wrapText="1"/>
    </xf>
    <xf numFmtId="0" fontId="36" fillId="0" borderId="42" xfId="0" applyFont="1" applyBorder="1" applyAlignment="1">
      <alignment horizontal="center" vertical="center"/>
    </xf>
    <xf numFmtId="49" fontId="5" fillId="0" borderId="45" xfId="0" applyNumberFormat="1" applyFont="1" applyBorder="1" applyAlignment="1">
      <alignment horizontal="center" vertical="center" wrapText="1"/>
    </xf>
    <xf numFmtId="49" fontId="5" fillId="0" borderId="46" xfId="0" applyNumberFormat="1" applyFont="1" applyBorder="1" applyAlignment="1">
      <alignment horizontal="center" vertical="center" wrapText="1"/>
    </xf>
    <xf numFmtId="49" fontId="5" fillId="0" borderId="49" xfId="0" applyNumberFormat="1" applyFont="1" applyBorder="1" applyAlignment="1">
      <alignment horizontal="center" vertical="center" wrapText="1"/>
    </xf>
    <xf numFmtId="0" fontId="5" fillId="0" borderId="42" xfId="0" applyFont="1" applyBorder="1" applyAlignment="1">
      <alignment horizontal="left" vertical="center" wrapText="1"/>
    </xf>
    <xf numFmtId="0" fontId="47" fillId="0" borderId="42" xfId="0" quotePrefix="1" applyFont="1" applyBorder="1" applyAlignment="1">
      <alignment horizontal="center" vertical="center" wrapText="1"/>
    </xf>
    <xf numFmtId="0" fontId="47" fillId="0" borderId="45" xfId="0" applyFont="1" applyBorder="1" applyAlignment="1">
      <alignment horizontal="center" vertical="center" wrapText="1"/>
    </xf>
    <xf numFmtId="0" fontId="47" fillId="0" borderId="49" xfId="0" applyFont="1" applyBorder="1" applyAlignment="1">
      <alignment horizontal="center" vertical="center" wrapText="1"/>
    </xf>
    <xf numFmtId="0" fontId="47" fillId="0" borderId="48" xfId="0" quotePrefix="1" applyFont="1" applyBorder="1" applyAlignment="1">
      <alignment horizontal="center" vertical="center" wrapText="1"/>
    </xf>
    <xf numFmtId="0" fontId="47" fillId="0" borderId="47" xfId="0" quotePrefix="1" applyFont="1" applyBorder="1" applyAlignment="1">
      <alignment horizontal="center" vertical="center" wrapText="1"/>
    </xf>
    <xf numFmtId="177" fontId="47" fillId="0" borderId="42" xfId="0" applyNumberFormat="1" applyFont="1" applyBorder="1" applyAlignment="1">
      <alignment horizontal="center" vertical="center" wrapText="1"/>
    </xf>
    <xf numFmtId="3" fontId="47" fillId="0" borderId="42" xfId="0" applyNumberFormat="1" applyFont="1" applyBorder="1" applyAlignment="1">
      <alignment vertical="center" wrapText="1"/>
    </xf>
    <xf numFmtId="0" fontId="47" fillId="0" borderId="29" xfId="0" applyFont="1" applyBorder="1" applyAlignment="1">
      <alignment horizontal="center" vertical="center" wrapText="1"/>
    </xf>
    <xf numFmtId="0" fontId="47" fillId="0" borderId="24" xfId="0" quotePrefix="1" applyFont="1" applyBorder="1" applyAlignment="1">
      <alignment horizontal="center" vertical="center" wrapText="1"/>
    </xf>
    <xf numFmtId="0" fontId="47" fillId="0" borderId="32" xfId="0" quotePrefix="1" applyFont="1" applyBorder="1" applyAlignment="1">
      <alignment horizontal="center" vertical="center" wrapText="1"/>
    </xf>
    <xf numFmtId="0" fontId="59" fillId="0" borderId="0" xfId="0" applyFont="1">
      <alignment vertical="center"/>
    </xf>
    <xf numFmtId="0" fontId="59" fillId="0" borderId="22" xfId="0" applyFont="1" applyBorder="1" applyAlignment="1">
      <alignment horizontal="center" vertical="center"/>
    </xf>
    <xf numFmtId="0" fontId="59" fillId="0" borderId="28" xfId="0" applyFont="1" applyBorder="1" applyAlignment="1">
      <alignment horizontal="center" vertical="center"/>
    </xf>
    <xf numFmtId="0" fontId="59" fillId="0" borderId="27" xfId="0" applyFont="1" applyBorder="1" applyAlignment="1">
      <alignment horizontal="center" vertical="center"/>
    </xf>
    <xf numFmtId="49" fontId="5" fillId="0" borderId="33" xfId="0" applyNumberFormat="1" applyFont="1" applyBorder="1" applyAlignment="1">
      <alignment horizontal="center" vertical="center" wrapText="1"/>
    </xf>
    <xf numFmtId="177" fontId="47" fillId="0" borderId="22" xfId="0" quotePrefix="1" applyNumberFormat="1" applyFont="1" applyBorder="1" applyAlignment="1">
      <alignment horizontal="center" vertical="center"/>
    </xf>
    <xf numFmtId="178" fontId="47" fillId="0" borderId="28" xfId="0" applyNumberFormat="1" applyFont="1" applyBorder="1" applyAlignment="1">
      <alignment horizontal="center" vertical="center" shrinkToFit="1"/>
    </xf>
    <xf numFmtId="3" fontId="47" fillId="0" borderId="22" xfId="0" applyNumberFormat="1" applyFont="1" applyBorder="1" applyAlignment="1">
      <alignment horizontal="left" vertical="top" wrapText="1"/>
    </xf>
    <xf numFmtId="0" fontId="49" fillId="0" borderId="28" xfId="0" quotePrefix="1" applyFont="1" applyBorder="1" applyAlignment="1">
      <alignment horizontal="center" vertical="center" wrapText="1"/>
    </xf>
    <xf numFmtId="0" fontId="47" fillId="0" borderId="62" xfId="0" applyFont="1" applyBorder="1" applyAlignment="1">
      <alignment horizontal="center" vertical="center" wrapText="1"/>
    </xf>
    <xf numFmtId="179" fontId="47" fillId="0" borderId="0" xfId="0" applyNumberFormat="1" applyFont="1" applyAlignment="1">
      <alignment horizontal="center" vertical="center"/>
    </xf>
    <xf numFmtId="49" fontId="47" fillId="0" borderId="62" xfId="0" applyNumberFormat="1" applyFont="1" applyBorder="1" applyAlignment="1">
      <alignment horizontal="center" vertical="center" wrapText="1"/>
    </xf>
    <xf numFmtId="0" fontId="47" fillId="0" borderId="23" xfId="0" quotePrefix="1" applyFont="1" applyBorder="1" applyAlignment="1">
      <alignment horizontal="center" vertical="center" wrapText="1"/>
    </xf>
    <xf numFmtId="0" fontId="47" fillId="0" borderId="40" xfId="0" quotePrefix="1" applyFont="1" applyBorder="1" applyAlignment="1">
      <alignment horizontal="center" vertical="center" wrapText="1"/>
    </xf>
    <xf numFmtId="177" fontId="47" fillId="0" borderId="23" xfId="0" applyNumberFormat="1" applyFont="1" applyBorder="1" applyAlignment="1">
      <alignment horizontal="center" vertical="center" wrapText="1"/>
    </xf>
    <xf numFmtId="3" fontId="47" fillId="0" borderId="23" xfId="0" applyNumberFormat="1" applyFont="1" applyBorder="1" applyAlignment="1">
      <alignment vertical="center" wrapText="1"/>
    </xf>
    <xf numFmtId="178" fontId="5" fillId="0" borderId="22" xfId="0" applyNumberFormat="1" applyFont="1" applyBorder="1" applyAlignment="1">
      <alignment horizontal="left" vertical="center" wrapText="1" shrinkToFit="1"/>
    </xf>
    <xf numFmtId="0" fontId="47" fillId="0" borderId="70" xfId="0" quotePrefix="1" applyFont="1" applyBorder="1" applyAlignment="1">
      <alignment horizontal="center" vertical="center" wrapText="1"/>
    </xf>
    <xf numFmtId="0" fontId="47" fillId="0" borderId="70" xfId="0" applyFont="1" applyBorder="1" applyAlignment="1">
      <alignment horizontal="left" vertical="center" wrapText="1"/>
    </xf>
    <xf numFmtId="0" fontId="47" fillId="0" borderId="70" xfId="0" applyFont="1" applyBorder="1" applyAlignment="1">
      <alignment vertical="center" wrapText="1"/>
    </xf>
    <xf numFmtId="179" fontId="47" fillId="0" borderId="70" xfId="0" applyNumberFormat="1" applyFont="1" applyBorder="1" applyAlignment="1">
      <alignment horizontal="center" vertical="center" wrapText="1"/>
    </xf>
    <xf numFmtId="0" fontId="47" fillId="0" borderId="70" xfId="0" applyFont="1" applyBorder="1" applyAlignment="1">
      <alignment horizontal="center" vertical="center" wrapText="1"/>
    </xf>
    <xf numFmtId="0" fontId="47" fillId="0" borderId="71" xfId="0" applyFont="1" applyBorder="1" applyAlignment="1">
      <alignment horizontal="center" vertical="center" wrapText="1"/>
    </xf>
    <xf numFmtId="0" fontId="47" fillId="0" borderId="72" xfId="0" quotePrefix="1" applyFont="1" applyBorder="1" applyAlignment="1">
      <alignment horizontal="center" vertical="center" wrapText="1"/>
    </xf>
    <xf numFmtId="0" fontId="47" fillId="0" borderId="72" xfId="0" applyFont="1" applyBorder="1" applyAlignment="1">
      <alignment horizontal="center" vertical="center" wrapText="1"/>
    </xf>
    <xf numFmtId="177" fontId="47" fillId="0" borderId="70" xfId="0" applyNumberFormat="1" applyFont="1" applyBorder="1" applyAlignment="1">
      <alignment horizontal="center" vertical="center" wrapText="1"/>
    </xf>
    <xf numFmtId="3" fontId="47" fillId="0" borderId="70" xfId="0" applyNumberFormat="1" applyFont="1" applyBorder="1" applyAlignment="1">
      <alignment vertical="center" wrapText="1"/>
    </xf>
    <xf numFmtId="0" fontId="10" fillId="0" borderId="51" xfId="0" applyFont="1" applyBorder="1" applyAlignment="1">
      <alignment vertical="center" wrapText="1"/>
    </xf>
    <xf numFmtId="178" fontId="47" fillId="0" borderId="23" xfId="0" applyNumberFormat="1" applyFont="1" applyBorder="1" applyAlignment="1">
      <alignment horizontal="left" vertical="center" wrapText="1" shrinkToFit="1"/>
    </xf>
    <xf numFmtId="177" fontId="47" fillId="0" borderId="22" xfId="0" quotePrefix="1" applyNumberFormat="1" applyFont="1" applyBorder="1" applyAlignment="1">
      <alignment horizontal="center" vertical="center" wrapText="1"/>
    </xf>
    <xf numFmtId="49" fontId="47" fillId="0" borderId="33" xfId="0" applyNumberFormat="1" applyFont="1" applyBorder="1" applyAlignment="1">
      <alignment horizontal="center" vertical="center" wrapText="1"/>
    </xf>
    <xf numFmtId="0" fontId="57" fillId="0" borderId="22" xfId="0" applyFont="1" applyBorder="1" applyAlignment="1">
      <alignment horizontal="center" vertical="center" wrapText="1"/>
    </xf>
    <xf numFmtId="49" fontId="5" fillId="0" borderId="26" xfId="0" applyNumberFormat="1" applyFont="1" applyBorder="1" applyAlignment="1">
      <alignment horizontal="center" vertical="center" wrapText="1"/>
    </xf>
    <xf numFmtId="0" fontId="61" fillId="0" borderId="22" xfId="0" quotePrefix="1" applyFont="1" applyBorder="1" applyAlignment="1">
      <alignment vertical="center" wrapText="1"/>
    </xf>
    <xf numFmtId="0" fontId="5" fillId="0" borderId="0" xfId="0" applyFont="1" applyAlignment="1">
      <alignment horizontal="center" vertical="center" shrinkToFit="1"/>
    </xf>
    <xf numFmtId="180" fontId="8" fillId="0" borderId="0" xfId="0" applyNumberFormat="1" applyFont="1" applyAlignment="1">
      <alignment horizontal="left" vertical="center"/>
    </xf>
    <xf numFmtId="57" fontId="5" fillId="0" borderId="22" xfId="0" applyNumberFormat="1" applyFont="1" applyBorder="1" applyAlignment="1">
      <alignment horizontal="left" vertical="center" wrapText="1"/>
    </xf>
    <xf numFmtId="0" fontId="62" fillId="0" borderId="23" xfId="0" applyFont="1" applyBorder="1" applyAlignment="1">
      <alignment horizontal="left" vertical="center" wrapText="1"/>
    </xf>
    <xf numFmtId="0" fontId="36" fillId="0" borderId="22" xfId="0" applyFont="1" applyBorder="1" applyAlignment="1">
      <alignment horizontal="center" vertical="center" wrapText="1" shrinkToFit="1"/>
    </xf>
    <xf numFmtId="0" fontId="5" fillId="0" borderId="22" xfId="0" applyFont="1" applyBorder="1" applyAlignment="1" applyProtection="1">
      <alignment vertical="center" wrapText="1"/>
      <protection locked="0"/>
    </xf>
    <xf numFmtId="57" fontId="36" fillId="0" borderId="22" xfId="0" applyNumberFormat="1" applyFont="1" applyBorder="1" applyAlignment="1" applyProtection="1">
      <alignment horizontal="center" vertical="center" wrapText="1"/>
      <protection locked="0"/>
    </xf>
    <xf numFmtId="0" fontId="5" fillId="20" borderId="0" xfId="0" applyFont="1" applyFill="1" applyAlignment="1">
      <alignment horizontal="center" vertical="center"/>
    </xf>
    <xf numFmtId="0" fontId="47" fillId="20" borderId="22" xfId="0" quotePrefix="1" applyFont="1" applyFill="1" applyBorder="1" applyAlignment="1">
      <alignment horizontal="center" vertical="center" wrapText="1"/>
    </xf>
    <xf numFmtId="0" fontId="47" fillId="20" borderId="22" xfId="0" applyFont="1" applyFill="1" applyBorder="1" applyAlignment="1">
      <alignment horizontal="left" vertical="center" wrapText="1"/>
    </xf>
    <xf numFmtId="0" fontId="47" fillId="20" borderId="22" xfId="0" applyFont="1" applyFill="1" applyBorder="1" applyAlignment="1">
      <alignment vertical="center" wrapText="1"/>
    </xf>
    <xf numFmtId="179" fontId="47" fillId="20" borderId="22" xfId="0" applyNumberFormat="1" applyFont="1" applyFill="1" applyBorder="1" applyAlignment="1">
      <alignment horizontal="center" vertical="center" wrapText="1"/>
    </xf>
    <xf numFmtId="0" fontId="47" fillId="20" borderId="22" xfId="0" applyFont="1" applyFill="1" applyBorder="1" applyAlignment="1">
      <alignment horizontal="center" vertical="center" wrapText="1"/>
    </xf>
    <xf numFmtId="0" fontId="47" fillId="20" borderId="24" xfId="0" applyFont="1" applyFill="1" applyBorder="1" applyAlignment="1">
      <alignment horizontal="center" vertical="center" wrapText="1"/>
    </xf>
    <xf numFmtId="0" fontId="47" fillId="20" borderId="25" xfId="0" applyFont="1" applyFill="1" applyBorder="1" applyAlignment="1">
      <alignment horizontal="center" vertical="center" wrapText="1"/>
    </xf>
    <xf numFmtId="0" fontId="47" fillId="20" borderId="26" xfId="0" applyFont="1" applyFill="1" applyBorder="1" applyAlignment="1">
      <alignment horizontal="center" vertical="center" wrapText="1"/>
    </xf>
    <xf numFmtId="0" fontId="47" fillId="20" borderId="27" xfId="0" applyFont="1" applyFill="1" applyBorder="1" applyAlignment="1">
      <alignment horizontal="center" vertical="center" wrapText="1"/>
    </xf>
    <xf numFmtId="0" fontId="47" fillId="21" borderId="28" xfId="0" quotePrefix="1" applyFont="1" applyFill="1" applyBorder="1" applyAlignment="1">
      <alignment horizontal="center" vertical="center" wrapText="1"/>
    </xf>
    <xf numFmtId="0" fontId="47" fillId="21" borderId="27" xfId="0" quotePrefix="1" applyFont="1" applyFill="1" applyBorder="1" applyAlignment="1">
      <alignment horizontal="center" vertical="center" wrapText="1"/>
    </xf>
    <xf numFmtId="0" fontId="47" fillId="20" borderId="28" xfId="0" applyFont="1" applyFill="1" applyBorder="1" applyAlignment="1">
      <alignment horizontal="center" vertical="center" wrapText="1"/>
    </xf>
    <xf numFmtId="0" fontId="47" fillId="20" borderId="27" xfId="0" quotePrefix="1" applyFont="1" applyFill="1" applyBorder="1" applyAlignment="1">
      <alignment horizontal="center" vertical="center" wrapText="1"/>
    </xf>
    <xf numFmtId="177" fontId="47" fillId="20" borderId="22" xfId="0" applyNumberFormat="1" applyFont="1" applyFill="1" applyBorder="1" applyAlignment="1">
      <alignment horizontal="center" vertical="center" wrapText="1"/>
    </xf>
    <xf numFmtId="3" fontId="47" fillId="20" borderId="22" xfId="0" applyNumberFormat="1" applyFont="1" applyFill="1" applyBorder="1" applyAlignment="1">
      <alignment vertical="center" wrapText="1"/>
    </xf>
    <xf numFmtId="0" fontId="5" fillId="20" borderId="22" xfId="0" applyFont="1" applyFill="1" applyBorder="1" applyAlignment="1">
      <alignment horizontal="center" vertical="center" wrapText="1"/>
    </xf>
    <xf numFmtId="0" fontId="5" fillId="20" borderId="0" xfId="0" applyFont="1" applyFill="1">
      <alignment vertical="center"/>
    </xf>
    <xf numFmtId="0" fontId="10" fillId="20" borderId="0" xfId="0" applyFont="1" applyFill="1" applyAlignment="1">
      <alignment vertical="center" wrapText="1"/>
    </xf>
    <xf numFmtId="0" fontId="5" fillId="21" borderId="0" xfId="0" applyFont="1" applyFill="1" applyAlignment="1">
      <alignment horizontal="center" vertical="center"/>
    </xf>
    <xf numFmtId="0" fontId="47" fillId="21" borderId="22" xfId="0" quotePrefix="1" applyFont="1" applyFill="1" applyBorder="1" applyAlignment="1">
      <alignment horizontal="center" vertical="center" wrapText="1"/>
    </xf>
    <xf numFmtId="0" fontId="47" fillId="21" borderId="22" xfId="0" applyFont="1" applyFill="1" applyBorder="1" applyAlignment="1">
      <alignment horizontal="left" vertical="center" wrapText="1"/>
    </xf>
    <xf numFmtId="0" fontId="47" fillId="21" borderId="22" xfId="0" applyFont="1" applyFill="1" applyBorder="1" applyAlignment="1">
      <alignment vertical="center" wrapText="1"/>
    </xf>
    <xf numFmtId="179" fontId="47" fillId="21" borderId="22" xfId="0" applyNumberFormat="1" applyFont="1" applyFill="1" applyBorder="1" applyAlignment="1">
      <alignment horizontal="center" vertical="center" wrapText="1"/>
    </xf>
    <xf numFmtId="0" fontId="47" fillId="21" borderId="22" xfId="0" applyFont="1" applyFill="1" applyBorder="1" applyAlignment="1">
      <alignment horizontal="center" vertical="center" wrapText="1"/>
    </xf>
    <xf numFmtId="0" fontId="47" fillId="21" borderId="24" xfId="0" applyFont="1" applyFill="1" applyBorder="1" applyAlignment="1">
      <alignment horizontal="center" vertical="center" wrapText="1"/>
    </xf>
    <xf numFmtId="0" fontId="47" fillId="21" borderId="25" xfId="0" applyFont="1" applyFill="1" applyBorder="1" applyAlignment="1">
      <alignment horizontal="center" vertical="center" wrapText="1"/>
    </xf>
    <xf numFmtId="0" fontId="47" fillId="21" borderId="26" xfId="0" applyFont="1" applyFill="1" applyBorder="1" applyAlignment="1">
      <alignment horizontal="center" vertical="center" wrapText="1"/>
    </xf>
    <xf numFmtId="0" fontId="47" fillId="21" borderId="27" xfId="0" applyFont="1" applyFill="1" applyBorder="1" applyAlignment="1">
      <alignment horizontal="center" vertical="center" wrapText="1"/>
    </xf>
    <xf numFmtId="0" fontId="47" fillId="21" borderId="28" xfId="0" applyFont="1" applyFill="1" applyBorder="1" applyAlignment="1">
      <alignment horizontal="center" vertical="center" wrapText="1"/>
    </xf>
    <xf numFmtId="177" fontId="47" fillId="21" borderId="22" xfId="0" applyNumberFormat="1" applyFont="1" applyFill="1" applyBorder="1" applyAlignment="1">
      <alignment horizontal="center" vertical="center" wrapText="1"/>
    </xf>
    <xf numFmtId="3" fontId="47" fillId="21" borderId="22" xfId="0" applyNumberFormat="1" applyFont="1" applyFill="1" applyBorder="1" applyAlignment="1">
      <alignment vertical="center" wrapText="1"/>
    </xf>
    <xf numFmtId="177" fontId="5" fillId="21" borderId="22" xfId="0" applyNumberFormat="1" applyFont="1" applyFill="1" applyBorder="1" applyAlignment="1">
      <alignment vertical="center" shrinkToFit="1"/>
    </xf>
    <xf numFmtId="0" fontId="5" fillId="21" borderId="33" xfId="0" applyFont="1" applyFill="1" applyBorder="1" applyAlignment="1">
      <alignment vertical="center" wrapText="1"/>
    </xf>
    <xf numFmtId="0" fontId="5" fillId="21" borderId="34" xfId="0" applyFont="1" applyFill="1" applyBorder="1" applyAlignment="1">
      <alignment horizontal="center" vertical="center" wrapText="1"/>
    </xf>
    <xf numFmtId="0" fontId="5" fillId="21" borderId="35" xfId="0" applyFont="1" applyFill="1" applyBorder="1" applyAlignment="1">
      <alignment horizontal="center" vertical="center" wrapText="1"/>
    </xf>
    <xf numFmtId="0" fontId="5" fillId="21" borderId="37" xfId="0" applyFont="1" applyFill="1" applyBorder="1" applyAlignment="1">
      <alignment horizontal="center" vertical="center" wrapText="1"/>
    </xf>
    <xf numFmtId="0" fontId="5" fillId="21" borderId="22" xfId="0" applyFont="1" applyFill="1" applyBorder="1" applyAlignment="1">
      <alignment horizontal="center" vertical="center" wrapText="1"/>
    </xf>
    <xf numFmtId="0" fontId="5" fillId="21" borderId="0" xfId="0" applyFont="1" applyFill="1">
      <alignment vertical="center"/>
    </xf>
    <xf numFmtId="0" fontId="10" fillId="21" borderId="0" xfId="0" applyFont="1" applyFill="1" applyAlignment="1">
      <alignment vertical="center" wrapText="1"/>
    </xf>
    <xf numFmtId="0" fontId="1" fillId="21" borderId="0" xfId="0" applyFont="1" applyFill="1">
      <alignment vertical="center"/>
    </xf>
    <xf numFmtId="0" fontId="47" fillId="20" borderId="22" xfId="0" applyFont="1" applyFill="1" applyBorder="1" applyAlignment="1">
      <alignment horizontal="center" vertical="center"/>
    </xf>
    <xf numFmtId="0" fontId="47" fillId="20" borderId="28" xfId="0" applyFont="1" applyFill="1" applyBorder="1" applyAlignment="1">
      <alignment horizontal="center" vertical="center"/>
    </xf>
    <xf numFmtId="0" fontId="47" fillId="20" borderId="27" xfId="0" applyFont="1" applyFill="1" applyBorder="1" applyAlignment="1">
      <alignment horizontal="center" vertical="center"/>
    </xf>
    <xf numFmtId="0" fontId="47" fillId="20" borderId="24" xfId="0" applyFont="1" applyFill="1" applyBorder="1" applyAlignment="1">
      <alignment horizontal="center" vertical="center"/>
    </xf>
    <xf numFmtId="0" fontId="47" fillId="20" borderId="32" xfId="0" applyFont="1" applyFill="1" applyBorder="1" applyAlignment="1">
      <alignment horizontal="center" vertical="center"/>
    </xf>
    <xf numFmtId="0" fontId="47" fillId="21" borderId="22" xfId="0" applyFont="1" applyFill="1" applyBorder="1" applyAlignment="1">
      <alignment horizontal="center" vertical="center"/>
    </xf>
    <xf numFmtId="177" fontId="47" fillId="20" borderId="22" xfId="0" applyNumberFormat="1" applyFont="1" applyFill="1" applyBorder="1" applyAlignment="1">
      <alignment horizontal="center" vertical="center"/>
    </xf>
    <xf numFmtId="177" fontId="5" fillId="20" borderId="22" xfId="0" applyNumberFormat="1" applyFont="1" applyFill="1" applyBorder="1" applyAlignment="1">
      <alignment horizontal="center" vertical="center"/>
    </xf>
    <xf numFmtId="0" fontId="5" fillId="20" borderId="27" xfId="0" applyFont="1" applyFill="1" applyBorder="1" applyAlignment="1">
      <alignment horizontal="center" vertical="center"/>
    </xf>
    <xf numFmtId="0" fontId="5" fillId="20" borderId="22" xfId="0" applyFont="1" applyFill="1" applyBorder="1" applyAlignment="1">
      <alignment horizontal="center" vertical="center"/>
    </xf>
    <xf numFmtId="0" fontId="5" fillId="20" borderId="24" xfId="0" applyFont="1" applyFill="1" applyBorder="1" applyAlignment="1">
      <alignment horizontal="center" vertical="center"/>
    </xf>
    <xf numFmtId="0" fontId="47" fillId="20" borderId="22" xfId="0" quotePrefix="1" applyFont="1" applyFill="1" applyBorder="1" applyAlignment="1">
      <alignment horizontal="center" vertical="center"/>
    </xf>
    <xf numFmtId="0" fontId="47" fillId="20" borderId="22" xfId="0" applyFont="1" applyFill="1" applyBorder="1" applyAlignment="1">
      <alignment vertical="center" wrapText="1" shrinkToFit="1"/>
    </xf>
    <xf numFmtId="178" fontId="47" fillId="20" borderId="22" xfId="0" applyNumberFormat="1" applyFont="1" applyFill="1" applyBorder="1" applyAlignment="1">
      <alignment horizontal="center" vertical="center" shrinkToFit="1"/>
    </xf>
    <xf numFmtId="0" fontId="47" fillId="20" borderId="25" xfId="0" applyFont="1" applyFill="1" applyBorder="1" applyAlignment="1">
      <alignment horizontal="center" vertical="center"/>
    </xf>
    <xf numFmtId="0" fontId="47" fillId="20" borderId="26" xfId="0" applyFont="1" applyFill="1" applyBorder="1" applyAlignment="1">
      <alignment horizontal="center" vertical="center"/>
    </xf>
    <xf numFmtId="57" fontId="47" fillId="20" borderId="22" xfId="0" applyNumberFormat="1" applyFont="1" applyFill="1" applyBorder="1" applyAlignment="1">
      <alignment horizontal="center" vertical="center"/>
    </xf>
    <xf numFmtId="179" fontId="47" fillId="20" borderId="22" xfId="0" applyNumberFormat="1" applyFont="1" applyFill="1" applyBorder="1" applyAlignment="1">
      <alignment horizontal="center" vertical="center"/>
    </xf>
    <xf numFmtId="0" fontId="47" fillId="21" borderId="28" xfId="0" applyFont="1" applyFill="1" applyBorder="1" applyAlignment="1">
      <alignment horizontal="center" vertical="center"/>
    </xf>
    <xf numFmtId="49" fontId="47" fillId="20" borderId="24" xfId="0" applyNumberFormat="1" applyFont="1" applyFill="1" applyBorder="1" applyAlignment="1">
      <alignment horizontal="center" vertical="center" wrapText="1"/>
    </xf>
    <xf numFmtId="49" fontId="47" fillId="20" borderId="25" xfId="0" applyNumberFormat="1" applyFont="1" applyFill="1" applyBorder="1" applyAlignment="1">
      <alignment horizontal="center" vertical="center" wrapText="1"/>
    </xf>
    <xf numFmtId="49" fontId="47" fillId="20" borderId="26" xfId="0" applyNumberFormat="1" applyFont="1" applyFill="1" applyBorder="1" applyAlignment="1">
      <alignment horizontal="center" vertical="center" wrapText="1"/>
    </xf>
    <xf numFmtId="0" fontId="1" fillId="20" borderId="0" xfId="0" applyFont="1" applyFill="1">
      <alignment vertical="center"/>
    </xf>
    <xf numFmtId="0" fontId="47" fillId="21" borderId="27" xfId="0" applyFont="1" applyFill="1" applyBorder="1" applyAlignment="1">
      <alignment horizontal="center" vertical="center"/>
    </xf>
    <xf numFmtId="177" fontId="47" fillId="21" borderId="22" xfId="0" applyNumberFormat="1" applyFont="1" applyFill="1" applyBorder="1" applyAlignment="1">
      <alignment horizontal="center" vertical="center"/>
    </xf>
    <xf numFmtId="0" fontId="5" fillId="21" borderId="33" xfId="0" applyFont="1" applyFill="1" applyBorder="1" applyAlignment="1">
      <alignment horizontal="center" vertical="center" wrapText="1"/>
    </xf>
    <xf numFmtId="0" fontId="5" fillId="21" borderId="32" xfId="0" applyFont="1" applyFill="1" applyBorder="1" applyAlignment="1">
      <alignment horizontal="center" vertical="center"/>
    </xf>
    <xf numFmtId="0" fontId="5" fillId="21" borderId="22" xfId="0" applyFont="1" applyFill="1" applyBorder="1" applyAlignment="1">
      <alignment horizontal="center" vertical="center"/>
    </xf>
    <xf numFmtId="0" fontId="5" fillId="21" borderId="28" xfId="0" applyFont="1" applyFill="1" applyBorder="1" applyAlignment="1">
      <alignment horizontal="center" vertical="center"/>
    </xf>
    <xf numFmtId="0" fontId="5" fillId="21" borderId="27" xfId="0" applyFont="1" applyFill="1" applyBorder="1" applyAlignment="1">
      <alignment horizontal="center" vertical="center"/>
    </xf>
    <xf numFmtId="0" fontId="5" fillId="21" borderId="24" xfId="0" applyFont="1" applyFill="1" applyBorder="1" applyAlignment="1">
      <alignment horizontal="center" vertical="center"/>
    </xf>
    <xf numFmtId="177" fontId="5" fillId="21" borderId="22" xfId="0" applyNumberFormat="1" applyFont="1" applyFill="1" applyBorder="1" applyAlignment="1">
      <alignment horizontal="center" vertical="center"/>
    </xf>
    <xf numFmtId="0" fontId="62" fillId="21" borderId="22" xfId="0" applyFont="1" applyFill="1" applyBorder="1" applyAlignment="1">
      <alignment vertical="center" wrapText="1"/>
    </xf>
    <xf numFmtId="0" fontId="47" fillId="22" borderId="22" xfId="0" applyFont="1" applyFill="1" applyBorder="1" applyAlignment="1">
      <alignment horizontal="center" vertical="center"/>
    </xf>
    <xf numFmtId="0" fontId="47" fillId="22" borderId="22" xfId="0" applyFont="1" applyFill="1" applyBorder="1" applyAlignment="1">
      <alignment horizontal="left" vertical="center" wrapText="1" shrinkToFit="1"/>
    </xf>
    <xf numFmtId="0" fontId="47" fillId="22" borderId="22" xfId="0" applyFont="1" applyFill="1" applyBorder="1" applyAlignment="1">
      <alignment vertical="center" wrapText="1" shrinkToFit="1"/>
    </xf>
    <xf numFmtId="0" fontId="47" fillId="22" borderId="22" xfId="0" applyFont="1" applyFill="1" applyBorder="1" applyAlignment="1">
      <alignment vertical="center" wrapText="1"/>
    </xf>
    <xf numFmtId="178" fontId="47" fillId="22" borderId="22" xfId="0" applyNumberFormat="1" applyFont="1" applyFill="1" applyBorder="1" applyAlignment="1">
      <alignment horizontal="center" vertical="center" shrinkToFit="1"/>
    </xf>
    <xf numFmtId="49" fontId="47" fillId="22" borderId="22" xfId="0" applyNumberFormat="1" applyFont="1" applyFill="1" applyBorder="1" applyAlignment="1">
      <alignment horizontal="center" vertical="center" wrapText="1"/>
    </xf>
    <xf numFmtId="49" fontId="47" fillId="22" borderId="24" xfId="0" applyNumberFormat="1" applyFont="1" applyFill="1" applyBorder="1" applyAlignment="1">
      <alignment horizontal="center" vertical="center" wrapText="1"/>
    </xf>
    <xf numFmtId="49" fontId="47" fillId="22" borderId="25" xfId="0" applyNumberFormat="1" applyFont="1" applyFill="1" applyBorder="1" applyAlignment="1">
      <alignment horizontal="center" vertical="center" wrapText="1"/>
    </xf>
    <xf numFmtId="0" fontId="47" fillId="22" borderId="26" xfId="0" applyFont="1" applyFill="1" applyBorder="1" applyAlignment="1">
      <alignment horizontal="center" vertical="center"/>
    </xf>
    <xf numFmtId="0" fontId="47" fillId="22" borderId="27" xfId="0" applyFont="1" applyFill="1" applyBorder="1" applyAlignment="1">
      <alignment horizontal="center" vertical="center"/>
    </xf>
    <xf numFmtId="0" fontId="47" fillId="22" borderId="28" xfId="0" applyFont="1" applyFill="1" applyBorder="1" applyAlignment="1">
      <alignment horizontal="center" vertical="center"/>
    </xf>
    <xf numFmtId="57" fontId="47" fillId="22" borderId="22" xfId="0" applyNumberFormat="1" applyFont="1" applyFill="1" applyBorder="1" applyAlignment="1">
      <alignment horizontal="center" vertical="center"/>
    </xf>
    <xf numFmtId="0" fontId="5" fillId="22" borderId="0" xfId="0" applyFont="1" applyFill="1">
      <alignment vertical="center"/>
    </xf>
    <xf numFmtId="3" fontId="63" fillId="21" borderId="22" xfId="0" applyNumberFormat="1" applyFont="1" applyFill="1" applyBorder="1" applyAlignment="1">
      <alignment vertical="center" wrapText="1"/>
    </xf>
    <xf numFmtId="0" fontId="63" fillId="21" borderId="22" xfId="0" applyFont="1" applyFill="1" applyBorder="1" applyAlignment="1">
      <alignment vertical="center" wrapText="1"/>
    </xf>
    <xf numFmtId="0" fontId="47" fillId="21" borderId="23" xfId="0" applyFont="1" applyFill="1" applyBorder="1" applyAlignment="1">
      <alignment horizontal="center" vertical="center" wrapText="1"/>
    </xf>
    <xf numFmtId="0" fontId="47" fillId="21" borderId="23" xfId="0" applyFont="1" applyFill="1" applyBorder="1" applyAlignment="1">
      <alignment horizontal="left" vertical="center" wrapText="1"/>
    </xf>
    <xf numFmtId="0" fontId="47" fillId="21" borderId="23" xfId="0" applyFont="1" applyFill="1" applyBorder="1" applyAlignment="1">
      <alignment vertical="center" wrapText="1"/>
    </xf>
    <xf numFmtId="178" fontId="47" fillId="21" borderId="23" xfId="0" applyNumberFormat="1" applyFont="1" applyFill="1" applyBorder="1" applyAlignment="1">
      <alignment horizontal="center" vertical="center" shrinkToFit="1"/>
    </xf>
    <xf numFmtId="49" fontId="47" fillId="21" borderId="23" xfId="0" applyNumberFormat="1" applyFont="1" applyFill="1" applyBorder="1" applyAlignment="1">
      <alignment horizontal="center" vertical="center" wrapText="1"/>
    </xf>
    <xf numFmtId="0" fontId="47" fillId="21" borderId="53" xfId="0" applyFont="1" applyFill="1" applyBorder="1" applyAlignment="1">
      <alignment horizontal="center" vertical="center"/>
    </xf>
    <xf numFmtId="0" fontId="47" fillId="21" borderId="23" xfId="0" applyFont="1" applyFill="1" applyBorder="1" applyAlignment="1">
      <alignment horizontal="center" vertical="center"/>
    </xf>
    <xf numFmtId="0" fontId="47" fillId="21" borderId="39" xfId="0" applyFont="1" applyFill="1" applyBorder="1" applyAlignment="1">
      <alignment horizontal="center" vertical="center"/>
    </xf>
    <xf numFmtId="0" fontId="47" fillId="21" borderId="40" xfId="0" applyFont="1" applyFill="1" applyBorder="1" applyAlignment="1">
      <alignment horizontal="center" vertical="center"/>
    </xf>
    <xf numFmtId="57" fontId="47" fillId="21" borderId="23" xfId="0" applyNumberFormat="1" applyFont="1" applyFill="1" applyBorder="1" applyAlignment="1">
      <alignment horizontal="center" vertical="center" wrapText="1"/>
    </xf>
    <xf numFmtId="0" fontId="47" fillId="21" borderId="24" xfId="0" applyFont="1" applyFill="1" applyBorder="1" applyAlignment="1">
      <alignment horizontal="center" vertical="center"/>
    </xf>
    <xf numFmtId="0" fontId="47" fillId="21" borderId="32" xfId="0" applyFont="1" applyFill="1" applyBorder="1" applyAlignment="1">
      <alignment horizontal="center" vertical="center"/>
    </xf>
    <xf numFmtId="57" fontId="47" fillId="21" borderId="22" xfId="0" applyNumberFormat="1" applyFont="1" applyFill="1" applyBorder="1" applyAlignment="1">
      <alignment horizontal="center" vertical="center" wrapText="1"/>
    </xf>
    <xf numFmtId="57" fontId="5" fillId="21" borderId="22" xfId="0" applyNumberFormat="1" applyFont="1" applyFill="1" applyBorder="1" applyAlignment="1">
      <alignment horizontal="center" vertical="center" wrapText="1"/>
    </xf>
    <xf numFmtId="57" fontId="47" fillId="20" borderId="22" xfId="0" applyNumberFormat="1" applyFont="1" applyFill="1" applyBorder="1" applyAlignment="1">
      <alignment horizontal="center" vertical="center" wrapText="1"/>
    </xf>
    <xf numFmtId="178" fontId="47" fillId="21" borderId="22" xfId="0" applyNumberFormat="1" applyFont="1" applyFill="1" applyBorder="1" applyAlignment="1">
      <alignment horizontal="center" vertical="center" shrinkToFit="1"/>
    </xf>
    <xf numFmtId="49" fontId="47" fillId="21" borderId="22" xfId="0" applyNumberFormat="1" applyFont="1" applyFill="1" applyBorder="1" applyAlignment="1">
      <alignment horizontal="center" vertical="center" wrapText="1"/>
    </xf>
    <xf numFmtId="49" fontId="47" fillId="21" borderId="24" xfId="0" applyNumberFormat="1" applyFont="1" applyFill="1" applyBorder="1" applyAlignment="1">
      <alignment horizontal="center" vertical="center" wrapText="1"/>
    </xf>
    <xf numFmtId="49" fontId="47" fillId="21" borderId="25" xfId="0" applyNumberFormat="1" applyFont="1" applyFill="1" applyBorder="1" applyAlignment="1">
      <alignment horizontal="center" vertical="center" wrapText="1"/>
    </xf>
    <xf numFmtId="0" fontId="47" fillId="21" borderId="26" xfId="0" applyFont="1" applyFill="1" applyBorder="1" applyAlignment="1">
      <alignment horizontal="center" vertical="center"/>
    </xf>
    <xf numFmtId="57" fontId="47" fillId="21" borderId="22" xfId="0" applyNumberFormat="1" applyFont="1" applyFill="1" applyBorder="1" applyAlignment="1">
      <alignment horizontal="center" vertical="center"/>
    </xf>
    <xf numFmtId="0" fontId="5" fillId="21" borderId="34" xfId="0" applyFont="1" applyFill="1" applyBorder="1" applyAlignment="1">
      <alignment horizontal="center" vertical="center"/>
    </xf>
    <xf numFmtId="0" fontId="5" fillId="21" borderId="35" xfId="0" applyFont="1" applyFill="1" applyBorder="1" applyAlignment="1">
      <alignment horizontal="center" vertical="center"/>
    </xf>
    <xf numFmtId="0" fontId="5" fillId="21" borderId="36" xfId="0" applyFont="1" applyFill="1" applyBorder="1" applyAlignment="1">
      <alignment horizontal="center" vertical="center"/>
    </xf>
    <xf numFmtId="0" fontId="5" fillId="21" borderId="37" xfId="0" applyFont="1" applyFill="1" applyBorder="1" applyAlignment="1">
      <alignment horizontal="center" vertical="center"/>
    </xf>
    <xf numFmtId="0" fontId="5" fillId="21" borderId="22" xfId="0" applyFont="1" applyFill="1" applyBorder="1" applyAlignment="1">
      <alignment horizontal="left" vertical="center" wrapText="1"/>
    </xf>
    <xf numFmtId="0" fontId="5" fillId="21" borderId="22" xfId="0" applyFont="1" applyFill="1" applyBorder="1" applyAlignment="1">
      <alignment vertical="center" wrapText="1"/>
    </xf>
    <xf numFmtId="179" fontId="5" fillId="21" borderId="22" xfId="0" applyNumberFormat="1" applyFont="1" applyFill="1" applyBorder="1" applyAlignment="1">
      <alignment horizontal="center" vertical="center" wrapText="1"/>
    </xf>
    <xf numFmtId="0" fontId="5" fillId="21" borderId="25" xfId="0" applyFont="1" applyFill="1" applyBorder="1" applyAlignment="1">
      <alignment horizontal="center" vertical="center" wrapText="1"/>
    </xf>
    <xf numFmtId="0" fontId="5" fillId="17" borderId="0" xfId="0" applyFont="1" applyFill="1">
      <alignment vertical="center"/>
    </xf>
    <xf numFmtId="0" fontId="5" fillId="20" borderId="22" xfId="0" applyFont="1" applyFill="1" applyBorder="1" applyAlignment="1">
      <alignment horizontal="left" vertical="center" wrapText="1"/>
    </xf>
    <xf numFmtId="0" fontId="5" fillId="20" borderId="22" xfId="0" applyFont="1" applyFill="1" applyBorder="1" applyAlignment="1">
      <alignment vertical="center" wrapText="1"/>
    </xf>
    <xf numFmtId="179" fontId="5" fillId="20" borderId="22" xfId="0" applyNumberFormat="1" applyFont="1" applyFill="1" applyBorder="1" applyAlignment="1">
      <alignment horizontal="center" vertical="center" wrapText="1"/>
    </xf>
    <xf numFmtId="0" fontId="5" fillId="20" borderId="25" xfId="0" applyFont="1" applyFill="1" applyBorder="1" applyAlignment="1">
      <alignment horizontal="center" vertical="center" wrapText="1"/>
    </xf>
    <xf numFmtId="0" fontId="36" fillId="21" borderId="22" xfId="0" applyFont="1" applyFill="1" applyBorder="1" applyAlignment="1">
      <alignment vertical="center" wrapText="1"/>
    </xf>
    <xf numFmtId="0" fontId="5" fillId="21" borderId="22" xfId="0" quotePrefix="1" applyFont="1" applyFill="1" applyBorder="1" applyAlignment="1">
      <alignment vertical="center" wrapText="1"/>
    </xf>
    <xf numFmtId="49" fontId="5" fillId="21" borderId="22" xfId="0" applyNumberFormat="1" applyFont="1" applyFill="1" applyBorder="1" applyAlignment="1">
      <alignment horizontal="center" vertical="center" wrapText="1"/>
    </xf>
    <xf numFmtId="49" fontId="5" fillId="21" borderId="24" xfId="0" applyNumberFormat="1" applyFont="1" applyFill="1" applyBorder="1" applyAlignment="1">
      <alignment horizontal="center" vertical="center" wrapText="1"/>
    </xf>
    <xf numFmtId="49" fontId="5" fillId="21" borderId="25" xfId="0" applyNumberFormat="1" applyFont="1" applyFill="1" applyBorder="1" applyAlignment="1">
      <alignment horizontal="center" vertical="center" wrapText="1"/>
    </xf>
    <xf numFmtId="57" fontId="5" fillId="21" borderId="23" xfId="0" applyNumberFormat="1" applyFont="1" applyFill="1" applyBorder="1" applyAlignment="1">
      <alignment horizontal="center" vertical="center"/>
    </xf>
    <xf numFmtId="179" fontId="47" fillId="21" borderId="22" xfId="0" applyNumberFormat="1" applyFont="1" applyFill="1" applyBorder="1" applyAlignment="1">
      <alignment horizontal="center" vertical="center"/>
    </xf>
    <xf numFmtId="177" fontId="47" fillId="21" borderId="23" xfId="0" applyNumberFormat="1" applyFont="1" applyFill="1" applyBorder="1" applyAlignment="1">
      <alignment horizontal="center" vertical="center"/>
    </xf>
    <xf numFmtId="177" fontId="11" fillId="21" borderId="22" xfId="28" applyNumberFormat="1" applyFill="1" applyBorder="1" applyAlignment="1" applyProtection="1">
      <alignment horizontal="left" vertical="center" shrinkToFit="1"/>
    </xf>
    <xf numFmtId="0" fontId="47" fillId="21" borderId="58" xfId="0" applyFont="1" applyFill="1" applyBorder="1" applyAlignment="1">
      <alignment horizontal="center" vertical="center"/>
    </xf>
    <xf numFmtId="177" fontId="5" fillId="0" borderId="23" xfId="0" applyNumberFormat="1" applyFont="1" applyBorder="1" applyAlignment="1">
      <alignment horizontal="center" vertical="center" wrapText="1"/>
    </xf>
    <xf numFmtId="177" fontId="5" fillId="0" borderId="42" xfId="0" applyNumberFormat="1" applyFont="1" applyBorder="1" applyAlignment="1">
      <alignment horizontal="center" vertical="center" wrapText="1"/>
    </xf>
    <xf numFmtId="0" fontId="5" fillId="0" borderId="22" xfId="0" applyFont="1" applyBorder="1" applyAlignment="1">
      <alignment horizontal="center" vertical="center"/>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8" xfId="0" applyFont="1" applyBorder="1" applyAlignment="1">
      <alignment horizontal="center" vertical="center"/>
    </xf>
    <xf numFmtId="0" fontId="5" fillId="0" borderId="33" xfId="0" applyFont="1" applyBorder="1" applyAlignment="1">
      <alignment horizontal="center" vertical="center"/>
    </xf>
    <xf numFmtId="0" fontId="5" fillId="0" borderId="32" xfId="0" applyFont="1" applyBorder="1" applyAlignment="1">
      <alignment horizontal="center" vertical="center"/>
    </xf>
    <xf numFmtId="0" fontId="5" fillId="0" borderId="4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2" xfId="0" applyFont="1" applyBorder="1" applyAlignment="1">
      <alignment horizontal="center" vertical="center" wrapText="1"/>
    </xf>
    <xf numFmtId="0" fontId="17" fillId="0" borderId="0" xfId="0" applyFont="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shrinkToFit="1"/>
    </xf>
    <xf numFmtId="0" fontId="0" fillId="0" borderId="20" xfId="0" applyBorder="1" applyAlignment="1">
      <alignment horizontal="center" vertical="center" shrinkToFit="1"/>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0" fontId="0" fillId="0" borderId="13" xfId="0" applyBorder="1" applyAlignment="1">
      <alignment horizontal="center" vertical="center" wrapText="1"/>
    </xf>
    <xf numFmtId="0" fontId="0" fillId="0" borderId="68" xfId="0" applyBorder="1" applyAlignment="1">
      <alignment horizontal="center" vertical="center" wrapText="1"/>
    </xf>
    <xf numFmtId="0" fontId="0" fillId="0" borderId="51" xfId="0" applyBorder="1" applyAlignment="1">
      <alignment horizontal="center" vertical="center"/>
    </xf>
    <xf numFmtId="0" fontId="0" fillId="0" borderId="44" xfId="0" applyBorder="1" applyAlignment="1">
      <alignment horizontal="center" vertical="center"/>
    </xf>
    <xf numFmtId="0" fontId="0" fillId="0" borderId="57" xfId="0" applyBorder="1" applyAlignment="1">
      <alignment horizontal="center" vertical="center"/>
    </xf>
    <xf numFmtId="0" fontId="0" fillId="0" borderId="54" xfId="0" applyBorder="1" applyAlignment="1">
      <alignment horizontal="center" vertical="center"/>
    </xf>
    <xf numFmtId="0" fontId="45" fillId="0" borderId="28" xfId="0" applyFont="1" applyBorder="1" applyAlignment="1">
      <alignment horizontal="center" vertical="center"/>
    </xf>
    <xf numFmtId="0" fontId="45" fillId="0" borderId="33" xfId="0" applyFont="1" applyBorder="1" applyAlignment="1">
      <alignment horizontal="center" vertical="center"/>
    </xf>
    <xf numFmtId="0" fontId="45" fillId="0" borderId="32" xfId="0" applyFont="1" applyBorder="1" applyAlignment="1">
      <alignment horizontal="center" vertical="center"/>
    </xf>
    <xf numFmtId="0" fontId="52" fillId="0" borderId="0" xfId="0" applyFont="1" applyAlignment="1">
      <alignment horizontal="center" vertical="center"/>
    </xf>
    <xf numFmtId="0" fontId="45" fillId="0" borderId="51" xfId="0" applyFont="1" applyBorder="1" applyAlignment="1">
      <alignment horizontal="right" vertical="center"/>
    </xf>
    <xf numFmtId="0" fontId="53" fillId="0" borderId="73" xfId="0" applyFont="1" applyBorder="1" applyAlignment="1">
      <alignment horizontal="center" vertical="center"/>
    </xf>
    <xf numFmtId="0" fontId="53" fillId="0" borderId="77" xfId="0" applyFont="1" applyBorder="1" applyAlignment="1">
      <alignment horizontal="center" vertical="center"/>
    </xf>
    <xf numFmtId="0" fontId="53" fillId="0" borderId="74" xfId="0" applyFont="1" applyBorder="1" applyAlignment="1">
      <alignment horizontal="center" vertical="center" shrinkToFit="1"/>
    </xf>
    <xf numFmtId="0" fontId="53" fillId="0" borderId="78" xfId="0" applyFont="1" applyBorder="1" applyAlignment="1">
      <alignment horizontal="center" vertical="center" shrinkToFit="1"/>
    </xf>
    <xf numFmtId="0" fontId="53" fillId="0" borderId="75" xfId="0" applyFont="1" applyBorder="1" applyAlignment="1">
      <alignment horizontal="center" vertical="center"/>
    </xf>
    <xf numFmtId="0" fontId="53" fillId="0" borderId="79" xfId="0" applyFont="1" applyBorder="1" applyAlignment="1">
      <alignment horizontal="center" vertical="center"/>
    </xf>
    <xf numFmtId="0" fontId="53" fillId="0" borderId="39" xfId="0" applyFont="1" applyBorder="1" applyAlignment="1">
      <alignment horizontal="center" vertical="center"/>
    </xf>
    <xf numFmtId="0" fontId="53" fillId="0" borderId="58" xfId="0" applyFont="1" applyBorder="1" applyAlignment="1">
      <alignment horizontal="center" vertical="center"/>
    </xf>
    <xf numFmtId="0" fontId="53" fillId="0" borderId="76" xfId="0" applyFont="1" applyBorder="1" applyAlignment="1">
      <alignment horizontal="center" vertical="center"/>
    </xf>
    <xf numFmtId="0" fontId="53" fillId="0" borderId="38" xfId="0" applyFont="1" applyBorder="1" applyAlignment="1">
      <alignment horizontal="center" vertical="center" wrapText="1"/>
    </xf>
    <xf numFmtId="0" fontId="53" fillId="0" borderId="80" xfId="0" applyFont="1" applyBorder="1" applyAlignment="1">
      <alignment horizontal="center" vertical="center" wrapText="1"/>
    </xf>
    <xf numFmtId="0" fontId="47" fillId="0" borderId="58" xfId="0" applyFont="1" applyBorder="1">
      <alignment vertical="center"/>
    </xf>
  </cellXfs>
  <cellStyles count="50">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xfId="28" builtinId="8"/>
    <cellStyle name="ハイパーリンク 2" xfId="29" xr:uid="{00000000-0005-0000-0000-00001C000000}"/>
    <cellStyle name="ハイパーリンク 2 2" xfId="30" xr:uid="{00000000-0005-0000-0000-00001D000000}"/>
    <cellStyle name="メモ 2" xfId="31" xr:uid="{00000000-0005-0000-0000-00001E000000}"/>
    <cellStyle name="リンク セル 2" xfId="32" xr:uid="{00000000-0005-0000-0000-00001F000000}"/>
    <cellStyle name="悪い 2" xfId="33" xr:uid="{00000000-0005-0000-0000-000020000000}"/>
    <cellStyle name="計算 2" xfId="34" xr:uid="{00000000-0005-0000-0000-000021000000}"/>
    <cellStyle name="警告文 2" xfId="35" xr:uid="{00000000-0005-0000-0000-000022000000}"/>
    <cellStyle name="見出し 1 2" xfId="36" xr:uid="{00000000-0005-0000-0000-000023000000}"/>
    <cellStyle name="見出し 2 2" xfId="37" xr:uid="{00000000-0005-0000-0000-000024000000}"/>
    <cellStyle name="見出し 3 2" xfId="38" xr:uid="{00000000-0005-0000-0000-000025000000}"/>
    <cellStyle name="見出し 4 2" xfId="39" xr:uid="{00000000-0005-0000-0000-000026000000}"/>
    <cellStyle name="集計 2" xfId="40" xr:uid="{00000000-0005-0000-0000-000027000000}"/>
    <cellStyle name="出力 2" xfId="41" xr:uid="{00000000-0005-0000-0000-000028000000}"/>
    <cellStyle name="説明文 2" xfId="42" xr:uid="{00000000-0005-0000-0000-000029000000}"/>
    <cellStyle name="入力 2" xfId="43" xr:uid="{00000000-0005-0000-0000-00002A000000}"/>
    <cellStyle name="標準" xfId="0" builtinId="0"/>
    <cellStyle name="標準 2" xfId="44" xr:uid="{00000000-0005-0000-0000-00002C000000}"/>
    <cellStyle name="標準 2 2" xfId="45" xr:uid="{00000000-0005-0000-0000-00002D000000}"/>
    <cellStyle name="標準 2_270228gh2" xfId="46" xr:uid="{00000000-0005-0000-0000-00002E000000}"/>
    <cellStyle name="標準_270126jidei" xfId="47" xr:uid="{00000000-0005-0000-0000-00002F000000}"/>
    <cellStyle name="標準_指定障害福祉サービス" xfId="48" xr:uid="{00000000-0005-0000-0000-000030000000}"/>
    <cellStyle name="良い 2" xfId="49" xr:uid="{00000000-0005-0000-0000-00003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DF2058"/>
  <sheetViews>
    <sheetView tabSelected="1" view="pageBreakPreview" zoomScale="70" zoomScaleNormal="100" zoomScaleSheetLayoutView="70" workbookViewId="0">
      <pane xSplit="3" ySplit="3" topLeftCell="D652" activePane="bottomRight" state="frozen"/>
      <selection pane="topRight" activeCell="D1" sqref="D1"/>
      <selection pane="bottomLeft" activeCell="A4" sqref="A4"/>
      <selection pane="bottomRight" activeCell="D657" sqref="D657"/>
    </sheetView>
  </sheetViews>
  <sheetFormatPr defaultColWidth="9" defaultRowHeight="0" customHeight="1" zeroHeight="1" x14ac:dyDescent="0.15"/>
  <cols>
    <col min="1" max="1" width="11.5" style="65" customWidth="1"/>
    <col min="2" max="3" width="24.625" style="67" customWidth="1"/>
    <col min="4" max="4" width="9.625" style="68" customWidth="1"/>
    <col min="5" max="5" width="20.625" style="67" customWidth="1"/>
    <col min="6" max="6" width="9" style="65" customWidth="1"/>
    <col min="7" max="7" width="13.625" style="67" customWidth="1"/>
    <col min="8" max="8" width="12.625" style="67" customWidth="1"/>
    <col min="9" max="12" width="3.75" style="65" customWidth="1"/>
    <col min="13" max="13" width="3.875" style="65" customWidth="1"/>
    <col min="14" max="15" width="3.75" style="65" customWidth="1"/>
    <col min="16" max="18" width="5.75" style="65" customWidth="1"/>
    <col min="19" max="19" width="5.375" style="65" customWidth="1"/>
    <col min="20" max="20" width="6.125" style="65" customWidth="1"/>
    <col min="21" max="22" width="5.5" style="65" customWidth="1"/>
    <col min="23" max="23" width="5.25" style="65" customWidth="1"/>
    <col min="24" max="25" width="5.625" style="65" customWidth="1"/>
    <col min="26" max="26" width="5.25" style="65" customWidth="1"/>
    <col min="27" max="29" width="5.75" style="65" customWidth="1"/>
    <col min="30" max="30" width="9.75" style="65" customWidth="1"/>
    <col min="31" max="31" width="55" style="67" customWidth="1"/>
    <col min="32" max="16384" width="9" style="67"/>
  </cols>
  <sheetData>
    <row r="1" spans="1:31" ht="27" customHeight="1" x14ac:dyDescent="0.15">
      <c r="A1" s="66" t="s">
        <v>7863</v>
      </c>
      <c r="F1" s="69"/>
      <c r="I1" s="661" t="s">
        <v>444</v>
      </c>
      <c r="J1" s="662"/>
      <c r="K1" s="662"/>
      <c r="L1" s="662"/>
      <c r="M1" s="662"/>
      <c r="N1" s="662"/>
      <c r="O1" s="71"/>
      <c r="P1" s="659" t="s">
        <v>561</v>
      </c>
      <c r="Q1" s="665" t="s">
        <v>602</v>
      </c>
      <c r="R1" s="666"/>
      <c r="S1" s="659" t="s">
        <v>560</v>
      </c>
      <c r="T1" s="659" t="s">
        <v>559</v>
      </c>
      <c r="U1" s="661" t="s">
        <v>552</v>
      </c>
      <c r="V1" s="662"/>
      <c r="W1" s="663"/>
      <c r="X1" s="658" t="s">
        <v>562</v>
      </c>
      <c r="Y1" s="658"/>
      <c r="Z1" s="658" t="s">
        <v>563</v>
      </c>
      <c r="AA1" s="658"/>
      <c r="AB1" s="659" t="s">
        <v>4423</v>
      </c>
      <c r="AC1" s="660" t="s">
        <v>10696</v>
      </c>
      <c r="AD1" s="656" t="s">
        <v>57</v>
      </c>
      <c r="AE1" s="79" t="s">
        <v>12368</v>
      </c>
    </row>
    <row r="2" spans="1:31" s="65" customFormat="1" ht="12" customHeight="1" x14ac:dyDescent="0.15">
      <c r="A2" s="83" t="s">
        <v>504</v>
      </c>
      <c r="B2" s="81" t="s">
        <v>503</v>
      </c>
      <c r="C2" s="81" t="s">
        <v>548</v>
      </c>
      <c r="D2" s="84" t="s">
        <v>390</v>
      </c>
      <c r="E2" s="81" t="s">
        <v>466</v>
      </c>
      <c r="F2" s="85" t="s">
        <v>500</v>
      </c>
      <c r="G2" s="81" t="s">
        <v>756</v>
      </c>
      <c r="H2" s="81" t="s">
        <v>236</v>
      </c>
      <c r="I2" s="86" t="s">
        <v>391</v>
      </c>
      <c r="J2" s="87" t="s">
        <v>392</v>
      </c>
      <c r="K2" s="87" t="s">
        <v>393</v>
      </c>
      <c r="L2" s="87" t="s">
        <v>394</v>
      </c>
      <c r="M2" s="87" t="s">
        <v>395</v>
      </c>
      <c r="N2" s="88" t="s">
        <v>396</v>
      </c>
      <c r="O2" s="89" t="s">
        <v>2178</v>
      </c>
      <c r="P2" s="659"/>
      <c r="Q2" s="90" t="s">
        <v>2618</v>
      </c>
      <c r="R2" s="91" t="s">
        <v>3047</v>
      </c>
      <c r="S2" s="659"/>
      <c r="T2" s="659"/>
      <c r="U2" s="76" t="s">
        <v>558</v>
      </c>
      <c r="V2" s="70" t="s">
        <v>557</v>
      </c>
      <c r="W2" s="92" t="s">
        <v>793</v>
      </c>
      <c r="X2" s="73" t="s">
        <v>553</v>
      </c>
      <c r="Y2" s="91" t="s">
        <v>554</v>
      </c>
      <c r="Z2" s="72" t="s">
        <v>555</v>
      </c>
      <c r="AA2" s="72" t="s">
        <v>556</v>
      </c>
      <c r="AB2" s="659"/>
      <c r="AC2" s="664"/>
      <c r="AD2" s="657"/>
      <c r="AE2" s="76" t="s">
        <v>226</v>
      </c>
    </row>
    <row r="3" spans="1:31" s="65" customFormat="1" ht="39" customHeight="1" x14ac:dyDescent="0.15">
      <c r="A3" s="97"/>
      <c r="B3" s="98"/>
      <c r="C3" s="98"/>
      <c r="D3" s="99"/>
      <c r="E3" s="98"/>
      <c r="F3" s="97"/>
      <c r="G3" s="98"/>
      <c r="H3" s="100"/>
      <c r="I3" s="101">
        <f ca="1">SUBTOTAL(103,I4:OFFSET(I2031,-1,0))</f>
        <v>724</v>
      </c>
      <c r="J3" s="101">
        <f ca="1">SUBTOTAL(103,J4:OFFSET(J2031,-1,0))</f>
        <v>667</v>
      </c>
      <c r="K3" s="101">
        <f ca="1">SUBTOTAL(103,K4:OFFSET(K2031,-1,0))</f>
        <v>754</v>
      </c>
      <c r="L3" s="101">
        <f ca="1">SUBTOTAL(103,L4:OFFSET(L2031,-1,0))</f>
        <v>832</v>
      </c>
      <c r="M3" s="101">
        <f ca="1">SUBTOTAL(103,M4:OFFSET(M2031,-1,0))</f>
        <v>1829</v>
      </c>
      <c r="N3" s="101">
        <f ca="1">SUBTOTAL(103,N4:OFFSET(N2031,-1,0))</f>
        <v>1482</v>
      </c>
      <c r="O3" s="101">
        <f ca="1">SUBTOTAL(103,O4:OFFSET(O2031,-1,0))</f>
        <v>796</v>
      </c>
      <c r="P3" s="101">
        <f ca="1">SUBTOTAL(103,P4:OFFSET(P2031,-1,0))</f>
        <v>105</v>
      </c>
      <c r="Q3" s="101">
        <f ca="1">SUBTOTAL(103,Q4:OFFSET(Q2031,-1,0))</f>
        <v>179</v>
      </c>
      <c r="R3" s="101">
        <f ca="1">SUBTOTAL(103,R4:OFFSET(R2031,-1,0))</f>
        <v>356</v>
      </c>
      <c r="S3" s="101">
        <f ca="1">SUBTOTAL(103,S4:OFFSET(S2031,-1,0))</f>
        <v>8</v>
      </c>
      <c r="T3" s="101">
        <f ca="1">SUBTOTAL(103,T4:OFFSET(T2031,-1,0))</f>
        <v>589</v>
      </c>
      <c r="U3" s="101">
        <f ca="1">SUBTOTAL(103,U4:OFFSET(U2031,-1,0))</f>
        <v>13</v>
      </c>
      <c r="V3" s="101">
        <f ca="1">SUBTOTAL(103,V4:OFFSET(V2031,-1,0))</f>
        <v>81</v>
      </c>
      <c r="W3" s="77">
        <f>SUBTOTAL(103,W4:W1985)</f>
        <v>7</v>
      </c>
      <c r="X3" s="101">
        <f ca="1">SUBTOTAL(103,X4:OFFSET(X2031,-1,0))</f>
        <v>199</v>
      </c>
      <c r="Y3" s="101">
        <f ca="1">SUBTOTAL(103,Y4:OFFSET(Y2031,-1,0))</f>
        <v>2</v>
      </c>
      <c r="Z3" s="101">
        <f ca="1">SUBTOTAL(103,Z4:OFFSET(Z2031,-1,0))</f>
        <v>135</v>
      </c>
      <c r="AA3" s="101">
        <f ca="1">SUBTOTAL(103,AA4:OFFSET(AA2031,-1,0))</f>
        <v>808</v>
      </c>
      <c r="AB3" s="101">
        <f ca="1">SUBTOTAL(103,AB4:OFFSET(AB2031,-1,0))</f>
        <v>145</v>
      </c>
      <c r="AC3" s="102">
        <f ca="1">SUBTOTAL(103,AC4:OFFSET(AC2031,-1,0))</f>
        <v>45</v>
      </c>
      <c r="AD3" s="78"/>
      <c r="AE3" s="76"/>
    </row>
    <row r="4" spans="1:31" s="65" customFormat="1" ht="27" customHeight="1" x14ac:dyDescent="0.15">
      <c r="A4" s="105">
        <v>1110200159</v>
      </c>
      <c r="B4" s="106" t="s">
        <v>7634</v>
      </c>
      <c r="C4" s="107" t="s">
        <v>6701</v>
      </c>
      <c r="D4" s="108" t="s">
        <v>5197</v>
      </c>
      <c r="E4" s="107" t="s">
        <v>6704</v>
      </c>
      <c r="F4" s="109">
        <v>3330816</v>
      </c>
      <c r="G4" s="110" t="s">
        <v>6702</v>
      </c>
      <c r="H4" s="110" t="s">
        <v>6703</v>
      </c>
      <c r="I4" s="111"/>
      <c r="J4" s="112"/>
      <c r="K4" s="113"/>
      <c r="L4" s="113"/>
      <c r="M4" s="113" t="s">
        <v>765</v>
      </c>
      <c r="N4" s="114"/>
      <c r="O4" s="115"/>
      <c r="P4" s="105"/>
      <c r="Q4" s="116"/>
      <c r="R4" s="117"/>
      <c r="S4" s="105"/>
      <c r="T4" s="105">
        <v>20</v>
      </c>
      <c r="U4" s="105"/>
      <c r="V4" s="105"/>
      <c r="W4" s="105"/>
      <c r="X4" s="105"/>
      <c r="Y4" s="105"/>
      <c r="Z4" s="105"/>
      <c r="AA4" s="105">
        <v>40</v>
      </c>
      <c r="AB4" s="105"/>
      <c r="AC4" s="105"/>
      <c r="AD4" s="118">
        <v>40634</v>
      </c>
      <c r="AE4" s="108" t="s">
        <v>1391</v>
      </c>
    </row>
    <row r="5" spans="1:31" s="65" customFormat="1" ht="27" customHeight="1" x14ac:dyDescent="0.15">
      <c r="A5" s="105">
        <v>1110200167</v>
      </c>
      <c r="B5" s="130" t="s">
        <v>757</v>
      </c>
      <c r="C5" s="108" t="s">
        <v>547</v>
      </c>
      <c r="D5" s="108" t="s">
        <v>68</v>
      </c>
      <c r="E5" s="108" t="s">
        <v>130</v>
      </c>
      <c r="F5" s="131">
        <v>3330831</v>
      </c>
      <c r="G5" s="132" t="s">
        <v>603</v>
      </c>
      <c r="H5" s="132" t="s">
        <v>619</v>
      </c>
      <c r="I5" s="133"/>
      <c r="J5" s="134"/>
      <c r="K5" s="134"/>
      <c r="L5" s="134"/>
      <c r="M5" s="134" t="s">
        <v>49</v>
      </c>
      <c r="N5" s="135"/>
      <c r="O5" s="136"/>
      <c r="P5" s="105"/>
      <c r="Q5" s="137"/>
      <c r="R5" s="138"/>
      <c r="S5" s="105"/>
      <c r="T5" s="105">
        <v>49</v>
      </c>
      <c r="U5" s="105"/>
      <c r="V5" s="137"/>
      <c r="W5" s="138"/>
      <c r="X5" s="137"/>
      <c r="Y5" s="138"/>
      <c r="Z5" s="105"/>
      <c r="AA5" s="105"/>
      <c r="AB5" s="105"/>
      <c r="AC5" s="105"/>
      <c r="AD5" s="118">
        <v>39417</v>
      </c>
      <c r="AE5" s="108" t="s">
        <v>238</v>
      </c>
    </row>
    <row r="6" spans="1:31" ht="27" customHeight="1" x14ac:dyDescent="0.15">
      <c r="A6" s="105">
        <v>1110200175</v>
      </c>
      <c r="B6" s="106" t="s">
        <v>4658</v>
      </c>
      <c r="C6" s="107" t="s">
        <v>4659</v>
      </c>
      <c r="D6" s="108" t="s">
        <v>4643</v>
      </c>
      <c r="E6" s="108" t="s">
        <v>4660</v>
      </c>
      <c r="F6" s="139" t="s">
        <v>4661</v>
      </c>
      <c r="G6" s="140" t="s">
        <v>4662</v>
      </c>
      <c r="H6" s="140" t="s">
        <v>4663</v>
      </c>
      <c r="I6" s="141"/>
      <c r="J6" s="142"/>
      <c r="K6" s="142"/>
      <c r="L6" s="142"/>
      <c r="M6" s="142" t="s">
        <v>4664</v>
      </c>
      <c r="N6" s="143"/>
      <c r="O6" s="138"/>
      <c r="P6" s="105"/>
      <c r="Q6" s="137"/>
      <c r="R6" s="138"/>
      <c r="S6" s="105"/>
      <c r="T6" s="105">
        <v>28</v>
      </c>
      <c r="U6" s="105"/>
      <c r="V6" s="137"/>
      <c r="W6" s="138"/>
      <c r="X6" s="137"/>
      <c r="Y6" s="138"/>
      <c r="Z6" s="105"/>
      <c r="AA6" s="105">
        <v>32</v>
      </c>
      <c r="AB6" s="105"/>
      <c r="AC6" s="105"/>
      <c r="AD6" s="144">
        <v>39538</v>
      </c>
      <c r="AE6" s="108" t="s">
        <v>4665</v>
      </c>
    </row>
    <row r="7" spans="1:31" ht="27" customHeight="1" x14ac:dyDescent="0.15">
      <c r="A7" s="105">
        <v>1110200225</v>
      </c>
      <c r="B7" s="106" t="s">
        <v>68</v>
      </c>
      <c r="C7" s="107" t="s">
        <v>1200</v>
      </c>
      <c r="D7" s="108" t="s">
        <v>68</v>
      </c>
      <c r="E7" s="108" t="s">
        <v>1199</v>
      </c>
      <c r="F7" s="139">
        <v>3340073</v>
      </c>
      <c r="G7" s="140" t="s">
        <v>1198</v>
      </c>
      <c r="H7" s="140" t="s">
        <v>1197</v>
      </c>
      <c r="I7" s="141"/>
      <c r="J7" s="142"/>
      <c r="K7" s="142"/>
      <c r="L7" s="142"/>
      <c r="M7" s="142" t="s">
        <v>1196</v>
      </c>
      <c r="N7" s="143"/>
      <c r="O7" s="138"/>
      <c r="P7" s="105"/>
      <c r="Q7" s="137"/>
      <c r="R7" s="138"/>
      <c r="S7" s="105"/>
      <c r="T7" s="105">
        <v>185</v>
      </c>
      <c r="U7" s="105"/>
      <c r="V7" s="116"/>
      <c r="W7" s="117"/>
      <c r="X7" s="116"/>
      <c r="Y7" s="138"/>
      <c r="Z7" s="105"/>
      <c r="AA7" s="105">
        <v>44</v>
      </c>
      <c r="AB7" s="105"/>
      <c r="AC7" s="105"/>
      <c r="AD7" s="144">
        <v>40634</v>
      </c>
      <c r="AE7" s="108" t="s">
        <v>1195</v>
      </c>
    </row>
    <row r="8" spans="1:31" ht="27" customHeight="1" x14ac:dyDescent="0.15">
      <c r="A8" s="150">
        <v>1110200522</v>
      </c>
      <c r="B8" s="130" t="s">
        <v>1293</v>
      </c>
      <c r="C8" s="107" t="s">
        <v>1294</v>
      </c>
      <c r="D8" s="108" t="s">
        <v>1295</v>
      </c>
      <c r="E8" s="108" t="s">
        <v>1296</v>
      </c>
      <c r="F8" s="151">
        <v>3320003</v>
      </c>
      <c r="G8" s="152" t="s">
        <v>1297</v>
      </c>
      <c r="H8" s="132" t="s">
        <v>1298</v>
      </c>
      <c r="I8" s="116" t="s">
        <v>49</v>
      </c>
      <c r="J8" s="142" t="s">
        <v>2283</v>
      </c>
      <c r="K8" s="142" t="s">
        <v>2283</v>
      </c>
      <c r="L8" s="142" t="s">
        <v>2283</v>
      </c>
      <c r="M8" s="142" t="s">
        <v>49</v>
      </c>
      <c r="N8" s="143" t="s">
        <v>2261</v>
      </c>
      <c r="O8" s="138" t="s">
        <v>2261</v>
      </c>
      <c r="P8" s="105">
        <v>35</v>
      </c>
      <c r="Q8" s="137" t="s">
        <v>49</v>
      </c>
      <c r="R8" s="138">
        <v>2</v>
      </c>
      <c r="S8" s="105"/>
      <c r="T8" s="105">
        <v>37</v>
      </c>
      <c r="U8" s="105"/>
      <c r="V8" s="116"/>
      <c r="W8" s="117"/>
      <c r="X8" s="137"/>
      <c r="Y8" s="138"/>
      <c r="Z8" s="105"/>
      <c r="AA8" s="105"/>
      <c r="AB8" s="105"/>
      <c r="AC8" s="105"/>
      <c r="AD8" s="144">
        <v>40634</v>
      </c>
      <c r="AE8" s="108" t="s">
        <v>1299</v>
      </c>
    </row>
    <row r="9" spans="1:31" ht="27" customHeight="1" x14ac:dyDescent="0.15">
      <c r="A9" s="105">
        <v>1110200688</v>
      </c>
      <c r="B9" s="130" t="s">
        <v>398</v>
      </c>
      <c r="C9" s="108" t="s">
        <v>575</v>
      </c>
      <c r="D9" s="108" t="s">
        <v>68</v>
      </c>
      <c r="E9" s="108" t="s">
        <v>9796</v>
      </c>
      <c r="F9" s="131" t="s">
        <v>7497</v>
      </c>
      <c r="G9" s="132" t="s">
        <v>604</v>
      </c>
      <c r="H9" s="132" t="s">
        <v>123</v>
      </c>
      <c r="I9" s="116" t="s">
        <v>237</v>
      </c>
      <c r="J9" s="154"/>
      <c r="K9" s="154"/>
      <c r="L9" s="154"/>
      <c r="M9" s="154" t="s">
        <v>237</v>
      </c>
      <c r="N9" s="143" t="s">
        <v>237</v>
      </c>
      <c r="O9" s="138"/>
      <c r="P9" s="132"/>
      <c r="Q9" s="152"/>
      <c r="R9" s="136"/>
      <c r="S9" s="132"/>
      <c r="T9" s="132"/>
      <c r="U9" s="132"/>
      <c r="V9" s="152"/>
      <c r="W9" s="136"/>
      <c r="X9" s="152"/>
      <c r="Y9" s="136"/>
      <c r="Z9" s="132"/>
      <c r="AA9" s="105">
        <v>14</v>
      </c>
      <c r="AB9" s="105"/>
      <c r="AC9" s="105"/>
      <c r="AD9" s="155">
        <v>39539</v>
      </c>
      <c r="AE9" s="108" t="s">
        <v>7498</v>
      </c>
    </row>
    <row r="10" spans="1:31" ht="27" customHeight="1" x14ac:dyDescent="0.15">
      <c r="A10" s="105">
        <v>1110200688</v>
      </c>
      <c r="B10" s="130" t="s">
        <v>398</v>
      </c>
      <c r="C10" s="108" t="s">
        <v>575</v>
      </c>
      <c r="D10" s="108" t="s">
        <v>68</v>
      </c>
      <c r="E10" s="108" t="s">
        <v>9796</v>
      </c>
      <c r="F10" s="131" t="s">
        <v>7497</v>
      </c>
      <c r="G10" s="132" t="s">
        <v>604</v>
      </c>
      <c r="H10" s="132" t="s">
        <v>123</v>
      </c>
      <c r="I10" s="116" t="s">
        <v>49</v>
      </c>
      <c r="J10" s="154"/>
      <c r="K10" s="154"/>
      <c r="L10" s="154"/>
      <c r="M10" s="154" t="s">
        <v>49</v>
      </c>
      <c r="N10" s="143" t="s">
        <v>49</v>
      </c>
      <c r="O10" s="138"/>
      <c r="P10" s="132"/>
      <c r="Q10" s="152"/>
      <c r="R10" s="136"/>
      <c r="S10" s="132"/>
      <c r="T10" s="132"/>
      <c r="U10" s="132"/>
      <c r="V10" s="152"/>
      <c r="W10" s="136"/>
      <c r="X10" s="152"/>
      <c r="Y10" s="136"/>
      <c r="Z10" s="132"/>
      <c r="AA10" s="105"/>
      <c r="AB10" s="105" t="s">
        <v>4614</v>
      </c>
      <c r="AC10" s="105"/>
      <c r="AD10" s="155">
        <v>45778</v>
      </c>
      <c r="AE10" s="108" t="s">
        <v>7498</v>
      </c>
    </row>
    <row r="11" spans="1:31" ht="27" customHeight="1" x14ac:dyDescent="0.15">
      <c r="A11" s="105">
        <v>1110200803</v>
      </c>
      <c r="B11" s="106" t="s">
        <v>3572</v>
      </c>
      <c r="C11" s="107" t="s">
        <v>3573</v>
      </c>
      <c r="D11" s="108" t="s">
        <v>68</v>
      </c>
      <c r="E11" s="108" t="s">
        <v>2837</v>
      </c>
      <c r="F11" s="139">
        <v>3330851</v>
      </c>
      <c r="G11" s="140" t="s">
        <v>3574</v>
      </c>
      <c r="H11" s="140" t="s">
        <v>3575</v>
      </c>
      <c r="I11" s="141" t="s">
        <v>3576</v>
      </c>
      <c r="J11" s="142" t="s">
        <v>3576</v>
      </c>
      <c r="K11" s="142" t="s">
        <v>3576</v>
      </c>
      <c r="L11" s="142" t="s">
        <v>3576</v>
      </c>
      <c r="M11" s="142" t="s">
        <v>3576</v>
      </c>
      <c r="N11" s="143" t="s">
        <v>3576</v>
      </c>
      <c r="O11" s="138" t="s">
        <v>3576</v>
      </c>
      <c r="P11" s="105"/>
      <c r="Q11" s="137"/>
      <c r="R11" s="138"/>
      <c r="S11" s="105"/>
      <c r="T11" s="105">
        <v>6</v>
      </c>
      <c r="U11" s="105"/>
      <c r="V11" s="116"/>
      <c r="W11" s="117"/>
      <c r="X11" s="116"/>
      <c r="Y11" s="138"/>
      <c r="Z11" s="105"/>
      <c r="AA11" s="105">
        <v>14</v>
      </c>
      <c r="AB11" s="105"/>
      <c r="AC11" s="105"/>
      <c r="AD11" s="144">
        <v>39904</v>
      </c>
      <c r="AE11" s="108" t="s">
        <v>191</v>
      </c>
    </row>
    <row r="12" spans="1:31" ht="27" customHeight="1" x14ac:dyDescent="0.15">
      <c r="A12" s="105">
        <v>1110200910</v>
      </c>
      <c r="B12" s="106" t="s">
        <v>879</v>
      </c>
      <c r="C12" s="107" t="s">
        <v>974</v>
      </c>
      <c r="D12" s="108" t="s">
        <v>68</v>
      </c>
      <c r="E12" s="108" t="s">
        <v>252</v>
      </c>
      <c r="F12" s="156">
        <v>3330866</v>
      </c>
      <c r="G12" s="140" t="s">
        <v>253</v>
      </c>
      <c r="H12" s="140" t="s">
        <v>253</v>
      </c>
      <c r="I12" s="141"/>
      <c r="J12" s="142"/>
      <c r="K12" s="142"/>
      <c r="L12" s="142"/>
      <c r="M12" s="142" t="s">
        <v>49</v>
      </c>
      <c r="N12" s="143"/>
      <c r="O12" s="138"/>
      <c r="P12" s="105"/>
      <c r="Q12" s="137"/>
      <c r="R12" s="138"/>
      <c r="S12" s="105"/>
      <c r="T12" s="105"/>
      <c r="U12" s="105"/>
      <c r="V12" s="116"/>
      <c r="W12" s="117"/>
      <c r="X12" s="116"/>
      <c r="Y12" s="138"/>
      <c r="Z12" s="105">
        <v>20</v>
      </c>
      <c r="AA12" s="105">
        <v>20</v>
      </c>
      <c r="AB12" s="105"/>
      <c r="AC12" s="105"/>
      <c r="AD12" s="144">
        <v>40269</v>
      </c>
      <c r="AE12" s="108" t="s">
        <v>460</v>
      </c>
    </row>
    <row r="13" spans="1:31" ht="27" customHeight="1" x14ac:dyDescent="0.15">
      <c r="A13" s="110">
        <v>1110200969</v>
      </c>
      <c r="B13" s="157" t="s">
        <v>11977</v>
      </c>
      <c r="C13" s="157" t="s">
        <v>6708</v>
      </c>
      <c r="D13" s="108" t="s">
        <v>5197</v>
      </c>
      <c r="E13" s="107" t="s">
        <v>6710</v>
      </c>
      <c r="F13" s="109">
        <v>3320035</v>
      </c>
      <c r="G13" s="110" t="s">
        <v>6709</v>
      </c>
      <c r="H13" s="110" t="s">
        <v>620</v>
      </c>
      <c r="I13" s="111"/>
      <c r="J13" s="112"/>
      <c r="K13" s="113"/>
      <c r="L13" s="113"/>
      <c r="M13" s="113" t="s">
        <v>765</v>
      </c>
      <c r="N13" s="114"/>
      <c r="O13" s="115"/>
      <c r="P13" s="105"/>
      <c r="Q13" s="116"/>
      <c r="R13" s="117"/>
      <c r="S13" s="105"/>
      <c r="T13" s="105">
        <v>6</v>
      </c>
      <c r="U13" s="105"/>
      <c r="V13" s="137"/>
      <c r="W13" s="138"/>
      <c r="X13" s="137"/>
      <c r="Y13" s="138"/>
      <c r="Z13" s="105"/>
      <c r="AA13" s="105">
        <v>34</v>
      </c>
      <c r="AB13" s="105"/>
      <c r="AC13" s="105"/>
      <c r="AD13" s="118">
        <v>40269</v>
      </c>
      <c r="AE13" s="108" t="s">
        <v>241</v>
      </c>
    </row>
    <row r="14" spans="1:31" ht="27" customHeight="1" x14ac:dyDescent="0.15">
      <c r="A14" s="105">
        <v>1110200977</v>
      </c>
      <c r="B14" s="130" t="s">
        <v>1019</v>
      </c>
      <c r="C14" s="108" t="s">
        <v>1014</v>
      </c>
      <c r="D14" s="108" t="s">
        <v>68</v>
      </c>
      <c r="E14" s="108" t="s">
        <v>1015</v>
      </c>
      <c r="F14" s="156">
        <v>3330866</v>
      </c>
      <c r="G14" s="132" t="s">
        <v>1016</v>
      </c>
      <c r="H14" s="132" t="s">
        <v>1016</v>
      </c>
      <c r="I14" s="116"/>
      <c r="J14" s="154"/>
      <c r="K14" s="154"/>
      <c r="L14" s="154"/>
      <c r="M14" s="154" t="s">
        <v>49</v>
      </c>
      <c r="N14" s="143"/>
      <c r="O14" s="138"/>
      <c r="P14" s="105"/>
      <c r="Q14" s="137"/>
      <c r="R14" s="138"/>
      <c r="S14" s="105"/>
      <c r="T14" s="105"/>
      <c r="U14" s="105"/>
      <c r="V14" s="116"/>
      <c r="W14" s="117"/>
      <c r="X14" s="116"/>
      <c r="Y14" s="138"/>
      <c r="Z14" s="105"/>
      <c r="AA14" s="105">
        <v>20</v>
      </c>
      <c r="AB14" s="105"/>
      <c r="AC14" s="105"/>
      <c r="AD14" s="118">
        <v>40299</v>
      </c>
      <c r="AE14" s="108" t="s">
        <v>1017</v>
      </c>
    </row>
    <row r="15" spans="1:31" ht="27" customHeight="1" x14ac:dyDescent="0.15">
      <c r="A15" s="105">
        <v>1110201017</v>
      </c>
      <c r="B15" s="130" t="s">
        <v>1048</v>
      </c>
      <c r="C15" s="108" t="s">
        <v>1049</v>
      </c>
      <c r="D15" s="108" t="s">
        <v>68</v>
      </c>
      <c r="E15" s="108" t="s">
        <v>1050</v>
      </c>
      <c r="F15" s="156" t="s">
        <v>1051</v>
      </c>
      <c r="G15" s="132" t="s">
        <v>1052</v>
      </c>
      <c r="H15" s="132" t="s">
        <v>1053</v>
      </c>
      <c r="I15" s="116"/>
      <c r="J15" s="154"/>
      <c r="K15" s="154"/>
      <c r="L15" s="154"/>
      <c r="M15" s="154" t="s">
        <v>49</v>
      </c>
      <c r="N15" s="143" t="s">
        <v>1054</v>
      </c>
      <c r="O15" s="138"/>
      <c r="P15" s="105"/>
      <c r="Q15" s="137"/>
      <c r="R15" s="138"/>
      <c r="S15" s="105"/>
      <c r="T15" s="105"/>
      <c r="U15" s="105"/>
      <c r="V15" s="116"/>
      <c r="W15" s="117"/>
      <c r="X15" s="116"/>
      <c r="Y15" s="138"/>
      <c r="Z15" s="105"/>
      <c r="AA15" s="105">
        <v>20</v>
      </c>
      <c r="AB15" s="105"/>
      <c r="AC15" s="105"/>
      <c r="AD15" s="118">
        <v>40391</v>
      </c>
      <c r="AE15" s="108" t="s">
        <v>1055</v>
      </c>
    </row>
    <row r="16" spans="1:31" ht="27" customHeight="1" x14ac:dyDescent="0.15">
      <c r="A16" s="105">
        <v>1110201041</v>
      </c>
      <c r="B16" s="130" t="s">
        <v>1071</v>
      </c>
      <c r="C16" s="108" t="s">
        <v>1072</v>
      </c>
      <c r="D16" s="108" t="s">
        <v>68</v>
      </c>
      <c r="E16" s="108" t="s">
        <v>1073</v>
      </c>
      <c r="F16" s="156">
        <v>3340071</v>
      </c>
      <c r="G16" s="132" t="s">
        <v>1074</v>
      </c>
      <c r="H16" s="132" t="s">
        <v>1074</v>
      </c>
      <c r="I16" s="116"/>
      <c r="J16" s="154"/>
      <c r="K16" s="154"/>
      <c r="L16" s="154"/>
      <c r="M16" s="154"/>
      <c r="N16" s="143" t="s">
        <v>49</v>
      </c>
      <c r="O16" s="138"/>
      <c r="P16" s="105"/>
      <c r="Q16" s="137"/>
      <c r="R16" s="138"/>
      <c r="S16" s="105"/>
      <c r="T16" s="105"/>
      <c r="U16" s="105"/>
      <c r="V16" s="116"/>
      <c r="W16" s="117"/>
      <c r="X16" s="116"/>
      <c r="Y16" s="138"/>
      <c r="Z16" s="105"/>
      <c r="AA16" s="105">
        <v>20</v>
      </c>
      <c r="AB16" s="105"/>
      <c r="AC16" s="105"/>
      <c r="AD16" s="118">
        <v>40452</v>
      </c>
      <c r="AE16" s="108" t="s">
        <v>1075</v>
      </c>
    </row>
    <row r="17" spans="1:31" ht="27" customHeight="1" x14ac:dyDescent="0.15">
      <c r="A17" s="105">
        <v>1110201058</v>
      </c>
      <c r="B17" s="130" t="s">
        <v>1076</v>
      </c>
      <c r="C17" s="108" t="s">
        <v>1077</v>
      </c>
      <c r="D17" s="108" t="s">
        <v>68</v>
      </c>
      <c r="E17" s="108" t="s">
        <v>1078</v>
      </c>
      <c r="F17" s="156">
        <v>3330815</v>
      </c>
      <c r="G17" s="132" t="s">
        <v>1079</v>
      </c>
      <c r="H17" s="132" t="s">
        <v>1080</v>
      </c>
      <c r="I17" s="116"/>
      <c r="J17" s="154"/>
      <c r="K17" s="154"/>
      <c r="L17" s="154"/>
      <c r="M17" s="154" t="s">
        <v>1064</v>
      </c>
      <c r="N17" s="143"/>
      <c r="O17" s="138"/>
      <c r="P17" s="105"/>
      <c r="Q17" s="137"/>
      <c r="R17" s="138"/>
      <c r="S17" s="105"/>
      <c r="T17" s="105"/>
      <c r="U17" s="105"/>
      <c r="V17" s="116"/>
      <c r="W17" s="117"/>
      <c r="X17" s="116"/>
      <c r="Y17" s="138"/>
      <c r="Z17" s="105"/>
      <c r="AA17" s="105">
        <v>39</v>
      </c>
      <c r="AB17" s="105"/>
      <c r="AC17" s="105"/>
      <c r="AD17" s="118">
        <v>40452</v>
      </c>
      <c r="AE17" s="108" t="s">
        <v>1084</v>
      </c>
    </row>
    <row r="18" spans="1:31" ht="27" customHeight="1" x14ac:dyDescent="0.15">
      <c r="A18" s="105">
        <v>1110201066</v>
      </c>
      <c r="B18" s="106" t="s">
        <v>1283</v>
      </c>
      <c r="C18" s="108" t="s">
        <v>2472</v>
      </c>
      <c r="D18" s="108" t="s">
        <v>68</v>
      </c>
      <c r="E18" s="108" t="s">
        <v>2473</v>
      </c>
      <c r="F18" s="156">
        <v>3320035</v>
      </c>
      <c r="G18" s="132" t="s">
        <v>2474</v>
      </c>
      <c r="H18" s="132" t="s">
        <v>2475</v>
      </c>
      <c r="I18" s="116" t="s">
        <v>49</v>
      </c>
      <c r="J18" s="154" t="s">
        <v>49</v>
      </c>
      <c r="K18" s="154" t="s">
        <v>49</v>
      </c>
      <c r="L18" s="154" t="s">
        <v>49</v>
      </c>
      <c r="M18" s="154" t="s">
        <v>49</v>
      </c>
      <c r="N18" s="143" t="s">
        <v>49</v>
      </c>
      <c r="O18" s="138" t="s">
        <v>2170</v>
      </c>
      <c r="P18" s="105"/>
      <c r="Q18" s="137"/>
      <c r="R18" s="138"/>
      <c r="S18" s="105"/>
      <c r="T18" s="105">
        <v>30</v>
      </c>
      <c r="U18" s="105"/>
      <c r="V18" s="116"/>
      <c r="W18" s="117"/>
      <c r="X18" s="116"/>
      <c r="Y18" s="138"/>
      <c r="Z18" s="105"/>
      <c r="AA18" s="105"/>
      <c r="AB18" s="105"/>
      <c r="AC18" s="105"/>
      <c r="AD18" s="144">
        <v>40634</v>
      </c>
      <c r="AE18" s="108" t="s">
        <v>3250</v>
      </c>
    </row>
    <row r="19" spans="1:31" ht="27" customHeight="1" x14ac:dyDescent="0.15">
      <c r="A19" s="105">
        <v>1110201074</v>
      </c>
      <c r="B19" s="106" t="s">
        <v>1432</v>
      </c>
      <c r="C19" s="108" t="s">
        <v>1356</v>
      </c>
      <c r="D19" s="108" t="s">
        <v>68</v>
      </c>
      <c r="E19" s="108" t="s">
        <v>1357</v>
      </c>
      <c r="F19" s="156">
        <v>3340054</v>
      </c>
      <c r="G19" s="132" t="s">
        <v>1358</v>
      </c>
      <c r="H19" s="132" t="s">
        <v>1358</v>
      </c>
      <c r="I19" s="116"/>
      <c r="J19" s="154"/>
      <c r="K19" s="154"/>
      <c r="L19" s="154"/>
      <c r="M19" s="154" t="s">
        <v>49</v>
      </c>
      <c r="N19" s="143"/>
      <c r="O19" s="138"/>
      <c r="P19" s="105"/>
      <c r="Q19" s="137"/>
      <c r="R19" s="138"/>
      <c r="S19" s="105"/>
      <c r="T19" s="105"/>
      <c r="U19" s="105"/>
      <c r="V19" s="116"/>
      <c r="W19" s="117"/>
      <c r="X19" s="116"/>
      <c r="Y19" s="138"/>
      <c r="Z19" s="105"/>
      <c r="AA19" s="105">
        <v>20</v>
      </c>
      <c r="AB19" s="105"/>
      <c r="AC19" s="105"/>
      <c r="AD19" s="144">
        <v>40634</v>
      </c>
      <c r="AE19" s="108" t="s">
        <v>1388</v>
      </c>
    </row>
    <row r="20" spans="1:31" ht="27" customHeight="1" x14ac:dyDescent="0.15">
      <c r="A20" s="105">
        <v>1110201124</v>
      </c>
      <c r="B20" s="130" t="s">
        <v>6064</v>
      </c>
      <c r="C20" s="108" t="s">
        <v>6065</v>
      </c>
      <c r="D20" s="108" t="s">
        <v>68</v>
      </c>
      <c r="E20" s="108" t="s">
        <v>6066</v>
      </c>
      <c r="F20" s="131" t="s">
        <v>6067</v>
      </c>
      <c r="G20" s="132" t="s">
        <v>6068</v>
      </c>
      <c r="H20" s="132" t="s">
        <v>6069</v>
      </c>
      <c r="I20" s="159" t="s">
        <v>250</v>
      </c>
      <c r="J20" s="142" t="s">
        <v>765</v>
      </c>
      <c r="K20" s="142" t="s">
        <v>250</v>
      </c>
      <c r="L20" s="142" t="s">
        <v>250</v>
      </c>
      <c r="M20" s="142" t="s">
        <v>250</v>
      </c>
      <c r="N20" s="142" t="s">
        <v>250</v>
      </c>
      <c r="O20" s="160" t="s">
        <v>250</v>
      </c>
      <c r="P20" s="105"/>
      <c r="Q20" s="152"/>
      <c r="R20" s="138"/>
      <c r="S20" s="105"/>
      <c r="T20" s="105">
        <v>20</v>
      </c>
      <c r="U20" s="105"/>
      <c r="V20" s="137"/>
      <c r="W20" s="138"/>
      <c r="X20" s="137"/>
      <c r="Y20" s="138"/>
      <c r="Z20" s="105">
        <v>10</v>
      </c>
      <c r="AA20" s="105"/>
      <c r="AB20" s="118"/>
      <c r="AC20" s="118"/>
      <c r="AD20" s="144">
        <v>40756</v>
      </c>
      <c r="AE20" s="108" t="s">
        <v>6070</v>
      </c>
    </row>
    <row r="21" spans="1:31" ht="27" customHeight="1" x14ac:dyDescent="0.15">
      <c r="A21" s="105">
        <v>1110201223</v>
      </c>
      <c r="B21" s="130" t="s">
        <v>6071</v>
      </c>
      <c r="C21" s="108" t="s">
        <v>6072</v>
      </c>
      <c r="D21" s="108" t="s">
        <v>5197</v>
      </c>
      <c r="E21" s="108" t="s">
        <v>6073</v>
      </c>
      <c r="F21" s="131" t="s">
        <v>6074</v>
      </c>
      <c r="G21" s="132" t="s">
        <v>6075</v>
      </c>
      <c r="H21" s="132" t="s">
        <v>6076</v>
      </c>
      <c r="I21" s="159"/>
      <c r="J21" s="142"/>
      <c r="K21" s="142"/>
      <c r="L21" s="142"/>
      <c r="M21" s="142" t="s">
        <v>765</v>
      </c>
      <c r="N21" s="142"/>
      <c r="O21" s="160"/>
      <c r="P21" s="105"/>
      <c r="Q21" s="152"/>
      <c r="R21" s="138"/>
      <c r="S21" s="105"/>
      <c r="T21" s="105">
        <v>20</v>
      </c>
      <c r="U21" s="105"/>
      <c r="V21" s="137"/>
      <c r="W21" s="138"/>
      <c r="X21" s="137"/>
      <c r="Y21" s="138"/>
      <c r="Z21" s="105"/>
      <c r="AA21" s="105"/>
      <c r="AB21" s="118"/>
      <c r="AC21" s="118"/>
      <c r="AD21" s="144">
        <v>40878</v>
      </c>
      <c r="AE21" s="108" t="s">
        <v>6077</v>
      </c>
    </row>
    <row r="22" spans="1:31" ht="27" customHeight="1" x14ac:dyDescent="0.15">
      <c r="A22" s="105">
        <v>1110201280</v>
      </c>
      <c r="B22" s="161" t="s">
        <v>1826</v>
      </c>
      <c r="C22" s="162" t="s">
        <v>1825</v>
      </c>
      <c r="D22" s="108" t="s">
        <v>68</v>
      </c>
      <c r="E22" s="108" t="s">
        <v>1938</v>
      </c>
      <c r="F22" s="139" t="s">
        <v>1939</v>
      </c>
      <c r="G22" s="140" t="s">
        <v>1940</v>
      </c>
      <c r="H22" s="140" t="s">
        <v>1827</v>
      </c>
      <c r="I22" s="116"/>
      <c r="J22" s="154"/>
      <c r="K22" s="154"/>
      <c r="L22" s="154"/>
      <c r="M22" s="154" t="s">
        <v>1920</v>
      </c>
      <c r="N22" s="143"/>
      <c r="O22" s="138"/>
      <c r="P22" s="105"/>
      <c r="Q22" s="137"/>
      <c r="R22" s="138"/>
      <c r="S22" s="105"/>
      <c r="T22" s="105"/>
      <c r="U22" s="105"/>
      <c r="V22" s="116"/>
      <c r="W22" s="117"/>
      <c r="X22" s="116"/>
      <c r="Y22" s="138"/>
      <c r="Z22" s="105"/>
      <c r="AA22" s="105">
        <v>20</v>
      </c>
      <c r="AB22" s="105"/>
      <c r="AC22" s="105"/>
      <c r="AD22" s="144">
        <v>41000</v>
      </c>
      <c r="AE22" s="108" t="s">
        <v>1941</v>
      </c>
    </row>
    <row r="23" spans="1:31" ht="27" customHeight="1" x14ac:dyDescent="0.15">
      <c r="A23" s="105">
        <v>1110201298</v>
      </c>
      <c r="B23" s="106" t="s">
        <v>11686</v>
      </c>
      <c r="C23" s="107" t="s">
        <v>5938</v>
      </c>
      <c r="D23" s="108" t="s">
        <v>5197</v>
      </c>
      <c r="E23" s="108" t="s">
        <v>6092</v>
      </c>
      <c r="F23" s="139" t="s">
        <v>5939</v>
      </c>
      <c r="G23" s="140" t="s">
        <v>5940</v>
      </c>
      <c r="H23" s="140" t="s">
        <v>5941</v>
      </c>
      <c r="I23" s="141"/>
      <c r="J23" s="142"/>
      <c r="K23" s="142"/>
      <c r="L23" s="142"/>
      <c r="M23" s="142" t="s">
        <v>4614</v>
      </c>
      <c r="N23" s="143" t="s">
        <v>4614</v>
      </c>
      <c r="O23" s="138"/>
      <c r="P23" s="105"/>
      <c r="Q23" s="137"/>
      <c r="R23" s="138"/>
      <c r="S23" s="105"/>
      <c r="T23" s="105">
        <v>20</v>
      </c>
      <c r="U23" s="105"/>
      <c r="V23" s="137"/>
      <c r="W23" s="138"/>
      <c r="X23" s="137"/>
      <c r="Y23" s="138"/>
      <c r="Z23" s="105"/>
      <c r="AA23" s="105"/>
      <c r="AB23" s="105"/>
      <c r="AC23" s="105"/>
      <c r="AD23" s="144" t="s">
        <v>5942</v>
      </c>
      <c r="AE23" s="108" t="s">
        <v>6093</v>
      </c>
    </row>
    <row r="24" spans="1:31" ht="27" customHeight="1" x14ac:dyDescent="0.15">
      <c r="A24" s="105">
        <v>1110201504</v>
      </c>
      <c r="B24" s="130" t="s">
        <v>2242</v>
      </c>
      <c r="C24" s="107" t="s">
        <v>2243</v>
      </c>
      <c r="D24" s="108" t="s">
        <v>68</v>
      </c>
      <c r="E24" s="108" t="s">
        <v>2244</v>
      </c>
      <c r="F24" s="139" t="s">
        <v>2245</v>
      </c>
      <c r="G24" s="140" t="s">
        <v>2246</v>
      </c>
      <c r="H24" s="140" t="s">
        <v>2247</v>
      </c>
      <c r="I24" s="141"/>
      <c r="J24" s="142"/>
      <c r="K24" s="142"/>
      <c r="L24" s="142"/>
      <c r="M24" s="142" t="s">
        <v>2241</v>
      </c>
      <c r="N24" s="143"/>
      <c r="O24" s="138"/>
      <c r="P24" s="105"/>
      <c r="Q24" s="137"/>
      <c r="R24" s="138"/>
      <c r="S24" s="105"/>
      <c r="T24" s="105">
        <v>30</v>
      </c>
      <c r="U24" s="105"/>
      <c r="V24" s="116"/>
      <c r="W24" s="117"/>
      <c r="X24" s="116"/>
      <c r="Y24" s="138"/>
      <c r="Z24" s="105"/>
      <c r="AA24" s="105">
        <v>15</v>
      </c>
      <c r="AB24" s="105"/>
      <c r="AC24" s="105"/>
      <c r="AD24" s="144">
        <v>41518</v>
      </c>
      <c r="AE24" s="108" t="s">
        <v>2248</v>
      </c>
    </row>
    <row r="25" spans="1:31" s="65" customFormat="1" ht="27" customHeight="1" x14ac:dyDescent="0.15">
      <c r="A25" s="105">
        <v>1110201561</v>
      </c>
      <c r="B25" s="130" t="s">
        <v>2311</v>
      </c>
      <c r="C25" s="108" t="s">
        <v>2312</v>
      </c>
      <c r="D25" s="108" t="s">
        <v>68</v>
      </c>
      <c r="E25" s="108" t="s">
        <v>2313</v>
      </c>
      <c r="F25" s="131" t="s">
        <v>2314</v>
      </c>
      <c r="G25" s="132" t="s">
        <v>2315</v>
      </c>
      <c r="H25" s="132" t="s">
        <v>2316</v>
      </c>
      <c r="I25" s="133"/>
      <c r="J25" s="134"/>
      <c r="K25" s="134"/>
      <c r="L25" s="134" t="s">
        <v>2317</v>
      </c>
      <c r="M25" s="134" t="s">
        <v>2317</v>
      </c>
      <c r="N25" s="135" t="s">
        <v>2317</v>
      </c>
      <c r="O25" s="136" t="s">
        <v>2317</v>
      </c>
      <c r="P25" s="105"/>
      <c r="Q25" s="137"/>
      <c r="R25" s="138"/>
      <c r="S25" s="105"/>
      <c r="T25" s="105"/>
      <c r="U25" s="105"/>
      <c r="V25" s="137"/>
      <c r="W25" s="138"/>
      <c r="X25" s="137">
        <v>20</v>
      </c>
      <c r="Y25" s="138"/>
      <c r="Z25" s="105"/>
      <c r="AA25" s="105"/>
      <c r="AB25" s="105"/>
      <c r="AC25" s="105"/>
      <c r="AD25" s="118">
        <v>41609</v>
      </c>
      <c r="AE25" s="108" t="s">
        <v>2318</v>
      </c>
    </row>
    <row r="26" spans="1:31" ht="27" customHeight="1" x14ac:dyDescent="0.15">
      <c r="A26" s="105">
        <v>1110201561</v>
      </c>
      <c r="B26" s="106" t="s">
        <v>5244</v>
      </c>
      <c r="C26" s="107" t="s">
        <v>4650</v>
      </c>
      <c r="D26" s="108" t="s">
        <v>4643</v>
      </c>
      <c r="E26" s="108" t="s">
        <v>4651</v>
      </c>
      <c r="F26" s="139" t="s">
        <v>4652</v>
      </c>
      <c r="G26" s="140" t="s">
        <v>4653</v>
      </c>
      <c r="H26" s="140" t="s">
        <v>4654</v>
      </c>
      <c r="I26" s="141"/>
      <c r="J26" s="142"/>
      <c r="K26" s="142"/>
      <c r="L26" s="142" t="s">
        <v>4655</v>
      </c>
      <c r="M26" s="142" t="s">
        <v>4655</v>
      </c>
      <c r="N26" s="143" t="s">
        <v>4655</v>
      </c>
      <c r="O26" s="138" t="s">
        <v>4655</v>
      </c>
      <c r="P26" s="105"/>
      <c r="Q26" s="137"/>
      <c r="R26" s="138"/>
      <c r="S26" s="105"/>
      <c r="T26" s="105"/>
      <c r="U26" s="105"/>
      <c r="V26" s="137"/>
      <c r="W26" s="138"/>
      <c r="X26" s="137"/>
      <c r="Y26" s="138"/>
      <c r="Z26" s="105"/>
      <c r="AA26" s="105"/>
      <c r="AB26" s="105" t="s">
        <v>4655</v>
      </c>
      <c r="AC26" s="105"/>
      <c r="AD26" s="144">
        <v>43374</v>
      </c>
      <c r="AE26" s="108" t="s">
        <v>4656</v>
      </c>
    </row>
    <row r="27" spans="1:31" ht="27" customHeight="1" x14ac:dyDescent="0.15">
      <c r="A27" s="105">
        <v>1110201561</v>
      </c>
      <c r="B27" s="106" t="s">
        <v>11688</v>
      </c>
      <c r="C27" s="107" t="s">
        <v>10766</v>
      </c>
      <c r="D27" s="108" t="s">
        <v>10761</v>
      </c>
      <c r="E27" s="108" t="s">
        <v>10774</v>
      </c>
      <c r="F27" s="139" t="s">
        <v>6285</v>
      </c>
      <c r="G27" s="140" t="s">
        <v>10767</v>
      </c>
      <c r="H27" s="140" t="s">
        <v>10768</v>
      </c>
      <c r="I27" s="141"/>
      <c r="J27" s="142"/>
      <c r="K27" s="142"/>
      <c r="L27" s="142" t="s">
        <v>765</v>
      </c>
      <c r="M27" s="142" t="s">
        <v>765</v>
      </c>
      <c r="N27" s="143" t="s">
        <v>765</v>
      </c>
      <c r="O27" s="138" t="s">
        <v>765</v>
      </c>
      <c r="P27" s="105"/>
      <c r="Q27" s="137"/>
      <c r="R27" s="138"/>
      <c r="S27" s="105"/>
      <c r="T27" s="105"/>
      <c r="U27" s="105"/>
      <c r="V27" s="137"/>
      <c r="W27" s="138"/>
      <c r="X27" s="137"/>
      <c r="Y27" s="138"/>
      <c r="Z27" s="105"/>
      <c r="AA27" s="105"/>
      <c r="AB27" s="105"/>
      <c r="AC27" s="105">
        <v>10</v>
      </c>
      <c r="AD27" s="144">
        <v>45931</v>
      </c>
      <c r="AE27" s="108" t="s">
        <v>10769</v>
      </c>
    </row>
    <row r="28" spans="1:31" s="65" customFormat="1" ht="27" customHeight="1" x14ac:dyDescent="0.15">
      <c r="A28" s="105">
        <v>1110201579</v>
      </c>
      <c r="B28" s="130" t="s">
        <v>2319</v>
      </c>
      <c r="C28" s="108" t="s">
        <v>2320</v>
      </c>
      <c r="D28" s="108" t="s">
        <v>68</v>
      </c>
      <c r="E28" s="108" t="s">
        <v>2321</v>
      </c>
      <c r="F28" s="131" t="s">
        <v>2322</v>
      </c>
      <c r="G28" s="132" t="s">
        <v>2323</v>
      </c>
      <c r="H28" s="132" t="s">
        <v>2324</v>
      </c>
      <c r="I28" s="133"/>
      <c r="J28" s="134"/>
      <c r="K28" s="134"/>
      <c r="L28" s="134"/>
      <c r="M28" s="134" t="s">
        <v>2317</v>
      </c>
      <c r="N28" s="135" t="s">
        <v>2317</v>
      </c>
      <c r="O28" s="136" t="s">
        <v>2317</v>
      </c>
      <c r="P28" s="105"/>
      <c r="Q28" s="137"/>
      <c r="R28" s="138"/>
      <c r="S28" s="105"/>
      <c r="T28" s="105"/>
      <c r="U28" s="105"/>
      <c r="V28" s="137"/>
      <c r="W28" s="138"/>
      <c r="X28" s="137">
        <v>6</v>
      </c>
      <c r="Y28" s="138"/>
      <c r="Z28" s="105"/>
      <c r="AA28" s="105">
        <v>24</v>
      </c>
      <c r="AB28" s="105"/>
      <c r="AC28" s="105"/>
      <c r="AD28" s="118">
        <v>41609</v>
      </c>
      <c r="AE28" s="108" t="s">
        <v>2325</v>
      </c>
    </row>
    <row r="29" spans="1:31" s="65" customFormat="1" ht="27" customHeight="1" x14ac:dyDescent="0.15">
      <c r="A29" s="105">
        <v>1110201629</v>
      </c>
      <c r="B29" s="130" t="s">
        <v>2393</v>
      </c>
      <c r="C29" s="108" t="s">
        <v>2394</v>
      </c>
      <c r="D29" s="108" t="s">
        <v>68</v>
      </c>
      <c r="E29" s="108" t="s">
        <v>2395</v>
      </c>
      <c r="F29" s="131" t="s">
        <v>2396</v>
      </c>
      <c r="G29" s="132" t="s">
        <v>2397</v>
      </c>
      <c r="H29" s="132" t="s">
        <v>2398</v>
      </c>
      <c r="I29" s="133"/>
      <c r="J29" s="134"/>
      <c r="K29" s="134"/>
      <c r="L29" s="134" t="s">
        <v>2399</v>
      </c>
      <c r="M29" s="134" t="s">
        <v>2399</v>
      </c>
      <c r="N29" s="135" t="s">
        <v>2399</v>
      </c>
      <c r="O29" s="136"/>
      <c r="P29" s="105"/>
      <c r="Q29" s="137"/>
      <c r="R29" s="138"/>
      <c r="S29" s="105"/>
      <c r="T29" s="105"/>
      <c r="U29" s="105"/>
      <c r="V29" s="137"/>
      <c r="W29" s="138"/>
      <c r="X29" s="152">
        <v>15</v>
      </c>
      <c r="Y29" s="138"/>
      <c r="Z29" s="105"/>
      <c r="AA29" s="105"/>
      <c r="AB29" s="105"/>
      <c r="AC29" s="105"/>
      <c r="AD29" s="118">
        <v>41730</v>
      </c>
      <c r="AE29" s="108" t="s">
        <v>2400</v>
      </c>
    </row>
    <row r="30" spans="1:31" ht="27" customHeight="1" x14ac:dyDescent="0.15">
      <c r="A30" s="105">
        <v>1110201629</v>
      </c>
      <c r="B30" s="106" t="s">
        <v>11651</v>
      </c>
      <c r="C30" s="107" t="s">
        <v>5196</v>
      </c>
      <c r="D30" s="108" t="s">
        <v>5197</v>
      </c>
      <c r="E30" s="108" t="s">
        <v>5203</v>
      </c>
      <c r="F30" s="139" t="s">
        <v>5198</v>
      </c>
      <c r="G30" s="140" t="s">
        <v>5199</v>
      </c>
      <c r="H30" s="140" t="s">
        <v>5200</v>
      </c>
      <c r="I30" s="141"/>
      <c r="J30" s="142"/>
      <c r="K30" s="142"/>
      <c r="L30" s="134" t="s">
        <v>49</v>
      </c>
      <c r="M30" s="134" t="s">
        <v>49</v>
      </c>
      <c r="N30" s="135" t="s">
        <v>49</v>
      </c>
      <c r="O30" s="138"/>
      <c r="P30" s="105"/>
      <c r="Q30" s="137"/>
      <c r="R30" s="138"/>
      <c r="S30" s="105"/>
      <c r="T30" s="105"/>
      <c r="U30" s="105"/>
      <c r="V30" s="137"/>
      <c r="W30" s="138"/>
      <c r="X30" s="137"/>
      <c r="Y30" s="138"/>
      <c r="Z30" s="105"/>
      <c r="AA30" s="105"/>
      <c r="AB30" s="105" t="s">
        <v>765</v>
      </c>
      <c r="AC30" s="105"/>
      <c r="AD30" s="144" t="s">
        <v>5201</v>
      </c>
      <c r="AE30" s="108" t="s">
        <v>5202</v>
      </c>
    </row>
    <row r="31" spans="1:31" ht="27" customHeight="1" x14ac:dyDescent="0.15">
      <c r="A31" s="105">
        <v>1110201629</v>
      </c>
      <c r="B31" s="106" t="s">
        <v>12065</v>
      </c>
      <c r="C31" s="107" t="s">
        <v>10770</v>
      </c>
      <c r="D31" s="108" t="s">
        <v>10761</v>
      </c>
      <c r="E31" s="108" t="s">
        <v>10775</v>
      </c>
      <c r="F31" s="139" t="s">
        <v>9597</v>
      </c>
      <c r="G31" s="140" t="s">
        <v>10771</v>
      </c>
      <c r="H31" s="140" t="s">
        <v>10772</v>
      </c>
      <c r="I31" s="141"/>
      <c r="J31" s="142"/>
      <c r="K31" s="142"/>
      <c r="L31" s="134" t="s">
        <v>765</v>
      </c>
      <c r="M31" s="134" t="s">
        <v>765</v>
      </c>
      <c r="N31" s="135" t="s">
        <v>765</v>
      </c>
      <c r="O31" s="138"/>
      <c r="P31" s="105"/>
      <c r="Q31" s="137"/>
      <c r="R31" s="138"/>
      <c r="S31" s="105"/>
      <c r="T31" s="105"/>
      <c r="U31" s="105"/>
      <c r="V31" s="137"/>
      <c r="W31" s="138"/>
      <c r="X31" s="137"/>
      <c r="Y31" s="138"/>
      <c r="Z31" s="105"/>
      <c r="AA31" s="105"/>
      <c r="AB31" s="105"/>
      <c r="AC31" s="105">
        <v>10</v>
      </c>
      <c r="AD31" s="144">
        <v>45931</v>
      </c>
      <c r="AE31" s="108" t="s">
        <v>10773</v>
      </c>
    </row>
    <row r="32" spans="1:31" s="65" customFormat="1" ht="27" customHeight="1" x14ac:dyDescent="0.15">
      <c r="A32" s="105">
        <v>1110201660</v>
      </c>
      <c r="B32" s="130" t="s">
        <v>2402</v>
      </c>
      <c r="C32" s="108" t="s">
        <v>2403</v>
      </c>
      <c r="D32" s="108" t="s">
        <v>68</v>
      </c>
      <c r="E32" s="108" t="s">
        <v>2404</v>
      </c>
      <c r="F32" s="131" t="s">
        <v>2405</v>
      </c>
      <c r="G32" s="132" t="s">
        <v>2406</v>
      </c>
      <c r="H32" s="132" t="s">
        <v>2407</v>
      </c>
      <c r="I32" s="133"/>
      <c r="J32" s="134"/>
      <c r="K32" s="134"/>
      <c r="L32" s="134"/>
      <c r="M32" s="134" t="s">
        <v>2401</v>
      </c>
      <c r="N32" s="135"/>
      <c r="O32" s="136"/>
      <c r="P32" s="105">
        <v>60</v>
      </c>
      <c r="Q32" s="137" t="s">
        <v>3023</v>
      </c>
      <c r="R32" s="138">
        <v>4</v>
      </c>
      <c r="S32" s="105"/>
      <c r="T32" s="105">
        <v>80</v>
      </c>
      <c r="U32" s="105"/>
      <c r="V32" s="137"/>
      <c r="W32" s="138"/>
      <c r="X32" s="152"/>
      <c r="Y32" s="138"/>
      <c r="Z32" s="105"/>
      <c r="AA32" s="105"/>
      <c r="AB32" s="105"/>
      <c r="AC32" s="105"/>
      <c r="AD32" s="118">
        <v>41730</v>
      </c>
      <c r="AE32" s="108" t="s">
        <v>2408</v>
      </c>
    </row>
    <row r="33" spans="1:31" ht="27" customHeight="1" x14ac:dyDescent="0.15">
      <c r="A33" s="105">
        <v>1110201793</v>
      </c>
      <c r="B33" s="130" t="s">
        <v>11689</v>
      </c>
      <c r="C33" s="108" t="s">
        <v>6086</v>
      </c>
      <c r="D33" s="108" t="s">
        <v>5197</v>
      </c>
      <c r="E33" s="108" t="s">
        <v>6087</v>
      </c>
      <c r="F33" s="131" t="s">
        <v>4657</v>
      </c>
      <c r="G33" s="132" t="s">
        <v>6088</v>
      </c>
      <c r="H33" s="132" t="s">
        <v>6089</v>
      </c>
      <c r="I33" s="141"/>
      <c r="J33" s="142"/>
      <c r="K33" s="142"/>
      <c r="L33" s="142"/>
      <c r="M33" s="142"/>
      <c r="N33" s="143" t="s">
        <v>765</v>
      </c>
      <c r="O33" s="138"/>
      <c r="P33" s="105"/>
      <c r="Q33" s="152"/>
      <c r="R33" s="138"/>
      <c r="S33" s="105"/>
      <c r="T33" s="105"/>
      <c r="U33" s="105"/>
      <c r="V33" s="137"/>
      <c r="W33" s="138"/>
      <c r="X33" s="137">
        <v>20</v>
      </c>
      <c r="Y33" s="138"/>
      <c r="Z33" s="105"/>
      <c r="AA33" s="105"/>
      <c r="AB33" s="118"/>
      <c r="AC33" s="118"/>
      <c r="AD33" s="144">
        <v>41913</v>
      </c>
      <c r="AE33" s="108" t="s">
        <v>6090</v>
      </c>
    </row>
    <row r="34" spans="1:31" ht="27" customHeight="1" x14ac:dyDescent="0.15">
      <c r="A34" s="105">
        <v>1110201793</v>
      </c>
      <c r="B34" s="130" t="s">
        <v>11689</v>
      </c>
      <c r="C34" s="108" t="s">
        <v>6086</v>
      </c>
      <c r="D34" s="108" t="s">
        <v>5197</v>
      </c>
      <c r="E34" s="108" t="s">
        <v>6087</v>
      </c>
      <c r="F34" s="131" t="s">
        <v>4657</v>
      </c>
      <c r="G34" s="132" t="s">
        <v>6088</v>
      </c>
      <c r="H34" s="132" t="s">
        <v>6089</v>
      </c>
      <c r="I34" s="141"/>
      <c r="J34" s="142"/>
      <c r="K34" s="142"/>
      <c r="L34" s="142"/>
      <c r="M34" s="142"/>
      <c r="N34" s="143" t="s">
        <v>765</v>
      </c>
      <c r="O34" s="138"/>
      <c r="P34" s="105"/>
      <c r="Q34" s="152"/>
      <c r="R34" s="138"/>
      <c r="S34" s="105"/>
      <c r="T34" s="105"/>
      <c r="U34" s="105"/>
      <c r="V34" s="137"/>
      <c r="W34" s="138"/>
      <c r="X34" s="137"/>
      <c r="Y34" s="138"/>
      <c r="Z34" s="105"/>
      <c r="AA34" s="105"/>
      <c r="AB34" s="118" t="s">
        <v>4614</v>
      </c>
      <c r="AC34" s="118"/>
      <c r="AD34" s="144">
        <v>43374</v>
      </c>
      <c r="AE34" s="108" t="s">
        <v>6091</v>
      </c>
    </row>
    <row r="35" spans="1:31" ht="27" customHeight="1" x14ac:dyDescent="0.15">
      <c r="A35" s="105">
        <v>1110201843</v>
      </c>
      <c r="B35" s="130" t="s">
        <v>11690</v>
      </c>
      <c r="C35" s="108" t="s">
        <v>7414</v>
      </c>
      <c r="D35" s="108" t="s">
        <v>5197</v>
      </c>
      <c r="E35" s="108" t="s">
        <v>9795</v>
      </c>
      <c r="F35" s="131">
        <v>3330831</v>
      </c>
      <c r="G35" s="132" t="s">
        <v>7415</v>
      </c>
      <c r="H35" s="132" t="s">
        <v>7416</v>
      </c>
      <c r="I35" s="141"/>
      <c r="J35" s="142"/>
      <c r="K35" s="142"/>
      <c r="L35" s="142"/>
      <c r="M35" s="142" t="s">
        <v>765</v>
      </c>
      <c r="N35" s="143" t="s">
        <v>765</v>
      </c>
      <c r="O35" s="138"/>
      <c r="P35" s="105"/>
      <c r="Q35" s="137"/>
      <c r="R35" s="138"/>
      <c r="S35" s="105"/>
      <c r="T35" s="105"/>
      <c r="U35" s="105"/>
      <c r="V35" s="137"/>
      <c r="W35" s="138"/>
      <c r="X35" s="137"/>
      <c r="Y35" s="138"/>
      <c r="Z35" s="105"/>
      <c r="AA35" s="137">
        <v>40</v>
      </c>
      <c r="AB35" s="105"/>
      <c r="AC35" s="105"/>
      <c r="AD35" s="144">
        <v>42005</v>
      </c>
      <c r="AE35" s="108" t="s">
        <v>7417</v>
      </c>
    </row>
    <row r="36" spans="1:31" ht="27" customHeight="1" x14ac:dyDescent="0.15">
      <c r="A36" s="105">
        <v>1110201900</v>
      </c>
      <c r="B36" s="106" t="s">
        <v>3242</v>
      </c>
      <c r="C36" s="107" t="s">
        <v>2966</v>
      </c>
      <c r="D36" s="108" t="s">
        <v>68</v>
      </c>
      <c r="E36" s="108" t="s">
        <v>2967</v>
      </c>
      <c r="F36" s="139" t="s">
        <v>2968</v>
      </c>
      <c r="G36" s="140" t="s">
        <v>2969</v>
      </c>
      <c r="H36" s="140" t="s">
        <v>2969</v>
      </c>
      <c r="I36" s="141"/>
      <c r="J36" s="142"/>
      <c r="K36" s="142"/>
      <c r="L36" s="142"/>
      <c r="M36" s="142" t="s">
        <v>4044</v>
      </c>
      <c r="N36" s="143" t="s">
        <v>2959</v>
      </c>
      <c r="O36" s="138"/>
      <c r="P36" s="105"/>
      <c r="Q36" s="137"/>
      <c r="R36" s="138"/>
      <c r="S36" s="105"/>
      <c r="T36" s="105"/>
      <c r="U36" s="105"/>
      <c r="V36" s="116"/>
      <c r="W36" s="117"/>
      <c r="X36" s="116"/>
      <c r="Y36" s="138"/>
      <c r="Z36" s="105"/>
      <c r="AA36" s="105">
        <v>20</v>
      </c>
      <c r="AB36" s="105"/>
      <c r="AC36" s="105"/>
      <c r="AD36" s="144">
        <v>42125</v>
      </c>
      <c r="AE36" s="108" t="s">
        <v>2970</v>
      </c>
    </row>
    <row r="37" spans="1:31" s="65" customFormat="1" ht="27" customHeight="1" x14ac:dyDescent="0.15">
      <c r="A37" s="132">
        <v>1110201918</v>
      </c>
      <c r="B37" s="130" t="s">
        <v>2863</v>
      </c>
      <c r="C37" s="108" t="s">
        <v>2960</v>
      </c>
      <c r="D37" s="108" t="s">
        <v>68</v>
      </c>
      <c r="E37" s="108" t="s">
        <v>2961</v>
      </c>
      <c r="F37" s="131" t="s">
        <v>2962</v>
      </c>
      <c r="G37" s="132" t="s">
        <v>2963</v>
      </c>
      <c r="H37" s="132" t="s">
        <v>2964</v>
      </c>
      <c r="I37" s="133"/>
      <c r="J37" s="134" t="s">
        <v>2959</v>
      </c>
      <c r="K37" s="134" t="s">
        <v>2959</v>
      </c>
      <c r="L37" s="134" t="s">
        <v>2959</v>
      </c>
      <c r="M37" s="134" t="s">
        <v>2959</v>
      </c>
      <c r="N37" s="135" t="s">
        <v>2959</v>
      </c>
      <c r="O37" s="136" t="s">
        <v>2959</v>
      </c>
      <c r="P37" s="105"/>
      <c r="Q37" s="152"/>
      <c r="R37" s="138"/>
      <c r="S37" s="132"/>
      <c r="T37" s="105"/>
      <c r="U37" s="132"/>
      <c r="V37" s="116"/>
      <c r="W37" s="117"/>
      <c r="X37" s="152"/>
      <c r="Y37" s="136"/>
      <c r="Z37" s="132">
        <v>20</v>
      </c>
      <c r="AA37" s="132"/>
      <c r="AB37" s="132"/>
      <c r="AC37" s="132"/>
      <c r="AD37" s="155">
        <v>42125</v>
      </c>
      <c r="AE37" s="108" t="s">
        <v>2965</v>
      </c>
    </row>
    <row r="38" spans="1:31" s="65" customFormat="1" ht="27" customHeight="1" x14ac:dyDescent="0.15">
      <c r="A38" s="105">
        <v>1110201926</v>
      </c>
      <c r="B38" s="130" t="s">
        <v>3241</v>
      </c>
      <c r="C38" s="108" t="s">
        <v>2953</v>
      </c>
      <c r="D38" s="108" t="s">
        <v>68</v>
      </c>
      <c r="E38" s="108" t="s">
        <v>2954</v>
      </c>
      <c r="F38" s="131" t="s">
        <v>2955</v>
      </c>
      <c r="G38" s="132" t="s">
        <v>2956</v>
      </c>
      <c r="H38" s="132" t="s">
        <v>2957</v>
      </c>
      <c r="I38" s="133"/>
      <c r="J38" s="134"/>
      <c r="K38" s="134"/>
      <c r="L38" s="134"/>
      <c r="M38" s="134" t="s">
        <v>49</v>
      </c>
      <c r="N38" s="135"/>
      <c r="O38" s="136"/>
      <c r="P38" s="105"/>
      <c r="Q38" s="137"/>
      <c r="R38" s="138"/>
      <c r="S38" s="105"/>
      <c r="T38" s="105">
        <v>20</v>
      </c>
      <c r="U38" s="105"/>
      <c r="V38" s="137"/>
      <c r="W38" s="138"/>
      <c r="X38" s="137"/>
      <c r="Y38" s="138"/>
      <c r="Z38" s="105"/>
      <c r="AA38" s="105"/>
      <c r="AB38" s="105"/>
      <c r="AC38" s="105"/>
      <c r="AD38" s="118">
        <v>42125</v>
      </c>
      <c r="AE38" s="108" t="s">
        <v>2958</v>
      </c>
    </row>
    <row r="39" spans="1:31" s="65" customFormat="1" ht="27" customHeight="1" x14ac:dyDescent="0.15">
      <c r="A39" s="105">
        <v>1110201991</v>
      </c>
      <c r="B39" s="130" t="s">
        <v>3092</v>
      </c>
      <c r="C39" s="108" t="s">
        <v>3135</v>
      </c>
      <c r="D39" s="108" t="s">
        <v>68</v>
      </c>
      <c r="E39" s="108" t="s">
        <v>3093</v>
      </c>
      <c r="F39" s="131" t="s">
        <v>3094</v>
      </c>
      <c r="G39" s="132" t="s">
        <v>3095</v>
      </c>
      <c r="H39" s="132" t="s">
        <v>3096</v>
      </c>
      <c r="I39" s="133"/>
      <c r="J39" s="134" t="s">
        <v>3097</v>
      </c>
      <c r="K39" s="134"/>
      <c r="L39" s="134"/>
      <c r="M39" s="134" t="s">
        <v>3097</v>
      </c>
      <c r="N39" s="135"/>
      <c r="O39" s="136"/>
      <c r="P39" s="105"/>
      <c r="Q39" s="137"/>
      <c r="R39" s="138"/>
      <c r="S39" s="105"/>
      <c r="T39" s="105">
        <v>20</v>
      </c>
      <c r="U39" s="105"/>
      <c r="V39" s="137"/>
      <c r="W39" s="138"/>
      <c r="X39" s="137"/>
      <c r="Y39" s="138"/>
      <c r="Z39" s="105"/>
      <c r="AA39" s="105"/>
      <c r="AB39" s="105"/>
      <c r="AC39" s="105"/>
      <c r="AD39" s="118">
        <v>42217</v>
      </c>
      <c r="AE39" s="108" t="s">
        <v>3098</v>
      </c>
    </row>
    <row r="40" spans="1:31" s="65" customFormat="1" ht="27" customHeight="1" x14ac:dyDescent="0.15">
      <c r="A40" s="132">
        <v>1110202130</v>
      </c>
      <c r="B40" s="130" t="s">
        <v>3260</v>
      </c>
      <c r="C40" s="108" t="s">
        <v>3261</v>
      </c>
      <c r="D40" s="108" t="s">
        <v>68</v>
      </c>
      <c r="E40" s="108" t="s">
        <v>3262</v>
      </c>
      <c r="F40" s="131" t="s">
        <v>3263</v>
      </c>
      <c r="G40" s="132" t="s">
        <v>3264</v>
      </c>
      <c r="H40" s="132" t="s">
        <v>3265</v>
      </c>
      <c r="I40" s="133"/>
      <c r="J40" s="134"/>
      <c r="K40" s="134"/>
      <c r="L40" s="134" t="s">
        <v>49</v>
      </c>
      <c r="M40" s="134" t="s">
        <v>49</v>
      </c>
      <c r="N40" s="135" t="s">
        <v>49</v>
      </c>
      <c r="O40" s="136"/>
      <c r="P40" s="105"/>
      <c r="Q40" s="152"/>
      <c r="R40" s="138"/>
      <c r="S40" s="132"/>
      <c r="T40" s="105"/>
      <c r="U40" s="132"/>
      <c r="V40" s="116"/>
      <c r="W40" s="117"/>
      <c r="X40" s="152"/>
      <c r="Y40" s="136"/>
      <c r="Z40" s="132">
        <v>16</v>
      </c>
      <c r="AA40" s="132"/>
      <c r="AB40" s="132"/>
      <c r="AC40" s="132"/>
      <c r="AD40" s="155">
        <v>42401</v>
      </c>
      <c r="AE40" s="108" t="s">
        <v>3266</v>
      </c>
    </row>
    <row r="41" spans="1:31" s="65" customFormat="1" ht="27" customHeight="1" x14ac:dyDescent="0.15">
      <c r="A41" s="105">
        <v>1110202197</v>
      </c>
      <c r="B41" s="106" t="s">
        <v>11690</v>
      </c>
      <c r="C41" s="107" t="s">
        <v>8179</v>
      </c>
      <c r="D41" s="108" t="s">
        <v>4643</v>
      </c>
      <c r="E41" s="108" t="s">
        <v>9793</v>
      </c>
      <c r="F41" s="139" t="s">
        <v>7418</v>
      </c>
      <c r="G41" s="140" t="s">
        <v>8180</v>
      </c>
      <c r="H41" s="140" t="s">
        <v>8180</v>
      </c>
      <c r="I41" s="141" t="s">
        <v>765</v>
      </c>
      <c r="J41" s="142"/>
      <c r="K41" s="142"/>
      <c r="L41" s="142"/>
      <c r="M41" s="142" t="s">
        <v>765</v>
      </c>
      <c r="N41" s="143"/>
      <c r="O41" s="138"/>
      <c r="P41" s="105"/>
      <c r="Q41" s="137"/>
      <c r="R41" s="138"/>
      <c r="S41" s="105"/>
      <c r="T41" s="105">
        <v>35</v>
      </c>
      <c r="U41" s="105"/>
      <c r="V41" s="137"/>
      <c r="W41" s="138"/>
      <c r="X41" s="137"/>
      <c r="Y41" s="138"/>
      <c r="Z41" s="105"/>
      <c r="AA41" s="105"/>
      <c r="AB41" s="105"/>
      <c r="AC41" s="105"/>
      <c r="AD41" s="144">
        <v>42461</v>
      </c>
      <c r="AE41" s="108" t="s">
        <v>8181</v>
      </c>
    </row>
    <row r="42" spans="1:31" ht="26.25" customHeight="1" x14ac:dyDescent="0.15">
      <c r="A42" s="76">
        <v>1110202262</v>
      </c>
      <c r="B42" s="163" t="s">
        <v>11691</v>
      </c>
      <c r="C42" s="164" t="s">
        <v>10388</v>
      </c>
      <c r="D42" s="165" t="s">
        <v>10384</v>
      </c>
      <c r="E42" s="166" t="s">
        <v>11622</v>
      </c>
      <c r="F42" s="167" t="s">
        <v>10389</v>
      </c>
      <c r="G42" s="168" t="s">
        <v>10390</v>
      </c>
      <c r="H42" s="168" t="s">
        <v>10390</v>
      </c>
      <c r="I42" s="169"/>
      <c r="J42" s="170" t="s">
        <v>765</v>
      </c>
      <c r="K42" s="170" t="s">
        <v>765</v>
      </c>
      <c r="L42" s="170" t="s">
        <v>765</v>
      </c>
      <c r="M42" s="170" t="s">
        <v>765</v>
      </c>
      <c r="N42" s="148" t="s">
        <v>765</v>
      </c>
      <c r="O42" s="148" t="s">
        <v>765</v>
      </c>
      <c r="P42" s="76"/>
      <c r="Q42" s="70"/>
      <c r="R42" s="92"/>
      <c r="S42" s="76"/>
      <c r="T42" s="76"/>
      <c r="U42" s="76"/>
      <c r="V42" s="70"/>
      <c r="W42" s="92"/>
      <c r="X42" s="70"/>
      <c r="Y42" s="92"/>
      <c r="Z42" s="76">
        <v>20</v>
      </c>
      <c r="AA42" s="76"/>
      <c r="AB42" s="76"/>
      <c r="AC42" s="76"/>
      <c r="AD42" s="145">
        <v>42583</v>
      </c>
      <c r="AE42" s="166" t="s">
        <v>10391</v>
      </c>
    </row>
    <row r="43" spans="1:31" ht="27" customHeight="1" x14ac:dyDescent="0.15">
      <c r="A43" s="105">
        <v>1110202346</v>
      </c>
      <c r="B43" s="106" t="s">
        <v>11692</v>
      </c>
      <c r="C43" s="107" t="s">
        <v>6078</v>
      </c>
      <c r="D43" s="108" t="s">
        <v>4643</v>
      </c>
      <c r="E43" s="108" t="s">
        <v>9794</v>
      </c>
      <c r="F43" s="139" t="s">
        <v>5461</v>
      </c>
      <c r="G43" s="140" t="s">
        <v>6079</v>
      </c>
      <c r="H43" s="140" t="s">
        <v>6080</v>
      </c>
      <c r="I43" s="142" t="s">
        <v>765</v>
      </c>
      <c r="J43" s="142" t="s">
        <v>765</v>
      </c>
      <c r="K43" s="142" t="s">
        <v>765</v>
      </c>
      <c r="L43" s="142" t="s">
        <v>765</v>
      </c>
      <c r="M43" s="142" t="s">
        <v>765</v>
      </c>
      <c r="N43" s="142" t="s">
        <v>765</v>
      </c>
      <c r="O43" s="142" t="s">
        <v>765</v>
      </c>
      <c r="P43" s="105"/>
      <c r="Q43" s="137"/>
      <c r="R43" s="138"/>
      <c r="S43" s="105"/>
      <c r="T43" s="105"/>
      <c r="U43" s="105"/>
      <c r="V43" s="137"/>
      <c r="W43" s="138"/>
      <c r="X43" s="137"/>
      <c r="Y43" s="138"/>
      <c r="Z43" s="105">
        <v>20</v>
      </c>
      <c r="AA43" s="105">
        <v>25</v>
      </c>
      <c r="AB43" s="105"/>
      <c r="AC43" s="105"/>
      <c r="AD43" s="144">
        <v>42795</v>
      </c>
      <c r="AE43" s="108" t="s">
        <v>8591</v>
      </c>
    </row>
    <row r="44" spans="1:31" ht="27" customHeight="1" x14ac:dyDescent="0.15">
      <c r="A44" s="105">
        <v>1110202361</v>
      </c>
      <c r="B44" s="106" t="s">
        <v>3774</v>
      </c>
      <c r="C44" s="107" t="s">
        <v>3775</v>
      </c>
      <c r="D44" s="108" t="s">
        <v>68</v>
      </c>
      <c r="E44" s="108" t="s">
        <v>3772</v>
      </c>
      <c r="F44" s="139">
        <v>3330842</v>
      </c>
      <c r="G44" s="140" t="s">
        <v>3776</v>
      </c>
      <c r="H44" s="140" t="s">
        <v>3776</v>
      </c>
      <c r="I44" s="141" t="s">
        <v>765</v>
      </c>
      <c r="J44" s="142" t="s">
        <v>765</v>
      </c>
      <c r="K44" s="142" t="s">
        <v>765</v>
      </c>
      <c r="L44" s="142" t="s">
        <v>765</v>
      </c>
      <c r="M44" s="142" t="s">
        <v>765</v>
      </c>
      <c r="N44" s="143" t="s">
        <v>765</v>
      </c>
      <c r="O44" s="138" t="s">
        <v>765</v>
      </c>
      <c r="P44" s="105"/>
      <c r="Q44" s="137"/>
      <c r="R44" s="138"/>
      <c r="S44" s="105"/>
      <c r="T44" s="105">
        <v>10</v>
      </c>
      <c r="U44" s="105"/>
      <c r="V44" s="137"/>
      <c r="W44" s="138"/>
      <c r="X44" s="137"/>
      <c r="Y44" s="138"/>
      <c r="Z44" s="105"/>
      <c r="AA44" s="105">
        <v>10</v>
      </c>
      <c r="AB44" s="105"/>
      <c r="AC44" s="105"/>
      <c r="AD44" s="144">
        <v>42826</v>
      </c>
      <c r="AE44" s="108" t="s">
        <v>3773</v>
      </c>
    </row>
    <row r="45" spans="1:31" ht="27" customHeight="1" x14ac:dyDescent="0.15">
      <c r="A45" s="105">
        <v>1110202379</v>
      </c>
      <c r="B45" s="106" t="s">
        <v>12002</v>
      </c>
      <c r="C45" s="107" t="s">
        <v>5032</v>
      </c>
      <c r="D45" s="108" t="s">
        <v>5197</v>
      </c>
      <c r="E45" s="106" t="s">
        <v>6707</v>
      </c>
      <c r="F45" s="109">
        <v>3340071</v>
      </c>
      <c r="G45" s="110" t="s">
        <v>6705</v>
      </c>
      <c r="H45" s="110" t="s">
        <v>6706</v>
      </c>
      <c r="I45" s="159"/>
      <c r="J45" s="142"/>
      <c r="K45" s="142"/>
      <c r="L45" s="142"/>
      <c r="M45" s="142" t="s">
        <v>765</v>
      </c>
      <c r="N45" s="154"/>
      <c r="O45" s="117"/>
      <c r="P45" s="105"/>
      <c r="Q45" s="116"/>
      <c r="R45" s="117"/>
      <c r="S45" s="105"/>
      <c r="T45" s="105">
        <v>30</v>
      </c>
      <c r="U45" s="105"/>
      <c r="V45" s="137"/>
      <c r="W45" s="138"/>
      <c r="X45" s="137"/>
      <c r="Y45" s="138"/>
      <c r="Z45" s="105"/>
      <c r="AA45" s="105">
        <v>19</v>
      </c>
      <c r="AB45" s="105"/>
      <c r="AC45" s="105"/>
      <c r="AD45" s="144">
        <v>42826</v>
      </c>
      <c r="AE45" s="108" t="s">
        <v>5033</v>
      </c>
    </row>
    <row r="46" spans="1:31" ht="27" customHeight="1" x14ac:dyDescent="0.15">
      <c r="A46" s="105">
        <v>1110202395</v>
      </c>
      <c r="B46" s="106" t="s">
        <v>3777</v>
      </c>
      <c r="C46" s="107" t="s">
        <v>3780</v>
      </c>
      <c r="D46" s="108" t="s">
        <v>68</v>
      </c>
      <c r="E46" s="108" t="s">
        <v>3778</v>
      </c>
      <c r="F46" s="139" t="s">
        <v>3781</v>
      </c>
      <c r="G46" s="140" t="s">
        <v>3782</v>
      </c>
      <c r="H46" s="140" t="s">
        <v>3783</v>
      </c>
      <c r="I46" s="141" t="s">
        <v>765</v>
      </c>
      <c r="J46" s="142" t="s">
        <v>765</v>
      </c>
      <c r="K46" s="142" t="s">
        <v>765</v>
      </c>
      <c r="L46" s="142" t="s">
        <v>765</v>
      </c>
      <c r="M46" s="142" t="s">
        <v>765</v>
      </c>
      <c r="N46" s="143"/>
      <c r="O46" s="138"/>
      <c r="P46" s="105"/>
      <c r="Q46" s="137"/>
      <c r="R46" s="138"/>
      <c r="S46" s="105"/>
      <c r="T46" s="105">
        <v>20</v>
      </c>
      <c r="U46" s="105"/>
      <c r="V46" s="137"/>
      <c r="W46" s="138"/>
      <c r="X46" s="137"/>
      <c r="Y46" s="138"/>
      <c r="Z46" s="105"/>
      <c r="AA46" s="105"/>
      <c r="AB46" s="105"/>
      <c r="AC46" s="105"/>
      <c r="AD46" s="144">
        <v>42826</v>
      </c>
      <c r="AE46" s="108" t="s">
        <v>3779</v>
      </c>
    </row>
    <row r="47" spans="1:31" s="65" customFormat="1" ht="27" customHeight="1" x14ac:dyDescent="0.15">
      <c r="A47" s="150">
        <v>1110202429</v>
      </c>
      <c r="B47" s="130" t="s">
        <v>4001</v>
      </c>
      <c r="C47" s="107" t="s">
        <v>4002</v>
      </c>
      <c r="D47" s="108" t="s">
        <v>4003</v>
      </c>
      <c r="E47" s="108" t="s">
        <v>4004</v>
      </c>
      <c r="F47" s="139">
        <v>3330816</v>
      </c>
      <c r="G47" s="152" t="s">
        <v>4005</v>
      </c>
      <c r="H47" s="132" t="s">
        <v>4006</v>
      </c>
      <c r="I47" s="133" t="s">
        <v>4007</v>
      </c>
      <c r="J47" s="154"/>
      <c r="K47" s="134" t="s">
        <v>765</v>
      </c>
      <c r="L47" s="134" t="s">
        <v>765</v>
      </c>
      <c r="M47" s="134"/>
      <c r="N47" s="135"/>
      <c r="O47" s="138"/>
      <c r="P47" s="105"/>
      <c r="Q47" s="137"/>
      <c r="R47" s="138"/>
      <c r="S47" s="105"/>
      <c r="T47" s="105">
        <v>20</v>
      </c>
      <c r="U47" s="105"/>
      <c r="V47" s="137"/>
      <c r="W47" s="138"/>
      <c r="X47" s="137"/>
      <c r="Y47" s="138"/>
      <c r="Z47" s="105"/>
      <c r="AA47" s="105"/>
      <c r="AB47" s="105"/>
      <c r="AC47" s="105"/>
      <c r="AD47" s="118">
        <v>42948</v>
      </c>
      <c r="AE47" s="108" t="s">
        <v>4010</v>
      </c>
    </row>
    <row r="48" spans="1:31" ht="27" customHeight="1" x14ac:dyDescent="0.15">
      <c r="A48" s="105">
        <v>1110202510</v>
      </c>
      <c r="B48" s="106" t="s">
        <v>4362</v>
      </c>
      <c r="C48" s="107" t="s">
        <v>3762</v>
      </c>
      <c r="D48" s="108" t="s">
        <v>68</v>
      </c>
      <c r="E48" s="108" t="s">
        <v>3761</v>
      </c>
      <c r="F48" s="139">
        <v>3320003</v>
      </c>
      <c r="G48" s="140" t="s">
        <v>3763</v>
      </c>
      <c r="H48" s="140" t="s">
        <v>3764</v>
      </c>
      <c r="I48" s="141"/>
      <c r="J48" s="142"/>
      <c r="K48" s="142"/>
      <c r="L48" s="142"/>
      <c r="M48" s="142" t="s">
        <v>765</v>
      </c>
      <c r="N48" s="143"/>
      <c r="O48" s="138"/>
      <c r="P48" s="105"/>
      <c r="Q48" s="137"/>
      <c r="R48" s="138"/>
      <c r="S48" s="105"/>
      <c r="T48" s="105"/>
      <c r="U48" s="105"/>
      <c r="V48" s="116"/>
      <c r="W48" s="117"/>
      <c r="X48" s="116"/>
      <c r="Y48" s="138"/>
      <c r="Z48" s="105"/>
      <c r="AA48" s="105">
        <v>30</v>
      </c>
      <c r="AB48" s="105"/>
      <c r="AC48" s="105"/>
      <c r="AD48" s="144">
        <v>43191</v>
      </c>
      <c r="AE48" s="108" t="s">
        <v>124</v>
      </c>
    </row>
    <row r="49" spans="1:31" s="65" customFormat="1" ht="27" customHeight="1" x14ac:dyDescent="0.15">
      <c r="A49" s="105">
        <v>1110202528</v>
      </c>
      <c r="B49" s="106" t="s">
        <v>4362</v>
      </c>
      <c r="C49" s="107" t="s">
        <v>4363</v>
      </c>
      <c r="D49" s="108" t="s">
        <v>68</v>
      </c>
      <c r="E49" s="108" t="s">
        <v>4364</v>
      </c>
      <c r="F49" s="139">
        <v>3340013</v>
      </c>
      <c r="G49" s="140" t="s">
        <v>4379</v>
      </c>
      <c r="H49" s="140" t="s">
        <v>4379</v>
      </c>
      <c r="I49" s="141"/>
      <c r="J49" s="142"/>
      <c r="K49" s="142"/>
      <c r="L49" s="142"/>
      <c r="M49" s="142" t="s">
        <v>49</v>
      </c>
      <c r="N49" s="143"/>
      <c r="O49" s="138"/>
      <c r="P49" s="105"/>
      <c r="Q49" s="137"/>
      <c r="R49" s="138"/>
      <c r="S49" s="105"/>
      <c r="T49" s="105"/>
      <c r="U49" s="105"/>
      <c r="V49" s="137"/>
      <c r="W49" s="138"/>
      <c r="X49" s="137"/>
      <c r="Y49" s="138"/>
      <c r="Z49" s="105"/>
      <c r="AA49" s="105">
        <v>20</v>
      </c>
      <c r="AB49" s="105"/>
      <c r="AC49" s="105"/>
      <c r="AD49" s="144">
        <v>43191</v>
      </c>
      <c r="AE49" s="108" t="s">
        <v>4380</v>
      </c>
    </row>
    <row r="50" spans="1:31" ht="27" customHeight="1" x14ac:dyDescent="0.15">
      <c r="A50" s="105">
        <v>1110202536</v>
      </c>
      <c r="B50" s="106" t="s">
        <v>4362</v>
      </c>
      <c r="C50" s="107" t="s">
        <v>4613</v>
      </c>
      <c r="D50" s="108" t="s">
        <v>68</v>
      </c>
      <c r="E50" s="108" t="s">
        <v>4365</v>
      </c>
      <c r="F50" s="139">
        <v>3320001</v>
      </c>
      <c r="G50" s="140" t="s">
        <v>4366</v>
      </c>
      <c r="H50" s="140" t="s">
        <v>4367</v>
      </c>
      <c r="I50" s="141"/>
      <c r="J50" s="142"/>
      <c r="K50" s="142"/>
      <c r="L50" s="142"/>
      <c r="M50" s="142" t="s">
        <v>49</v>
      </c>
      <c r="N50" s="143"/>
      <c r="O50" s="138"/>
      <c r="P50" s="105"/>
      <c r="Q50" s="137"/>
      <c r="R50" s="138">
        <v>3</v>
      </c>
      <c r="S50" s="105"/>
      <c r="T50" s="105">
        <v>25</v>
      </c>
      <c r="U50" s="105"/>
      <c r="V50" s="116"/>
      <c r="W50" s="117"/>
      <c r="X50" s="116"/>
      <c r="Y50" s="138"/>
      <c r="Z50" s="105"/>
      <c r="AA50" s="105">
        <v>25</v>
      </c>
      <c r="AB50" s="105"/>
      <c r="AC50" s="105"/>
      <c r="AD50" s="144">
        <v>43191</v>
      </c>
      <c r="AE50" s="108" t="s">
        <v>4368</v>
      </c>
    </row>
    <row r="51" spans="1:31" s="65" customFormat="1" ht="27" customHeight="1" x14ac:dyDescent="0.15">
      <c r="A51" s="105">
        <v>1110202601</v>
      </c>
      <c r="B51" s="106" t="s">
        <v>6867</v>
      </c>
      <c r="C51" s="107" t="s">
        <v>6861</v>
      </c>
      <c r="D51" s="108" t="s">
        <v>6862</v>
      </c>
      <c r="E51" s="108" t="s">
        <v>6863</v>
      </c>
      <c r="F51" s="139" t="s">
        <v>3076</v>
      </c>
      <c r="G51" s="140" t="s">
        <v>6864</v>
      </c>
      <c r="H51" s="140" t="s">
        <v>6865</v>
      </c>
      <c r="I51" s="141" t="s">
        <v>765</v>
      </c>
      <c r="J51" s="142"/>
      <c r="K51" s="142"/>
      <c r="L51" s="142"/>
      <c r="M51" s="142" t="s">
        <v>765</v>
      </c>
      <c r="N51" s="143" t="s">
        <v>765</v>
      </c>
      <c r="O51" s="138"/>
      <c r="P51" s="105"/>
      <c r="Q51" s="137"/>
      <c r="R51" s="138"/>
      <c r="S51" s="105"/>
      <c r="T51" s="105"/>
      <c r="U51" s="105"/>
      <c r="V51" s="137"/>
      <c r="W51" s="138"/>
      <c r="X51" s="137"/>
      <c r="Y51" s="138"/>
      <c r="Z51" s="105">
        <v>15</v>
      </c>
      <c r="AA51" s="105">
        <v>10</v>
      </c>
      <c r="AB51" s="105"/>
      <c r="AC51" s="105"/>
      <c r="AD51" s="144">
        <v>43313</v>
      </c>
      <c r="AE51" s="108" t="s">
        <v>6866</v>
      </c>
    </row>
    <row r="52" spans="1:31" ht="27" customHeight="1" x14ac:dyDescent="0.15">
      <c r="A52" s="105">
        <v>1110202619</v>
      </c>
      <c r="B52" s="130" t="s">
        <v>6081</v>
      </c>
      <c r="C52" s="108" t="s">
        <v>4615</v>
      </c>
      <c r="D52" s="108" t="s">
        <v>5197</v>
      </c>
      <c r="E52" s="108" t="s">
        <v>6082</v>
      </c>
      <c r="F52" s="131" t="s">
        <v>4616</v>
      </c>
      <c r="G52" s="132" t="s">
        <v>6083</v>
      </c>
      <c r="H52" s="132" t="s">
        <v>6084</v>
      </c>
      <c r="I52" s="159"/>
      <c r="J52" s="142"/>
      <c r="K52" s="142"/>
      <c r="L52" s="142"/>
      <c r="M52" s="142" t="s">
        <v>765</v>
      </c>
      <c r="N52" s="142" t="s">
        <v>765</v>
      </c>
      <c r="O52" s="160" t="s">
        <v>765</v>
      </c>
      <c r="P52" s="105"/>
      <c r="Q52" s="152"/>
      <c r="R52" s="138"/>
      <c r="S52" s="105"/>
      <c r="T52" s="105"/>
      <c r="U52" s="105"/>
      <c r="V52" s="137"/>
      <c r="W52" s="138"/>
      <c r="X52" s="137"/>
      <c r="Y52" s="138"/>
      <c r="Z52" s="105"/>
      <c r="AA52" s="105">
        <v>20</v>
      </c>
      <c r="AB52" s="118"/>
      <c r="AC52" s="118"/>
      <c r="AD52" s="144">
        <v>43313</v>
      </c>
      <c r="AE52" s="108" t="s">
        <v>6085</v>
      </c>
    </row>
    <row r="53" spans="1:31" ht="27" customHeight="1" x14ac:dyDescent="0.15">
      <c r="A53" s="105">
        <v>1110202643</v>
      </c>
      <c r="B53" s="106" t="s">
        <v>5245</v>
      </c>
      <c r="C53" s="107" t="s">
        <v>4642</v>
      </c>
      <c r="D53" s="108" t="s">
        <v>4643</v>
      </c>
      <c r="E53" s="108" t="s">
        <v>4644</v>
      </c>
      <c r="F53" s="139" t="s">
        <v>4645</v>
      </c>
      <c r="G53" s="140" t="s">
        <v>4646</v>
      </c>
      <c r="H53" s="140" t="s">
        <v>4647</v>
      </c>
      <c r="I53" s="141"/>
      <c r="J53" s="142" t="s">
        <v>4648</v>
      </c>
      <c r="K53" s="142" t="s">
        <v>4648</v>
      </c>
      <c r="L53" s="142" t="s">
        <v>4648</v>
      </c>
      <c r="M53" s="142" t="s">
        <v>4648</v>
      </c>
      <c r="N53" s="143" t="s">
        <v>4648</v>
      </c>
      <c r="O53" s="138" t="s">
        <v>4648</v>
      </c>
      <c r="P53" s="105"/>
      <c r="Q53" s="137"/>
      <c r="R53" s="138"/>
      <c r="S53" s="105"/>
      <c r="T53" s="105"/>
      <c r="U53" s="105"/>
      <c r="V53" s="137"/>
      <c r="W53" s="138"/>
      <c r="X53" s="137">
        <v>20</v>
      </c>
      <c r="Y53" s="138"/>
      <c r="Z53" s="105"/>
      <c r="AA53" s="105"/>
      <c r="AB53" s="105"/>
      <c r="AC53" s="105"/>
      <c r="AD53" s="144">
        <v>43374</v>
      </c>
      <c r="AE53" s="108" t="s">
        <v>4649</v>
      </c>
    </row>
    <row r="54" spans="1:31" ht="27" customHeight="1" x14ac:dyDescent="0.15">
      <c r="A54" s="110">
        <v>1110202643</v>
      </c>
      <c r="B54" s="106" t="s">
        <v>5245</v>
      </c>
      <c r="C54" s="171" t="s">
        <v>6416</v>
      </c>
      <c r="D54" s="108" t="s">
        <v>5197</v>
      </c>
      <c r="E54" s="108" t="s">
        <v>4644</v>
      </c>
      <c r="F54" s="172" t="s">
        <v>6417</v>
      </c>
      <c r="G54" s="173" t="s">
        <v>6418</v>
      </c>
      <c r="H54" s="110" t="s">
        <v>6419</v>
      </c>
      <c r="I54" s="142" t="s">
        <v>4614</v>
      </c>
      <c r="J54" s="142"/>
      <c r="K54" s="142"/>
      <c r="L54" s="142" t="s">
        <v>4614</v>
      </c>
      <c r="M54" s="142" t="s">
        <v>4614</v>
      </c>
      <c r="N54" s="143" t="s">
        <v>4614</v>
      </c>
      <c r="O54" s="138" t="s">
        <v>4614</v>
      </c>
      <c r="P54" s="105"/>
      <c r="Q54" s="137"/>
      <c r="R54" s="138"/>
      <c r="S54" s="105"/>
      <c r="T54" s="105"/>
      <c r="U54" s="105"/>
      <c r="V54" s="137"/>
      <c r="W54" s="138"/>
      <c r="X54" s="137"/>
      <c r="Y54" s="138"/>
      <c r="Z54" s="105"/>
      <c r="AA54" s="105"/>
      <c r="AB54" s="105" t="s">
        <v>4614</v>
      </c>
      <c r="AC54" s="105"/>
      <c r="AD54" s="144">
        <v>44166</v>
      </c>
      <c r="AE54" s="108" t="s">
        <v>6420</v>
      </c>
    </row>
    <row r="55" spans="1:31" ht="27" customHeight="1" x14ac:dyDescent="0.15">
      <c r="A55" s="105">
        <v>1110202668</v>
      </c>
      <c r="B55" s="106" t="s">
        <v>4784</v>
      </c>
      <c r="C55" s="107" t="s">
        <v>4785</v>
      </c>
      <c r="D55" s="108" t="s">
        <v>4786</v>
      </c>
      <c r="E55" s="108" t="s">
        <v>4787</v>
      </c>
      <c r="F55" s="139" t="s">
        <v>4788</v>
      </c>
      <c r="G55" s="174" t="s">
        <v>4789</v>
      </c>
      <c r="H55" s="140" t="s">
        <v>4790</v>
      </c>
      <c r="I55" s="141"/>
      <c r="J55" s="142"/>
      <c r="K55" s="142"/>
      <c r="L55" s="142"/>
      <c r="M55" s="142"/>
      <c r="N55" s="143" t="s">
        <v>4614</v>
      </c>
      <c r="O55" s="138"/>
      <c r="P55" s="105"/>
      <c r="Q55" s="137"/>
      <c r="R55" s="138"/>
      <c r="S55" s="105"/>
      <c r="T55" s="105"/>
      <c r="U55" s="105"/>
      <c r="V55" s="137"/>
      <c r="W55" s="138"/>
      <c r="X55" s="137"/>
      <c r="Y55" s="138"/>
      <c r="Z55" s="105"/>
      <c r="AA55" s="105">
        <v>20</v>
      </c>
      <c r="AB55" s="105"/>
      <c r="AC55" s="105"/>
      <c r="AD55" s="144">
        <v>43405</v>
      </c>
      <c r="AE55" s="108" t="s">
        <v>4791</v>
      </c>
    </row>
    <row r="56" spans="1:31" ht="27" customHeight="1" x14ac:dyDescent="0.15">
      <c r="A56" s="105">
        <v>1110202734</v>
      </c>
      <c r="B56" s="130" t="s">
        <v>5026</v>
      </c>
      <c r="C56" s="108" t="s">
        <v>5027</v>
      </c>
      <c r="D56" s="108" t="s">
        <v>5028</v>
      </c>
      <c r="E56" s="108" t="s">
        <v>5029</v>
      </c>
      <c r="F56" s="131">
        <v>3330831</v>
      </c>
      <c r="G56" s="132" t="s">
        <v>5030</v>
      </c>
      <c r="H56" s="132" t="s">
        <v>5031</v>
      </c>
      <c r="I56" s="141" t="s">
        <v>4614</v>
      </c>
      <c r="J56" s="142" t="s">
        <v>4614</v>
      </c>
      <c r="K56" s="142" t="s">
        <v>4614</v>
      </c>
      <c r="L56" s="142" t="s">
        <v>4614</v>
      </c>
      <c r="M56" s="142" t="s">
        <v>4614</v>
      </c>
      <c r="N56" s="143" t="s">
        <v>4614</v>
      </c>
      <c r="O56" s="138" t="s">
        <v>4614</v>
      </c>
      <c r="P56" s="105">
        <v>40</v>
      </c>
      <c r="Q56" s="152"/>
      <c r="R56" s="138">
        <v>4</v>
      </c>
      <c r="S56" s="105"/>
      <c r="T56" s="105">
        <v>40</v>
      </c>
      <c r="U56" s="105"/>
      <c r="V56" s="137"/>
      <c r="W56" s="138"/>
      <c r="X56" s="137"/>
      <c r="Y56" s="138"/>
      <c r="Z56" s="105"/>
      <c r="AA56" s="105"/>
      <c r="AB56" s="118"/>
      <c r="AC56" s="118"/>
      <c r="AD56" s="144">
        <v>43556</v>
      </c>
      <c r="AE56" s="108" t="s">
        <v>6140</v>
      </c>
    </row>
    <row r="57" spans="1:31" ht="27" customHeight="1" x14ac:dyDescent="0.15">
      <c r="A57" s="105">
        <v>1110202791</v>
      </c>
      <c r="B57" s="130" t="s">
        <v>12003</v>
      </c>
      <c r="C57" s="108" t="s">
        <v>8178</v>
      </c>
      <c r="D57" s="108" t="s">
        <v>5028</v>
      </c>
      <c r="E57" s="108" t="s">
        <v>9797</v>
      </c>
      <c r="F57" s="131" t="s">
        <v>5353</v>
      </c>
      <c r="G57" s="132" t="s">
        <v>5354</v>
      </c>
      <c r="H57" s="132" t="s">
        <v>5355</v>
      </c>
      <c r="I57" s="141"/>
      <c r="J57" s="142"/>
      <c r="K57" s="142"/>
      <c r="L57" s="142"/>
      <c r="M57" s="142" t="s">
        <v>765</v>
      </c>
      <c r="N57" s="143"/>
      <c r="O57" s="138"/>
      <c r="P57" s="105"/>
      <c r="Q57" s="152"/>
      <c r="R57" s="138"/>
      <c r="S57" s="105"/>
      <c r="T57" s="105">
        <v>14</v>
      </c>
      <c r="U57" s="105"/>
      <c r="V57" s="137"/>
      <c r="W57" s="138"/>
      <c r="X57" s="137"/>
      <c r="Y57" s="138"/>
      <c r="Z57" s="105"/>
      <c r="AA57" s="105">
        <v>14</v>
      </c>
      <c r="AB57" s="105"/>
      <c r="AC57" s="105"/>
      <c r="AD57" s="144">
        <v>43739</v>
      </c>
      <c r="AE57" s="108" t="s">
        <v>8177</v>
      </c>
    </row>
    <row r="58" spans="1:31" ht="27" customHeight="1" x14ac:dyDescent="0.15">
      <c r="A58" s="175">
        <v>1110202825</v>
      </c>
      <c r="B58" s="130" t="s">
        <v>11690</v>
      </c>
      <c r="C58" s="108" t="s">
        <v>5836</v>
      </c>
      <c r="D58" s="108" t="s">
        <v>5197</v>
      </c>
      <c r="E58" s="108" t="s">
        <v>5837</v>
      </c>
      <c r="F58" s="131" t="s">
        <v>5838</v>
      </c>
      <c r="G58" s="132" t="s">
        <v>5839</v>
      </c>
      <c r="H58" s="132" t="s">
        <v>5840</v>
      </c>
      <c r="I58" s="141"/>
      <c r="J58" s="142"/>
      <c r="K58" s="142"/>
      <c r="L58" s="142"/>
      <c r="M58" s="142" t="s">
        <v>765</v>
      </c>
      <c r="N58" s="143" t="s">
        <v>765</v>
      </c>
      <c r="O58" s="138"/>
      <c r="P58" s="105"/>
      <c r="Q58" s="152"/>
      <c r="R58" s="138"/>
      <c r="S58" s="105"/>
      <c r="T58" s="105">
        <v>30</v>
      </c>
      <c r="U58" s="105"/>
      <c r="V58" s="137"/>
      <c r="W58" s="138"/>
      <c r="X58" s="137"/>
      <c r="Y58" s="138"/>
      <c r="Z58" s="105"/>
      <c r="AA58" s="105"/>
      <c r="AB58" s="118"/>
      <c r="AC58" s="118"/>
      <c r="AD58" s="144">
        <v>43922</v>
      </c>
      <c r="AE58" s="108" t="s">
        <v>5841</v>
      </c>
    </row>
    <row r="59" spans="1:31" ht="27" customHeight="1" x14ac:dyDescent="0.15">
      <c r="A59" s="105">
        <v>1110202833</v>
      </c>
      <c r="B59" s="106" t="s">
        <v>12040</v>
      </c>
      <c r="C59" s="107" t="s">
        <v>5943</v>
      </c>
      <c r="D59" s="108" t="s">
        <v>5197</v>
      </c>
      <c r="E59" s="108" t="s">
        <v>5944</v>
      </c>
      <c r="F59" s="139" t="s">
        <v>5945</v>
      </c>
      <c r="G59" s="140" t="s">
        <v>5946</v>
      </c>
      <c r="H59" s="140" t="s">
        <v>5946</v>
      </c>
      <c r="I59" s="141"/>
      <c r="J59" s="142"/>
      <c r="K59" s="142"/>
      <c r="L59" s="142"/>
      <c r="M59" s="142" t="s">
        <v>4614</v>
      </c>
      <c r="N59" s="143" t="s">
        <v>4614</v>
      </c>
      <c r="O59" s="138"/>
      <c r="P59" s="105"/>
      <c r="Q59" s="137"/>
      <c r="R59" s="138"/>
      <c r="S59" s="105"/>
      <c r="T59" s="105"/>
      <c r="U59" s="105"/>
      <c r="V59" s="137"/>
      <c r="W59" s="138"/>
      <c r="X59" s="137"/>
      <c r="Y59" s="138"/>
      <c r="Z59" s="105"/>
      <c r="AA59" s="105">
        <v>20</v>
      </c>
      <c r="AB59" s="105"/>
      <c r="AC59" s="105"/>
      <c r="AD59" s="144" t="s">
        <v>5942</v>
      </c>
      <c r="AE59" s="108" t="s">
        <v>5947</v>
      </c>
    </row>
    <row r="60" spans="1:31" ht="27" customHeight="1" x14ac:dyDescent="0.15">
      <c r="A60" s="105">
        <v>1110202841</v>
      </c>
      <c r="B60" s="106" t="s">
        <v>7112</v>
      </c>
      <c r="C60" s="107" t="s">
        <v>6284</v>
      </c>
      <c r="D60" s="108" t="s">
        <v>5197</v>
      </c>
      <c r="E60" s="108" t="s">
        <v>11623</v>
      </c>
      <c r="F60" s="139" t="s">
        <v>6285</v>
      </c>
      <c r="G60" s="140" t="s">
        <v>6286</v>
      </c>
      <c r="H60" s="140" t="s">
        <v>6287</v>
      </c>
      <c r="I60" s="141"/>
      <c r="J60" s="142"/>
      <c r="K60" s="142"/>
      <c r="L60" s="142"/>
      <c r="M60" s="142" t="s">
        <v>765</v>
      </c>
      <c r="N60" s="143" t="s">
        <v>765</v>
      </c>
      <c r="O60" s="138"/>
      <c r="P60" s="105"/>
      <c r="Q60" s="137"/>
      <c r="R60" s="138"/>
      <c r="S60" s="105"/>
      <c r="T60" s="105"/>
      <c r="U60" s="105"/>
      <c r="V60" s="137"/>
      <c r="W60" s="138"/>
      <c r="X60" s="137"/>
      <c r="Y60" s="138"/>
      <c r="Z60" s="105">
        <v>20</v>
      </c>
      <c r="AA60" s="105"/>
      <c r="AB60" s="105"/>
      <c r="AC60" s="105"/>
      <c r="AD60" s="144">
        <v>44013</v>
      </c>
      <c r="AE60" s="108" t="s">
        <v>6288</v>
      </c>
    </row>
    <row r="61" spans="1:31" ht="27" customHeight="1" x14ac:dyDescent="0.15">
      <c r="A61" s="105">
        <v>1110202841</v>
      </c>
      <c r="B61" s="106" t="s">
        <v>7112</v>
      </c>
      <c r="C61" s="107" t="s">
        <v>11054</v>
      </c>
      <c r="D61" s="108" t="s">
        <v>11048</v>
      </c>
      <c r="E61" s="108" t="s">
        <v>11623</v>
      </c>
      <c r="F61" s="139" t="s">
        <v>11055</v>
      </c>
      <c r="G61" s="140" t="s">
        <v>11056</v>
      </c>
      <c r="H61" s="140" t="s">
        <v>11057</v>
      </c>
      <c r="I61" s="141"/>
      <c r="J61" s="142"/>
      <c r="K61" s="142"/>
      <c r="L61" s="142"/>
      <c r="M61" s="142" t="s">
        <v>10982</v>
      </c>
      <c r="N61" s="143" t="s">
        <v>10982</v>
      </c>
      <c r="O61" s="138"/>
      <c r="P61" s="105"/>
      <c r="Q61" s="137"/>
      <c r="R61" s="138"/>
      <c r="S61" s="105"/>
      <c r="T61" s="105"/>
      <c r="U61" s="105"/>
      <c r="V61" s="137"/>
      <c r="W61" s="138"/>
      <c r="X61" s="137"/>
      <c r="Y61" s="138"/>
      <c r="Z61" s="105"/>
      <c r="AA61" s="105"/>
      <c r="AB61" s="105"/>
      <c r="AC61" s="105">
        <v>15</v>
      </c>
      <c r="AD61" s="144">
        <v>46054</v>
      </c>
      <c r="AE61" s="108" t="s">
        <v>11058</v>
      </c>
    </row>
    <row r="62" spans="1:31" ht="27" customHeight="1" x14ac:dyDescent="0.15">
      <c r="A62" s="105">
        <v>1110202882</v>
      </c>
      <c r="B62" s="106" t="s">
        <v>11693</v>
      </c>
      <c r="C62" s="107" t="s">
        <v>6320</v>
      </c>
      <c r="D62" s="108" t="s">
        <v>5197</v>
      </c>
      <c r="E62" s="108" t="s">
        <v>6426</v>
      </c>
      <c r="F62" s="139" t="s">
        <v>6321</v>
      </c>
      <c r="G62" s="140" t="s">
        <v>6322</v>
      </c>
      <c r="H62" s="140" t="s">
        <v>6322</v>
      </c>
      <c r="I62" s="141" t="s">
        <v>765</v>
      </c>
      <c r="J62" s="142" t="s">
        <v>765</v>
      </c>
      <c r="K62" s="142" t="s">
        <v>765</v>
      </c>
      <c r="L62" s="142" t="s">
        <v>765</v>
      </c>
      <c r="M62" s="142" t="s">
        <v>765</v>
      </c>
      <c r="N62" s="142" t="s">
        <v>765</v>
      </c>
      <c r="O62" s="176" t="s">
        <v>765</v>
      </c>
      <c r="P62" s="105"/>
      <c r="Q62" s="137"/>
      <c r="R62" s="138"/>
      <c r="S62" s="105"/>
      <c r="T62" s="105">
        <v>18</v>
      </c>
      <c r="U62" s="105"/>
      <c r="V62" s="137"/>
      <c r="W62" s="138"/>
      <c r="X62" s="137"/>
      <c r="Y62" s="138"/>
      <c r="Z62" s="105"/>
      <c r="AA62" s="105"/>
      <c r="AB62" s="105"/>
      <c r="AC62" s="105"/>
      <c r="AD62" s="144">
        <v>44075</v>
      </c>
      <c r="AE62" s="108" t="s">
        <v>6323</v>
      </c>
    </row>
    <row r="63" spans="1:31" ht="27" customHeight="1" x14ac:dyDescent="0.15">
      <c r="A63" s="110">
        <v>1110202908</v>
      </c>
      <c r="B63" s="106" t="s">
        <v>11694</v>
      </c>
      <c r="C63" s="171" t="s">
        <v>6421</v>
      </c>
      <c r="D63" s="108" t="s">
        <v>5197</v>
      </c>
      <c r="E63" s="108" t="s">
        <v>6425</v>
      </c>
      <c r="F63" s="109" t="s">
        <v>1939</v>
      </c>
      <c r="G63" s="171" t="s">
        <v>6422</v>
      </c>
      <c r="H63" s="171" t="s">
        <v>6423</v>
      </c>
      <c r="I63" s="141" t="s">
        <v>765</v>
      </c>
      <c r="J63" s="142"/>
      <c r="K63" s="142"/>
      <c r="L63" s="142" t="s">
        <v>765</v>
      </c>
      <c r="M63" s="142" t="s">
        <v>765</v>
      </c>
      <c r="N63" s="142" t="s">
        <v>765</v>
      </c>
      <c r="O63" s="176" t="s">
        <v>765</v>
      </c>
      <c r="P63" s="105"/>
      <c r="Q63" s="137"/>
      <c r="R63" s="138"/>
      <c r="S63" s="105"/>
      <c r="T63" s="105"/>
      <c r="U63" s="105"/>
      <c r="V63" s="137"/>
      <c r="W63" s="138"/>
      <c r="X63" s="137">
        <v>20</v>
      </c>
      <c r="Y63" s="138"/>
      <c r="Z63" s="105"/>
      <c r="AA63" s="105"/>
      <c r="AB63" s="105"/>
      <c r="AC63" s="105"/>
      <c r="AD63" s="144">
        <v>44166</v>
      </c>
      <c r="AE63" s="108" t="s">
        <v>6424</v>
      </c>
    </row>
    <row r="64" spans="1:31" ht="27" customHeight="1" x14ac:dyDescent="0.15">
      <c r="A64" s="110">
        <v>1110202908</v>
      </c>
      <c r="B64" s="106" t="s">
        <v>7427</v>
      </c>
      <c r="C64" s="171" t="s">
        <v>6421</v>
      </c>
      <c r="D64" s="108" t="s">
        <v>5197</v>
      </c>
      <c r="E64" s="108" t="s">
        <v>6425</v>
      </c>
      <c r="F64" s="109" t="s">
        <v>1939</v>
      </c>
      <c r="G64" s="171" t="s">
        <v>6422</v>
      </c>
      <c r="H64" s="171" t="s">
        <v>6423</v>
      </c>
      <c r="I64" s="141" t="s">
        <v>765</v>
      </c>
      <c r="J64" s="142"/>
      <c r="K64" s="142"/>
      <c r="L64" s="142" t="s">
        <v>765</v>
      </c>
      <c r="M64" s="142" t="s">
        <v>765</v>
      </c>
      <c r="N64" s="142" t="s">
        <v>765</v>
      </c>
      <c r="O64" s="176" t="s">
        <v>765</v>
      </c>
      <c r="P64" s="105"/>
      <c r="Q64" s="137"/>
      <c r="R64" s="138"/>
      <c r="S64" s="105"/>
      <c r="T64" s="105"/>
      <c r="U64" s="105"/>
      <c r="V64" s="137"/>
      <c r="W64" s="138"/>
      <c r="X64" s="137"/>
      <c r="Y64" s="138"/>
      <c r="Z64" s="105"/>
      <c r="AA64" s="105"/>
      <c r="AB64" s="105" t="s">
        <v>4614</v>
      </c>
      <c r="AC64" s="105"/>
      <c r="AD64" s="144">
        <v>44652</v>
      </c>
      <c r="AE64" s="108" t="s">
        <v>6424</v>
      </c>
    </row>
    <row r="65" spans="1:31" ht="27" customHeight="1" x14ac:dyDescent="0.15">
      <c r="A65" s="110">
        <v>1110202924</v>
      </c>
      <c r="B65" s="106" t="s">
        <v>11695</v>
      </c>
      <c r="C65" s="106" t="s">
        <v>6783</v>
      </c>
      <c r="D65" s="107" t="s">
        <v>5197</v>
      </c>
      <c r="E65" s="108" t="s">
        <v>6784</v>
      </c>
      <c r="F65" s="109">
        <v>3330816</v>
      </c>
      <c r="G65" s="110" t="s">
        <v>6785</v>
      </c>
      <c r="H65" s="110" t="s">
        <v>6786</v>
      </c>
      <c r="I65" s="141"/>
      <c r="J65" s="142"/>
      <c r="K65" s="142"/>
      <c r="L65" s="142" t="s">
        <v>765</v>
      </c>
      <c r="M65" s="142" t="s">
        <v>765</v>
      </c>
      <c r="N65" s="142" t="s">
        <v>765</v>
      </c>
      <c r="O65" s="115"/>
      <c r="P65" s="105"/>
      <c r="Q65" s="116"/>
      <c r="R65" s="117"/>
      <c r="S65" s="105"/>
      <c r="T65" s="105"/>
      <c r="U65" s="105"/>
      <c r="V65" s="116"/>
      <c r="W65" s="117"/>
      <c r="X65" s="116"/>
      <c r="Y65" s="117"/>
      <c r="Z65" s="105">
        <v>20</v>
      </c>
      <c r="AA65" s="105"/>
      <c r="AB65" s="105"/>
      <c r="AC65" s="105"/>
      <c r="AD65" s="144">
        <v>44317</v>
      </c>
      <c r="AE65" s="108" t="s">
        <v>6787</v>
      </c>
    </row>
    <row r="66" spans="1:31" ht="27" customHeight="1" x14ac:dyDescent="0.15">
      <c r="A66" s="110">
        <v>1110202973</v>
      </c>
      <c r="B66" s="106" t="s">
        <v>11696</v>
      </c>
      <c r="C66" s="106" t="s">
        <v>11533</v>
      </c>
      <c r="D66" s="107" t="s">
        <v>9269</v>
      </c>
      <c r="E66" s="108" t="s">
        <v>11050</v>
      </c>
      <c r="F66" s="109" t="s">
        <v>7008</v>
      </c>
      <c r="G66" s="110" t="s">
        <v>9273</v>
      </c>
      <c r="H66" s="110" t="s">
        <v>9274</v>
      </c>
      <c r="I66" s="141"/>
      <c r="J66" s="142"/>
      <c r="K66" s="142"/>
      <c r="L66" s="142" t="s">
        <v>765</v>
      </c>
      <c r="M66" s="142" t="s">
        <v>765</v>
      </c>
      <c r="N66" s="177" t="s">
        <v>765</v>
      </c>
      <c r="O66" s="176" t="s">
        <v>765</v>
      </c>
      <c r="P66" s="105"/>
      <c r="Q66" s="137"/>
      <c r="R66" s="138"/>
      <c r="S66" s="105"/>
      <c r="T66" s="105"/>
      <c r="U66" s="105"/>
      <c r="V66" s="116"/>
      <c r="W66" s="117"/>
      <c r="X66" s="76">
        <v>15</v>
      </c>
      <c r="Y66" s="117"/>
      <c r="Z66" s="105"/>
      <c r="AA66" s="105"/>
      <c r="AB66" s="105"/>
      <c r="AC66" s="105"/>
      <c r="AD66" s="144">
        <v>44409</v>
      </c>
      <c r="AE66" s="108" t="s">
        <v>9275</v>
      </c>
    </row>
    <row r="67" spans="1:31" ht="27" customHeight="1" x14ac:dyDescent="0.15">
      <c r="A67" s="110">
        <v>1110202973</v>
      </c>
      <c r="B67" s="106" t="s">
        <v>11696</v>
      </c>
      <c r="C67" s="106" t="s">
        <v>11533</v>
      </c>
      <c r="D67" s="107" t="s">
        <v>9269</v>
      </c>
      <c r="E67" s="108" t="s">
        <v>11050</v>
      </c>
      <c r="F67" s="109" t="s">
        <v>7008</v>
      </c>
      <c r="G67" s="110" t="s">
        <v>9273</v>
      </c>
      <c r="H67" s="110" t="s">
        <v>9274</v>
      </c>
      <c r="I67" s="141"/>
      <c r="J67" s="142"/>
      <c r="K67" s="142"/>
      <c r="L67" s="142" t="s">
        <v>765</v>
      </c>
      <c r="M67" s="142" t="s">
        <v>765</v>
      </c>
      <c r="N67" s="177" t="s">
        <v>765</v>
      </c>
      <c r="O67" s="176" t="s">
        <v>765</v>
      </c>
      <c r="P67" s="105"/>
      <c r="Q67" s="137"/>
      <c r="R67" s="138"/>
      <c r="S67" s="105"/>
      <c r="T67" s="105"/>
      <c r="U67" s="105"/>
      <c r="V67" s="116"/>
      <c r="W67" s="117"/>
      <c r="X67" s="116"/>
      <c r="Y67" s="117"/>
      <c r="Z67" s="105"/>
      <c r="AA67" s="105"/>
      <c r="AB67" s="105" t="s">
        <v>765</v>
      </c>
      <c r="AC67" s="105"/>
      <c r="AD67" s="144">
        <v>45748</v>
      </c>
      <c r="AE67" s="108" t="s">
        <v>9275</v>
      </c>
    </row>
    <row r="68" spans="1:31" ht="27" customHeight="1" x14ac:dyDescent="0.15">
      <c r="A68" s="110">
        <v>1110202973</v>
      </c>
      <c r="B68" s="106" t="s">
        <v>11696</v>
      </c>
      <c r="C68" s="106" t="s">
        <v>11533</v>
      </c>
      <c r="D68" s="107" t="s">
        <v>9269</v>
      </c>
      <c r="E68" s="108" t="s">
        <v>9272</v>
      </c>
      <c r="F68" s="109" t="s">
        <v>10776</v>
      </c>
      <c r="G68" s="110" t="s">
        <v>10777</v>
      </c>
      <c r="H68" s="110" t="s">
        <v>10778</v>
      </c>
      <c r="I68" s="141"/>
      <c r="J68" s="142"/>
      <c r="K68" s="142"/>
      <c r="L68" s="142" t="s">
        <v>765</v>
      </c>
      <c r="M68" s="142" t="s">
        <v>765</v>
      </c>
      <c r="N68" s="177" t="s">
        <v>765</v>
      </c>
      <c r="O68" s="176" t="s">
        <v>765</v>
      </c>
      <c r="P68" s="105"/>
      <c r="Q68" s="137"/>
      <c r="R68" s="138"/>
      <c r="S68" s="105"/>
      <c r="T68" s="105"/>
      <c r="U68" s="105"/>
      <c r="V68" s="116"/>
      <c r="W68" s="117"/>
      <c r="X68" s="116"/>
      <c r="Y68" s="117"/>
      <c r="Z68" s="105"/>
      <c r="AA68" s="105"/>
      <c r="AB68" s="105"/>
      <c r="AC68" s="105">
        <v>10</v>
      </c>
      <c r="AD68" s="144">
        <v>45931</v>
      </c>
      <c r="AE68" s="108" t="s">
        <v>9275</v>
      </c>
    </row>
    <row r="69" spans="1:31" ht="27" customHeight="1" x14ac:dyDescent="0.15">
      <c r="A69" s="110">
        <v>1110202999</v>
      </c>
      <c r="B69" s="106" t="s">
        <v>7238</v>
      </c>
      <c r="C69" s="106" t="s">
        <v>7053</v>
      </c>
      <c r="D69" s="107" t="s">
        <v>6862</v>
      </c>
      <c r="E69" s="108" t="s">
        <v>9816</v>
      </c>
      <c r="F69" s="109" t="s">
        <v>7054</v>
      </c>
      <c r="G69" s="110" t="s">
        <v>7055</v>
      </c>
      <c r="H69" s="110" t="s">
        <v>7056</v>
      </c>
      <c r="I69" s="141"/>
      <c r="J69" s="142"/>
      <c r="K69" s="142"/>
      <c r="L69" s="142"/>
      <c r="M69" s="142" t="s">
        <v>765</v>
      </c>
      <c r="N69" s="177" t="s">
        <v>765</v>
      </c>
      <c r="O69" s="176"/>
      <c r="P69" s="105"/>
      <c r="Q69" s="137"/>
      <c r="R69" s="138"/>
      <c r="S69" s="105"/>
      <c r="T69" s="105"/>
      <c r="U69" s="105"/>
      <c r="V69" s="116"/>
      <c r="W69" s="117"/>
      <c r="X69" s="116"/>
      <c r="Y69" s="117"/>
      <c r="Z69" s="105"/>
      <c r="AA69" s="105">
        <v>20</v>
      </c>
      <c r="AB69" s="105"/>
      <c r="AC69" s="105"/>
      <c r="AD69" s="144">
        <v>44440</v>
      </c>
      <c r="AE69" s="108" t="s">
        <v>7052</v>
      </c>
    </row>
    <row r="70" spans="1:31" ht="27" customHeight="1" x14ac:dyDescent="0.15">
      <c r="A70" s="110">
        <v>1110203005</v>
      </c>
      <c r="B70" s="163" t="s">
        <v>12066</v>
      </c>
      <c r="C70" s="106" t="s">
        <v>7099</v>
      </c>
      <c r="D70" s="107" t="s">
        <v>6862</v>
      </c>
      <c r="E70" s="108" t="s">
        <v>7100</v>
      </c>
      <c r="F70" s="109" t="s">
        <v>7101</v>
      </c>
      <c r="G70" s="110" t="s">
        <v>7102</v>
      </c>
      <c r="H70" s="110" t="s">
        <v>7103</v>
      </c>
      <c r="I70" s="141"/>
      <c r="J70" s="142"/>
      <c r="K70" s="142"/>
      <c r="L70" s="142"/>
      <c r="M70" s="142" t="s">
        <v>765</v>
      </c>
      <c r="N70" s="177" t="s">
        <v>765</v>
      </c>
      <c r="O70" s="176"/>
      <c r="P70" s="105"/>
      <c r="Q70" s="137"/>
      <c r="R70" s="138"/>
      <c r="S70" s="105"/>
      <c r="T70" s="105"/>
      <c r="U70" s="105"/>
      <c r="V70" s="116"/>
      <c r="W70" s="117"/>
      <c r="X70" s="116"/>
      <c r="Y70" s="117"/>
      <c r="Z70" s="105"/>
      <c r="AA70" s="105">
        <v>20</v>
      </c>
      <c r="AB70" s="105"/>
      <c r="AC70" s="105"/>
      <c r="AD70" s="144">
        <v>44470</v>
      </c>
      <c r="AE70" s="108" t="s">
        <v>7104</v>
      </c>
    </row>
    <row r="71" spans="1:31" ht="27" customHeight="1" x14ac:dyDescent="0.15">
      <c r="A71" s="110">
        <v>1110203062</v>
      </c>
      <c r="B71" s="106" t="s">
        <v>7428</v>
      </c>
      <c r="C71" s="106" t="s">
        <v>7419</v>
      </c>
      <c r="D71" s="107" t="s">
        <v>6862</v>
      </c>
      <c r="E71" s="108" t="s">
        <v>7772</v>
      </c>
      <c r="F71" s="109" t="s">
        <v>7420</v>
      </c>
      <c r="G71" s="110" t="s">
        <v>7421</v>
      </c>
      <c r="H71" s="110" t="s">
        <v>7422</v>
      </c>
      <c r="I71" s="141"/>
      <c r="J71" s="142"/>
      <c r="K71" s="142"/>
      <c r="L71" s="142"/>
      <c r="M71" s="142" t="s">
        <v>765</v>
      </c>
      <c r="N71" s="177"/>
      <c r="O71" s="176"/>
      <c r="P71" s="105"/>
      <c r="Q71" s="137"/>
      <c r="R71" s="138"/>
      <c r="S71" s="105"/>
      <c r="T71" s="105">
        <v>10</v>
      </c>
      <c r="U71" s="105"/>
      <c r="V71" s="116"/>
      <c r="W71" s="117"/>
      <c r="X71" s="116"/>
      <c r="Y71" s="117"/>
      <c r="Z71" s="105"/>
      <c r="AA71" s="105">
        <v>10</v>
      </c>
      <c r="AB71" s="105"/>
      <c r="AC71" s="105"/>
      <c r="AD71" s="144">
        <v>44652</v>
      </c>
      <c r="AE71" s="108" t="s">
        <v>7423</v>
      </c>
    </row>
    <row r="72" spans="1:31" ht="27" customHeight="1" x14ac:dyDescent="0.15">
      <c r="A72" s="110">
        <v>1110203070</v>
      </c>
      <c r="B72" s="106" t="s">
        <v>7428</v>
      </c>
      <c r="C72" s="106" t="s">
        <v>7424</v>
      </c>
      <c r="D72" s="107" t="s">
        <v>6862</v>
      </c>
      <c r="E72" s="108" t="s">
        <v>7773</v>
      </c>
      <c r="F72" s="109" t="s">
        <v>7425</v>
      </c>
      <c r="G72" s="110" t="s">
        <v>7421</v>
      </c>
      <c r="H72" s="110" t="s">
        <v>7422</v>
      </c>
      <c r="I72" s="141"/>
      <c r="J72" s="142"/>
      <c r="K72" s="142"/>
      <c r="L72" s="142"/>
      <c r="M72" s="142" t="s">
        <v>765</v>
      </c>
      <c r="N72" s="177"/>
      <c r="O72" s="176"/>
      <c r="P72" s="105"/>
      <c r="Q72" s="137"/>
      <c r="R72" s="138"/>
      <c r="S72" s="105"/>
      <c r="T72" s="105"/>
      <c r="U72" s="105"/>
      <c r="V72" s="116"/>
      <c r="W72" s="117"/>
      <c r="X72" s="116"/>
      <c r="Y72" s="117"/>
      <c r="Z72" s="105"/>
      <c r="AA72" s="105">
        <v>20</v>
      </c>
      <c r="AB72" s="105"/>
      <c r="AC72" s="105"/>
      <c r="AD72" s="144">
        <v>44652</v>
      </c>
      <c r="AE72" s="108" t="s">
        <v>7426</v>
      </c>
    </row>
    <row r="73" spans="1:31" ht="27" customHeight="1" x14ac:dyDescent="0.15">
      <c r="A73" s="110">
        <v>1110203112</v>
      </c>
      <c r="B73" s="106" t="s">
        <v>7566</v>
      </c>
      <c r="C73" s="106" t="s">
        <v>7560</v>
      </c>
      <c r="D73" s="107" t="s">
        <v>6862</v>
      </c>
      <c r="E73" s="108" t="s">
        <v>7774</v>
      </c>
      <c r="F73" s="109" t="s">
        <v>7561</v>
      </c>
      <c r="G73" s="110" t="s">
        <v>7562</v>
      </c>
      <c r="H73" s="110" t="s">
        <v>7563</v>
      </c>
      <c r="I73" s="141"/>
      <c r="J73" s="142"/>
      <c r="K73" s="142"/>
      <c r="L73" s="142"/>
      <c r="M73" s="142" t="s">
        <v>765</v>
      </c>
      <c r="N73" s="177" t="s">
        <v>765</v>
      </c>
      <c r="O73" s="176" t="s">
        <v>765</v>
      </c>
      <c r="P73" s="105"/>
      <c r="Q73" s="137"/>
      <c r="R73" s="138"/>
      <c r="S73" s="105"/>
      <c r="T73" s="105"/>
      <c r="U73" s="105"/>
      <c r="V73" s="116"/>
      <c r="W73" s="117"/>
      <c r="X73" s="116"/>
      <c r="Y73" s="117"/>
      <c r="Z73" s="105"/>
      <c r="AA73" s="105">
        <v>20</v>
      </c>
      <c r="AB73" s="105"/>
      <c r="AC73" s="105"/>
      <c r="AD73" s="144">
        <v>44713</v>
      </c>
      <c r="AE73" s="108" t="s">
        <v>7564</v>
      </c>
    </row>
    <row r="74" spans="1:31" ht="27" customHeight="1" x14ac:dyDescent="0.15">
      <c r="A74" s="110">
        <v>1110203120</v>
      </c>
      <c r="B74" s="106" t="s">
        <v>7565</v>
      </c>
      <c r="C74" s="106" t="s">
        <v>7556</v>
      </c>
      <c r="D74" s="107" t="s">
        <v>6862</v>
      </c>
      <c r="E74" s="108" t="s">
        <v>7775</v>
      </c>
      <c r="F74" s="109" t="s">
        <v>7557</v>
      </c>
      <c r="G74" s="110" t="s">
        <v>7558</v>
      </c>
      <c r="H74" s="110" t="s">
        <v>7779</v>
      </c>
      <c r="I74" s="141"/>
      <c r="J74" s="142"/>
      <c r="K74" s="142"/>
      <c r="L74" s="142"/>
      <c r="M74" s="142" t="s">
        <v>765</v>
      </c>
      <c r="N74" s="177" t="s">
        <v>765</v>
      </c>
      <c r="O74" s="176"/>
      <c r="P74" s="105"/>
      <c r="Q74" s="137"/>
      <c r="R74" s="138"/>
      <c r="S74" s="105"/>
      <c r="T74" s="105"/>
      <c r="U74" s="105"/>
      <c r="V74" s="116"/>
      <c r="W74" s="117"/>
      <c r="X74" s="116"/>
      <c r="Y74" s="117"/>
      <c r="Z74" s="105">
        <v>20</v>
      </c>
      <c r="AA74" s="105"/>
      <c r="AB74" s="105"/>
      <c r="AC74" s="105"/>
      <c r="AD74" s="144">
        <v>44713</v>
      </c>
      <c r="AE74" s="108" t="s">
        <v>7559</v>
      </c>
    </row>
    <row r="75" spans="1:31" ht="27" customHeight="1" x14ac:dyDescent="0.15">
      <c r="A75" s="110">
        <v>1110203138</v>
      </c>
      <c r="B75" s="106" t="s">
        <v>7635</v>
      </c>
      <c r="C75" s="106" t="s">
        <v>7567</v>
      </c>
      <c r="D75" s="107" t="s">
        <v>6862</v>
      </c>
      <c r="E75" s="108" t="s">
        <v>7776</v>
      </c>
      <c r="F75" s="109" t="s">
        <v>7008</v>
      </c>
      <c r="G75" s="110" t="s">
        <v>7568</v>
      </c>
      <c r="H75" s="110" t="s">
        <v>7569</v>
      </c>
      <c r="I75" s="141"/>
      <c r="J75" s="142"/>
      <c r="K75" s="142" t="s">
        <v>765</v>
      </c>
      <c r="L75" s="142" t="s">
        <v>765</v>
      </c>
      <c r="M75" s="142" t="s">
        <v>765</v>
      </c>
      <c r="N75" s="177" t="s">
        <v>765</v>
      </c>
      <c r="O75" s="176" t="s">
        <v>765</v>
      </c>
      <c r="P75" s="105"/>
      <c r="Q75" s="137"/>
      <c r="R75" s="138"/>
      <c r="S75" s="105"/>
      <c r="T75" s="105"/>
      <c r="U75" s="105"/>
      <c r="V75" s="116"/>
      <c r="W75" s="117"/>
      <c r="X75" s="116"/>
      <c r="Y75" s="117"/>
      <c r="Z75" s="105">
        <v>20</v>
      </c>
      <c r="AA75" s="105"/>
      <c r="AB75" s="105"/>
      <c r="AC75" s="105"/>
      <c r="AD75" s="144">
        <v>44713</v>
      </c>
      <c r="AE75" s="108" t="s">
        <v>7570</v>
      </c>
    </row>
    <row r="76" spans="1:31" ht="27" customHeight="1" x14ac:dyDescent="0.15">
      <c r="A76" s="110">
        <v>1110203179</v>
      </c>
      <c r="B76" s="106" t="s">
        <v>7778</v>
      </c>
      <c r="C76" s="106" t="s">
        <v>7767</v>
      </c>
      <c r="D76" s="107" t="s">
        <v>6862</v>
      </c>
      <c r="E76" s="108" t="s">
        <v>7777</v>
      </c>
      <c r="F76" s="109" t="s">
        <v>7768</v>
      </c>
      <c r="G76" s="110" t="s">
        <v>7769</v>
      </c>
      <c r="H76" s="110" t="s">
        <v>7770</v>
      </c>
      <c r="I76" s="141"/>
      <c r="J76" s="142"/>
      <c r="K76" s="142"/>
      <c r="L76" s="142"/>
      <c r="M76" s="142" t="s">
        <v>765</v>
      </c>
      <c r="N76" s="177" t="s">
        <v>765</v>
      </c>
      <c r="O76" s="176"/>
      <c r="P76" s="105"/>
      <c r="Q76" s="137"/>
      <c r="R76" s="138"/>
      <c r="S76" s="105"/>
      <c r="T76" s="105"/>
      <c r="U76" s="105"/>
      <c r="V76" s="116"/>
      <c r="W76" s="117"/>
      <c r="X76" s="116"/>
      <c r="Y76" s="117"/>
      <c r="Z76" s="105">
        <v>20</v>
      </c>
      <c r="AA76" s="105"/>
      <c r="AB76" s="105"/>
      <c r="AC76" s="105"/>
      <c r="AD76" s="144">
        <v>44805</v>
      </c>
      <c r="AE76" s="108" t="s">
        <v>7771</v>
      </c>
    </row>
    <row r="77" spans="1:31" ht="27" customHeight="1" x14ac:dyDescent="0.15">
      <c r="A77" s="110">
        <v>1110203179</v>
      </c>
      <c r="B77" s="106" t="s">
        <v>7778</v>
      </c>
      <c r="C77" s="106" t="s">
        <v>7767</v>
      </c>
      <c r="D77" s="107" t="s">
        <v>6862</v>
      </c>
      <c r="E77" s="108" t="s">
        <v>7777</v>
      </c>
      <c r="F77" s="109" t="s">
        <v>7768</v>
      </c>
      <c r="G77" s="110" t="s">
        <v>7769</v>
      </c>
      <c r="H77" s="110" t="s">
        <v>7770</v>
      </c>
      <c r="I77" s="141"/>
      <c r="J77" s="142"/>
      <c r="K77" s="142"/>
      <c r="L77" s="142"/>
      <c r="M77" s="142" t="s">
        <v>765</v>
      </c>
      <c r="N77" s="177" t="s">
        <v>765</v>
      </c>
      <c r="O77" s="176"/>
      <c r="P77" s="105"/>
      <c r="Q77" s="137"/>
      <c r="R77" s="138"/>
      <c r="S77" s="105"/>
      <c r="T77" s="105"/>
      <c r="U77" s="105"/>
      <c r="V77" s="116"/>
      <c r="W77" s="117"/>
      <c r="X77" s="116"/>
      <c r="Y77" s="117"/>
      <c r="Z77" s="105"/>
      <c r="AA77" s="105"/>
      <c r="AB77" s="105" t="s">
        <v>4614</v>
      </c>
      <c r="AC77" s="105"/>
      <c r="AD77" s="144">
        <v>46143</v>
      </c>
      <c r="AE77" s="108" t="s">
        <v>7771</v>
      </c>
    </row>
    <row r="78" spans="1:31" ht="27" customHeight="1" x14ac:dyDescent="0.15">
      <c r="A78" s="105">
        <v>1110203211</v>
      </c>
      <c r="B78" s="106" t="s">
        <v>12241</v>
      </c>
      <c r="C78" s="107" t="s">
        <v>12242</v>
      </c>
      <c r="D78" s="108" t="s">
        <v>4643</v>
      </c>
      <c r="E78" s="108" t="s">
        <v>12243</v>
      </c>
      <c r="F78" s="139" t="s">
        <v>10385</v>
      </c>
      <c r="G78" s="140" t="s">
        <v>12112</v>
      </c>
      <c r="H78" s="140" t="s">
        <v>12113</v>
      </c>
      <c r="I78" s="141"/>
      <c r="J78" s="142" t="s">
        <v>12240</v>
      </c>
      <c r="K78" s="142" t="s">
        <v>12240</v>
      </c>
      <c r="L78" s="142" t="s">
        <v>12240</v>
      </c>
      <c r="M78" s="142" t="s">
        <v>10982</v>
      </c>
      <c r="N78" s="142" t="s">
        <v>10982</v>
      </c>
      <c r="O78" s="176"/>
      <c r="P78" s="105"/>
      <c r="Q78" s="137"/>
      <c r="R78" s="138"/>
      <c r="S78" s="105"/>
      <c r="T78" s="105"/>
      <c r="U78" s="105"/>
      <c r="V78" s="137">
        <v>20</v>
      </c>
      <c r="W78" s="138"/>
      <c r="X78" s="137"/>
      <c r="Y78" s="138"/>
      <c r="Z78" s="105"/>
      <c r="AA78" s="105"/>
      <c r="AB78" s="105"/>
      <c r="AC78" s="105"/>
      <c r="AD78" s="144">
        <v>46174</v>
      </c>
      <c r="AE78" s="108" t="s">
        <v>12114</v>
      </c>
    </row>
    <row r="79" spans="1:31" ht="27" customHeight="1" x14ac:dyDescent="0.15">
      <c r="A79" s="105">
        <v>1110203229</v>
      </c>
      <c r="B79" s="106" t="s">
        <v>12041</v>
      </c>
      <c r="C79" s="107" t="s">
        <v>8182</v>
      </c>
      <c r="D79" s="108" t="s">
        <v>4643</v>
      </c>
      <c r="E79" s="108" t="s">
        <v>9776</v>
      </c>
      <c r="F79" s="139" t="s">
        <v>4652</v>
      </c>
      <c r="G79" s="140" t="s">
        <v>8183</v>
      </c>
      <c r="H79" s="140" t="s">
        <v>8184</v>
      </c>
      <c r="I79" s="141"/>
      <c r="J79" s="142"/>
      <c r="K79" s="142"/>
      <c r="L79" s="142" t="s">
        <v>765</v>
      </c>
      <c r="M79" s="142" t="s">
        <v>765</v>
      </c>
      <c r="N79" s="142" t="s">
        <v>765</v>
      </c>
      <c r="O79" s="176" t="s">
        <v>765</v>
      </c>
      <c r="P79" s="105"/>
      <c r="Q79" s="137"/>
      <c r="R79" s="138"/>
      <c r="S79" s="105"/>
      <c r="T79" s="105"/>
      <c r="U79" s="105"/>
      <c r="V79" s="137"/>
      <c r="W79" s="138"/>
      <c r="X79" s="137">
        <v>20</v>
      </c>
      <c r="Y79" s="138"/>
      <c r="Z79" s="105"/>
      <c r="AA79" s="105"/>
      <c r="AB79" s="105"/>
      <c r="AC79" s="105"/>
      <c r="AD79" s="144">
        <v>45017</v>
      </c>
      <c r="AE79" s="108" t="s">
        <v>8185</v>
      </c>
    </row>
    <row r="80" spans="1:31" ht="27" customHeight="1" x14ac:dyDescent="0.15">
      <c r="A80" s="105">
        <v>1110203229</v>
      </c>
      <c r="B80" s="106" t="s">
        <v>12041</v>
      </c>
      <c r="C80" s="107" t="s">
        <v>8182</v>
      </c>
      <c r="D80" s="108" t="s">
        <v>4643</v>
      </c>
      <c r="E80" s="108" t="s">
        <v>9776</v>
      </c>
      <c r="F80" s="139" t="s">
        <v>4652</v>
      </c>
      <c r="G80" s="140" t="s">
        <v>8183</v>
      </c>
      <c r="H80" s="140" t="s">
        <v>8184</v>
      </c>
      <c r="I80" s="141"/>
      <c r="J80" s="142"/>
      <c r="K80" s="142"/>
      <c r="L80" s="142" t="s">
        <v>765</v>
      </c>
      <c r="M80" s="142" t="s">
        <v>765</v>
      </c>
      <c r="N80" s="142" t="s">
        <v>765</v>
      </c>
      <c r="O80" s="176" t="s">
        <v>765</v>
      </c>
      <c r="P80" s="105"/>
      <c r="Q80" s="137"/>
      <c r="R80" s="138"/>
      <c r="S80" s="105"/>
      <c r="T80" s="105"/>
      <c r="U80" s="105"/>
      <c r="V80" s="137"/>
      <c r="W80" s="138"/>
      <c r="X80" s="137"/>
      <c r="Y80" s="138"/>
      <c r="Z80" s="105"/>
      <c r="AA80" s="105"/>
      <c r="AB80" s="105" t="s">
        <v>765</v>
      </c>
      <c r="AC80" s="105"/>
      <c r="AD80" s="144">
        <v>45748</v>
      </c>
      <c r="AE80" s="108" t="s">
        <v>8185</v>
      </c>
    </row>
    <row r="81" spans="1:31" ht="27" customHeight="1" x14ac:dyDescent="0.15">
      <c r="A81" s="105">
        <v>1110203237</v>
      </c>
      <c r="B81" s="106" t="s">
        <v>11698</v>
      </c>
      <c r="C81" s="107" t="s">
        <v>8186</v>
      </c>
      <c r="D81" s="108" t="s">
        <v>4643</v>
      </c>
      <c r="E81" s="108" t="s">
        <v>9777</v>
      </c>
      <c r="F81" s="139" t="s">
        <v>8187</v>
      </c>
      <c r="G81" s="140" t="s">
        <v>8188</v>
      </c>
      <c r="H81" s="140" t="s">
        <v>8189</v>
      </c>
      <c r="I81" s="141" t="s">
        <v>765</v>
      </c>
      <c r="J81" s="142"/>
      <c r="K81" s="142"/>
      <c r="L81" s="142"/>
      <c r="M81" s="142" t="s">
        <v>765</v>
      </c>
      <c r="N81" s="154"/>
      <c r="O81" s="154"/>
      <c r="P81" s="105"/>
      <c r="Q81" s="137"/>
      <c r="R81" s="138"/>
      <c r="S81" s="105"/>
      <c r="T81" s="105">
        <v>30</v>
      </c>
      <c r="U81" s="105"/>
      <c r="V81" s="137"/>
      <c r="W81" s="138"/>
      <c r="X81" s="137"/>
      <c r="Y81" s="138"/>
      <c r="Z81" s="105"/>
      <c r="AA81" s="105"/>
      <c r="AB81" s="105"/>
      <c r="AC81" s="105"/>
      <c r="AD81" s="144">
        <v>45017</v>
      </c>
      <c r="AE81" s="108" t="s">
        <v>8190</v>
      </c>
    </row>
    <row r="82" spans="1:31" ht="27" customHeight="1" x14ac:dyDescent="0.15">
      <c r="A82" s="105">
        <v>1110203245</v>
      </c>
      <c r="B82" s="106" t="s">
        <v>11936</v>
      </c>
      <c r="C82" s="107" t="s">
        <v>8191</v>
      </c>
      <c r="D82" s="108" t="s">
        <v>4643</v>
      </c>
      <c r="E82" s="108" t="s">
        <v>9778</v>
      </c>
      <c r="F82" s="139" t="s">
        <v>8192</v>
      </c>
      <c r="G82" s="140" t="s">
        <v>8193</v>
      </c>
      <c r="H82" s="140"/>
      <c r="I82" s="141"/>
      <c r="J82" s="142"/>
      <c r="K82" s="142" t="s">
        <v>765</v>
      </c>
      <c r="L82" s="142" t="s">
        <v>765</v>
      </c>
      <c r="M82" s="142" t="s">
        <v>765</v>
      </c>
      <c r="N82" s="142" t="s">
        <v>765</v>
      </c>
      <c r="O82" s="138"/>
      <c r="P82" s="105"/>
      <c r="Q82" s="137"/>
      <c r="R82" s="138"/>
      <c r="S82" s="105"/>
      <c r="T82" s="105"/>
      <c r="U82" s="105"/>
      <c r="V82" s="137"/>
      <c r="W82" s="138"/>
      <c r="X82" s="137">
        <v>10</v>
      </c>
      <c r="Y82" s="138"/>
      <c r="Z82" s="105">
        <v>10</v>
      </c>
      <c r="AA82" s="105"/>
      <c r="AB82" s="105"/>
      <c r="AC82" s="105"/>
      <c r="AD82" s="144">
        <v>45017</v>
      </c>
      <c r="AE82" s="108" t="s">
        <v>8194</v>
      </c>
    </row>
    <row r="83" spans="1:31" ht="27" customHeight="1" x14ac:dyDescent="0.15">
      <c r="A83" s="105">
        <v>1110203260</v>
      </c>
      <c r="B83" s="106" t="s">
        <v>11699</v>
      </c>
      <c r="C83" s="107" t="s">
        <v>8259</v>
      </c>
      <c r="D83" s="108" t="s">
        <v>4643</v>
      </c>
      <c r="E83" s="108" t="s">
        <v>9779</v>
      </c>
      <c r="F83" s="139" t="s">
        <v>5198</v>
      </c>
      <c r="G83" s="140" t="s">
        <v>8260</v>
      </c>
      <c r="H83" s="140" t="s">
        <v>8261</v>
      </c>
      <c r="I83" s="141"/>
      <c r="J83" s="142"/>
      <c r="K83" s="142"/>
      <c r="L83" s="142"/>
      <c r="M83" s="142" t="s">
        <v>765</v>
      </c>
      <c r="N83" s="143" t="s">
        <v>765</v>
      </c>
      <c r="O83" s="138" t="s">
        <v>765</v>
      </c>
      <c r="P83" s="105"/>
      <c r="Q83" s="137"/>
      <c r="R83" s="138"/>
      <c r="S83" s="105"/>
      <c r="T83" s="105"/>
      <c r="U83" s="105"/>
      <c r="V83" s="137"/>
      <c r="W83" s="138"/>
      <c r="X83" s="137">
        <v>20</v>
      </c>
      <c r="Y83" s="138"/>
      <c r="Z83" s="105"/>
      <c r="AA83" s="105"/>
      <c r="AB83" s="105"/>
      <c r="AC83" s="105"/>
      <c r="AD83" s="144">
        <v>45047</v>
      </c>
      <c r="AE83" s="108" t="s">
        <v>8262</v>
      </c>
    </row>
    <row r="84" spans="1:31" ht="27" customHeight="1" x14ac:dyDescent="0.15">
      <c r="A84" s="105">
        <v>1110203260</v>
      </c>
      <c r="B84" s="106" t="s">
        <v>11700</v>
      </c>
      <c r="C84" s="107" t="s">
        <v>10779</v>
      </c>
      <c r="D84" s="108" t="s">
        <v>10780</v>
      </c>
      <c r="E84" s="108" t="s">
        <v>11624</v>
      </c>
      <c r="F84" s="139" t="s">
        <v>9597</v>
      </c>
      <c r="G84" s="140" t="s">
        <v>10781</v>
      </c>
      <c r="H84" s="140" t="s">
        <v>10782</v>
      </c>
      <c r="I84" s="141"/>
      <c r="J84" s="142"/>
      <c r="K84" s="142"/>
      <c r="L84" s="142"/>
      <c r="M84" s="142" t="s">
        <v>765</v>
      </c>
      <c r="N84" s="143" t="s">
        <v>765</v>
      </c>
      <c r="O84" s="138" t="s">
        <v>765</v>
      </c>
      <c r="P84" s="105"/>
      <c r="Q84" s="137"/>
      <c r="R84" s="138"/>
      <c r="S84" s="105"/>
      <c r="T84" s="105"/>
      <c r="U84" s="105"/>
      <c r="V84" s="137"/>
      <c r="W84" s="138"/>
      <c r="X84" s="137"/>
      <c r="Y84" s="138"/>
      <c r="Z84" s="105"/>
      <c r="AA84" s="105"/>
      <c r="AB84" s="105" t="s">
        <v>765</v>
      </c>
      <c r="AC84" s="105"/>
      <c r="AD84" s="144">
        <v>45931</v>
      </c>
      <c r="AE84" s="108" t="s">
        <v>10773</v>
      </c>
    </row>
    <row r="85" spans="1:31" ht="27" customHeight="1" x14ac:dyDescent="0.15">
      <c r="A85" s="105">
        <v>1110203260</v>
      </c>
      <c r="B85" s="106" t="s">
        <v>11700</v>
      </c>
      <c r="C85" s="107" t="s">
        <v>10779</v>
      </c>
      <c r="D85" s="108" t="s">
        <v>10780</v>
      </c>
      <c r="E85" s="108" t="s">
        <v>11624</v>
      </c>
      <c r="F85" s="139" t="s">
        <v>9597</v>
      </c>
      <c r="G85" s="140" t="s">
        <v>10781</v>
      </c>
      <c r="H85" s="140" t="s">
        <v>10782</v>
      </c>
      <c r="I85" s="141"/>
      <c r="J85" s="142"/>
      <c r="K85" s="142"/>
      <c r="L85" s="142"/>
      <c r="M85" s="142" t="s">
        <v>765</v>
      </c>
      <c r="N85" s="143" t="s">
        <v>765</v>
      </c>
      <c r="O85" s="138" t="s">
        <v>765</v>
      </c>
      <c r="P85" s="105"/>
      <c r="Q85" s="137"/>
      <c r="R85" s="138"/>
      <c r="S85" s="105"/>
      <c r="T85" s="105"/>
      <c r="U85" s="105"/>
      <c r="V85" s="137"/>
      <c r="W85" s="138"/>
      <c r="X85" s="137"/>
      <c r="Y85" s="138"/>
      <c r="Z85" s="105"/>
      <c r="AA85" s="105"/>
      <c r="AB85" s="105"/>
      <c r="AC85" s="105">
        <v>10</v>
      </c>
      <c r="AD85" s="144">
        <v>45931</v>
      </c>
      <c r="AE85" s="108" t="s">
        <v>10773</v>
      </c>
    </row>
    <row r="86" spans="1:31" ht="27" customHeight="1" x14ac:dyDescent="0.15">
      <c r="A86" s="105">
        <v>1110203294</v>
      </c>
      <c r="B86" s="106" t="s">
        <v>12042</v>
      </c>
      <c r="C86" s="107" t="s">
        <v>8587</v>
      </c>
      <c r="D86" s="108" t="s">
        <v>4643</v>
      </c>
      <c r="E86" s="108" t="s">
        <v>9780</v>
      </c>
      <c r="F86" s="139" t="s">
        <v>8588</v>
      </c>
      <c r="G86" s="140" t="s">
        <v>8589</v>
      </c>
      <c r="H86" s="140" t="s">
        <v>8589</v>
      </c>
      <c r="I86" s="141"/>
      <c r="J86" s="142"/>
      <c r="K86" s="142"/>
      <c r="L86" s="142"/>
      <c r="M86" s="142" t="s">
        <v>765</v>
      </c>
      <c r="N86" s="143"/>
      <c r="O86" s="138"/>
      <c r="P86" s="105"/>
      <c r="Q86" s="137"/>
      <c r="R86" s="138"/>
      <c r="S86" s="105"/>
      <c r="T86" s="105"/>
      <c r="U86" s="105"/>
      <c r="V86" s="137"/>
      <c r="W86" s="138"/>
      <c r="X86" s="137"/>
      <c r="Y86" s="138"/>
      <c r="Z86" s="105"/>
      <c r="AA86" s="105">
        <v>20</v>
      </c>
      <c r="AB86" s="105"/>
      <c r="AC86" s="105"/>
      <c r="AD86" s="144">
        <v>45170</v>
      </c>
      <c r="AE86" s="108" t="s">
        <v>8590</v>
      </c>
    </row>
    <row r="87" spans="1:31" ht="27" customHeight="1" x14ac:dyDescent="0.15">
      <c r="A87" s="76">
        <v>1110203351</v>
      </c>
      <c r="B87" s="163" t="s">
        <v>11701</v>
      </c>
      <c r="C87" s="164" t="s">
        <v>11037</v>
      </c>
      <c r="D87" s="166" t="s">
        <v>8857</v>
      </c>
      <c r="E87" s="166" t="s">
        <v>9781</v>
      </c>
      <c r="F87" s="167" t="s">
        <v>8858</v>
      </c>
      <c r="G87" s="168" t="s">
        <v>8859</v>
      </c>
      <c r="H87" s="168" t="s">
        <v>8860</v>
      </c>
      <c r="I87" s="178"/>
      <c r="J87" s="170"/>
      <c r="K87" s="170"/>
      <c r="L87" s="170"/>
      <c r="M87" s="170" t="s">
        <v>765</v>
      </c>
      <c r="N87" s="148" t="s">
        <v>765</v>
      </c>
      <c r="O87" s="92" t="s">
        <v>765</v>
      </c>
      <c r="P87" s="76"/>
      <c r="Q87" s="70"/>
      <c r="R87" s="92"/>
      <c r="S87" s="76"/>
      <c r="T87" s="76"/>
      <c r="U87" s="76"/>
      <c r="V87" s="70"/>
      <c r="W87" s="92"/>
      <c r="X87" s="70"/>
      <c r="Y87" s="92"/>
      <c r="Z87" s="76"/>
      <c r="AA87" s="76">
        <v>20</v>
      </c>
      <c r="AB87" s="76"/>
      <c r="AC87" s="76"/>
      <c r="AD87" s="145">
        <v>45261</v>
      </c>
      <c r="AE87" s="166" t="s">
        <v>8861</v>
      </c>
    </row>
    <row r="88" spans="1:31" ht="27" customHeight="1" x14ac:dyDescent="0.15">
      <c r="A88" s="76">
        <v>1110203393</v>
      </c>
      <c r="B88" s="163" t="s">
        <v>11702</v>
      </c>
      <c r="C88" s="164" t="s">
        <v>8959</v>
      </c>
      <c r="D88" s="166" t="s">
        <v>8960</v>
      </c>
      <c r="E88" s="166" t="s">
        <v>9782</v>
      </c>
      <c r="F88" s="167" t="s">
        <v>8961</v>
      </c>
      <c r="G88" s="168" t="s">
        <v>8962</v>
      </c>
      <c r="H88" s="168"/>
      <c r="I88" s="178"/>
      <c r="J88" s="170"/>
      <c r="K88" s="170"/>
      <c r="L88" s="170"/>
      <c r="M88" s="170" t="s">
        <v>765</v>
      </c>
      <c r="N88" s="148" t="s">
        <v>765</v>
      </c>
      <c r="O88" s="92"/>
      <c r="P88" s="76"/>
      <c r="Q88" s="70"/>
      <c r="R88" s="92"/>
      <c r="S88" s="76"/>
      <c r="T88" s="76"/>
      <c r="U88" s="76"/>
      <c r="V88" s="70"/>
      <c r="W88" s="92"/>
      <c r="X88" s="70"/>
      <c r="Y88" s="92"/>
      <c r="Z88" s="76"/>
      <c r="AA88" s="76">
        <v>20</v>
      </c>
      <c r="AB88" s="76"/>
      <c r="AC88" s="76"/>
      <c r="AD88" s="145">
        <v>45323</v>
      </c>
      <c r="AE88" s="166" t="s">
        <v>8963</v>
      </c>
    </row>
    <row r="89" spans="1:31" ht="27" customHeight="1" x14ac:dyDescent="0.15">
      <c r="A89" s="76">
        <v>1110203435</v>
      </c>
      <c r="B89" s="163" t="s">
        <v>11690</v>
      </c>
      <c r="C89" s="164" t="s">
        <v>9086</v>
      </c>
      <c r="D89" s="166" t="s">
        <v>9081</v>
      </c>
      <c r="E89" s="166" t="s">
        <v>9783</v>
      </c>
      <c r="F89" s="167" t="s">
        <v>9087</v>
      </c>
      <c r="G89" s="168" t="s">
        <v>9088</v>
      </c>
      <c r="H89" s="168" t="s">
        <v>9089</v>
      </c>
      <c r="I89" s="169" t="s">
        <v>765</v>
      </c>
      <c r="J89" s="170"/>
      <c r="K89" s="170"/>
      <c r="L89" s="170"/>
      <c r="M89" s="170" t="s">
        <v>765</v>
      </c>
      <c r="N89" s="148"/>
      <c r="O89" s="148"/>
      <c r="P89" s="76"/>
      <c r="Q89" s="70"/>
      <c r="R89" s="92"/>
      <c r="S89" s="76"/>
      <c r="T89" s="76">
        <v>25</v>
      </c>
      <c r="U89" s="76"/>
      <c r="V89" s="70"/>
      <c r="W89" s="92"/>
      <c r="X89" s="70"/>
      <c r="Y89" s="92"/>
      <c r="Z89" s="76"/>
      <c r="AA89" s="76">
        <v>10</v>
      </c>
      <c r="AB89" s="76"/>
      <c r="AC89" s="76"/>
      <c r="AD89" s="145">
        <v>45383</v>
      </c>
      <c r="AE89" s="166" t="s">
        <v>9090</v>
      </c>
    </row>
    <row r="90" spans="1:31" ht="27" customHeight="1" x14ac:dyDescent="0.15">
      <c r="A90" s="76">
        <v>1110203443</v>
      </c>
      <c r="B90" s="163" t="s">
        <v>11703</v>
      </c>
      <c r="C90" s="164" t="s">
        <v>9191</v>
      </c>
      <c r="D90" s="166" t="s">
        <v>9192</v>
      </c>
      <c r="E90" s="166" t="s">
        <v>9784</v>
      </c>
      <c r="F90" s="167" t="s">
        <v>9193</v>
      </c>
      <c r="G90" s="168" t="s">
        <v>9194</v>
      </c>
      <c r="H90" s="168" t="s">
        <v>9195</v>
      </c>
      <c r="I90" s="169"/>
      <c r="J90" s="170"/>
      <c r="K90" s="170"/>
      <c r="L90" s="170"/>
      <c r="M90" s="170"/>
      <c r="N90" s="148" t="s">
        <v>765</v>
      </c>
      <c r="O90" s="148" t="s">
        <v>765</v>
      </c>
      <c r="P90" s="76"/>
      <c r="Q90" s="70"/>
      <c r="R90" s="92"/>
      <c r="S90" s="76"/>
      <c r="T90" s="76"/>
      <c r="U90" s="76"/>
      <c r="V90" s="70">
        <v>10</v>
      </c>
      <c r="W90" s="92"/>
      <c r="X90" s="70">
        <v>10</v>
      </c>
      <c r="Y90" s="92"/>
      <c r="Z90" s="76"/>
      <c r="AA90" s="76"/>
      <c r="AB90" s="76"/>
      <c r="AC90" s="76"/>
      <c r="AD90" s="145">
        <v>45413</v>
      </c>
      <c r="AE90" s="166" t="s">
        <v>9196</v>
      </c>
    </row>
    <row r="91" spans="1:31" ht="27" customHeight="1" x14ac:dyDescent="0.15">
      <c r="A91" s="76">
        <v>1110203459</v>
      </c>
      <c r="B91" s="163" t="s">
        <v>11704</v>
      </c>
      <c r="C91" s="164" t="s">
        <v>9761</v>
      </c>
      <c r="D91" s="166" t="s">
        <v>4643</v>
      </c>
      <c r="E91" s="166" t="s">
        <v>9785</v>
      </c>
      <c r="F91" s="167" t="s">
        <v>8192</v>
      </c>
      <c r="G91" s="168" t="s">
        <v>9386</v>
      </c>
      <c r="H91" s="168" t="s">
        <v>9759</v>
      </c>
      <c r="I91" s="169"/>
      <c r="J91" s="170"/>
      <c r="K91" s="170"/>
      <c r="L91" s="170" t="s">
        <v>765</v>
      </c>
      <c r="M91" s="170" t="s">
        <v>765</v>
      </c>
      <c r="N91" s="148" t="s">
        <v>765</v>
      </c>
      <c r="O91" s="148" t="s">
        <v>765</v>
      </c>
      <c r="P91" s="76"/>
      <c r="Q91" s="70"/>
      <c r="R91" s="92"/>
      <c r="S91" s="76"/>
      <c r="T91" s="76"/>
      <c r="U91" s="76"/>
      <c r="V91" s="70"/>
      <c r="W91" s="92"/>
      <c r="X91" s="70"/>
      <c r="Y91" s="92"/>
      <c r="Z91" s="76"/>
      <c r="AA91" s="76">
        <v>20</v>
      </c>
      <c r="AB91" s="76"/>
      <c r="AC91" s="76"/>
      <c r="AD91" s="145">
        <v>45627</v>
      </c>
      <c r="AE91" s="166" t="s">
        <v>9760</v>
      </c>
    </row>
    <row r="92" spans="1:31" ht="27" customHeight="1" x14ac:dyDescent="0.15">
      <c r="A92" s="76">
        <v>1110203468</v>
      </c>
      <c r="B92" s="163" t="s">
        <v>12043</v>
      </c>
      <c r="C92" s="164" t="s">
        <v>9268</v>
      </c>
      <c r="D92" s="166" t="s">
        <v>9269</v>
      </c>
      <c r="E92" s="166" t="s">
        <v>9786</v>
      </c>
      <c r="F92" s="167" t="s">
        <v>9270</v>
      </c>
      <c r="G92" s="168" t="s">
        <v>9538</v>
      </c>
      <c r="H92" s="168" t="s">
        <v>9538</v>
      </c>
      <c r="I92" s="169"/>
      <c r="J92" s="170"/>
      <c r="K92" s="170"/>
      <c r="L92" s="170"/>
      <c r="M92" s="170" t="s">
        <v>765</v>
      </c>
      <c r="N92" s="148" t="s">
        <v>765</v>
      </c>
      <c r="O92" s="148"/>
      <c r="P92" s="76"/>
      <c r="Q92" s="70"/>
      <c r="R92" s="92"/>
      <c r="S92" s="76"/>
      <c r="T92" s="76"/>
      <c r="U92" s="76"/>
      <c r="V92" s="70"/>
      <c r="W92" s="92"/>
      <c r="X92" s="70"/>
      <c r="Y92" s="92"/>
      <c r="Z92" s="76"/>
      <c r="AA92" s="76">
        <v>20</v>
      </c>
      <c r="AB92" s="76"/>
      <c r="AC92" s="76"/>
      <c r="AD92" s="145">
        <v>45444</v>
      </c>
      <c r="AE92" s="166" t="s">
        <v>9271</v>
      </c>
    </row>
    <row r="93" spans="1:31" ht="27" customHeight="1" x14ac:dyDescent="0.15">
      <c r="A93" s="76">
        <v>1110203476</v>
      </c>
      <c r="B93" s="163" t="s">
        <v>11705</v>
      </c>
      <c r="C93" s="164" t="s">
        <v>9337</v>
      </c>
      <c r="D93" s="166" t="s">
        <v>9338</v>
      </c>
      <c r="E93" s="166" t="s">
        <v>9787</v>
      </c>
      <c r="F93" s="167" t="s">
        <v>6285</v>
      </c>
      <c r="G93" s="168" t="s">
        <v>9339</v>
      </c>
      <c r="H93" s="168" t="s">
        <v>9340</v>
      </c>
      <c r="I93" s="169"/>
      <c r="J93" s="170"/>
      <c r="K93" s="170"/>
      <c r="L93" s="170"/>
      <c r="M93" s="170" t="s">
        <v>765</v>
      </c>
      <c r="N93" s="148" t="s">
        <v>765</v>
      </c>
      <c r="O93" s="148"/>
      <c r="P93" s="76"/>
      <c r="Q93" s="70"/>
      <c r="R93" s="92"/>
      <c r="S93" s="76"/>
      <c r="T93" s="76"/>
      <c r="U93" s="76"/>
      <c r="V93" s="70"/>
      <c r="W93" s="92"/>
      <c r="X93" s="70"/>
      <c r="Y93" s="92"/>
      <c r="Z93" s="76">
        <v>20</v>
      </c>
      <c r="AA93" s="76"/>
      <c r="AB93" s="76"/>
      <c r="AC93" s="76"/>
      <c r="AD93" s="145">
        <v>45474</v>
      </c>
      <c r="AE93" s="166" t="s">
        <v>9341</v>
      </c>
    </row>
    <row r="94" spans="1:31" ht="27" customHeight="1" x14ac:dyDescent="0.15">
      <c r="A94" s="76">
        <v>1110203492</v>
      </c>
      <c r="B94" s="163" t="s">
        <v>11706</v>
      </c>
      <c r="C94" s="164" t="s">
        <v>9342</v>
      </c>
      <c r="D94" s="166" t="s">
        <v>9338</v>
      </c>
      <c r="E94" s="166" t="s">
        <v>9788</v>
      </c>
      <c r="F94" s="167" t="s">
        <v>9343</v>
      </c>
      <c r="G94" s="168" t="s">
        <v>9344</v>
      </c>
      <c r="H94" s="168" t="s">
        <v>9345</v>
      </c>
      <c r="I94" s="169" t="s">
        <v>765</v>
      </c>
      <c r="J94" s="170"/>
      <c r="K94" s="170" t="s">
        <v>765</v>
      </c>
      <c r="L94" s="170" t="s">
        <v>765</v>
      </c>
      <c r="M94" s="170" t="s">
        <v>765</v>
      </c>
      <c r="N94" s="148" t="s">
        <v>765</v>
      </c>
      <c r="O94" s="148" t="s">
        <v>765</v>
      </c>
      <c r="P94" s="76"/>
      <c r="Q94" s="70"/>
      <c r="R94" s="92"/>
      <c r="S94" s="76"/>
      <c r="T94" s="76"/>
      <c r="U94" s="76"/>
      <c r="V94" s="70"/>
      <c r="W94" s="92"/>
      <c r="X94" s="70"/>
      <c r="Y94" s="92"/>
      <c r="Z94" s="76"/>
      <c r="AA94" s="76">
        <v>20</v>
      </c>
      <c r="AB94" s="76"/>
      <c r="AC94" s="76"/>
      <c r="AD94" s="145">
        <v>45474</v>
      </c>
      <c r="AE94" s="166" t="s">
        <v>9346</v>
      </c>
    </row>
    <row r="95" spans="1:31" ht="27" customHeight="1" x14ac:dyDescent="0.15">
      <c r="A95" s="76">
        <v>1110203500</v>
      </c>
      <c r="B95" s="163" t="s">
        <v>11707</v>
      </c>
      <c r="C95" s="164" t="s">
        <v>9469</v>
      </c>
      <c r="D95" s="165" t="s">
        <v>9470</v>
      </c>
      <c r="E95" s="166" t="s">
        <v>9789</v>
      </c>
      <c r="F95" s="167">
        <v>3320017</v>
      </c>
      <c r="G95" s="168" t="s">
        <v>9471</v>
      </c>
      <c r="H95" s="168" t="s">
        <v>9472</v>
      </c>
      <c r="I95" s="169"/>
      <c r="J95" s="170" t="s">
        <v>765</v>
      </c>
      <c r="K95" s="170" t="s">
        <v>765</v>
      </c>
      <c r="L95" s="170" t="s">
        <v>765</v>
      </c>
      <c r="M95" s="170" t="s">
        <v>765</v>
      </c>
      <c r="N95" s="148" t="s">
        <v>765</v>
      </c>
      <c r="O95" s="148" t="s">
        <v>765</v>
      </c>
      <c r="P95" s="76"/>
      <c r="Q95" s="70"/>
      <c r="R95" s="92"/>
      <c r="S95" s="76"/>
      <c r="T95" s="76"/>
      <c r="U95" s="76"/>
      <c r="V95" s="70"/>
      <c r="W95" s="92"/>
      <c r="X95" s="70">
        <v>20</v>
      </c>
      <c r="Y95" s="92"/>
      <c r="Z95" s="76"/>
      <c r="AA95" s="76"/>
      <c r="AB95" s="76"/>
      <c r="AC95" s="76"/>
      <c r="AD95" s="145">
        <v>45536</v>
      </c>
      <c r="AE95" s="166" t="s">
        <v>9473</v>
      </c>
    </row>
    <row r="96" spans="1:31" ht="27" customHeight="1" x14ac:dyDescent="0.15">
      <c r="A96" s="76">
        <v>1110203500</v>
      </c>
      <c r="B96" s="163" t="s">
        <v>11707</v>
      </c>
      <c r="C96" s="164" t="s">
        <v>9469</v>
      </c>
      <c r="D96" s="165" t="s">
        <v>4643</v>
      </c>
      <c r="E96" s="166" t="s">
        <v>9789</v>
      </c>
      <c r="F96" s="167">
        <v>3320017</v>
      </c>
      <c r="G96" s="168" t="s">
        <v>9471</v>
      </c>
      <c r="H96" s="168" t="s">
        <v>9472</v>
      </c>
      <c r="I96" s="169"/>
      <c r="J96" s="170" t="s">
        <v>11046</v>
      </c>
      <c r="K96" s="170" t="s">
        <v>11046</v>
      </c>
      <c r="L96" s="170" t="s">
        <v>11046</v>
      </c>
      <c r="M96" s="170" t="s">
        <v>11046</v>
      </c>
      <c r="N96" s="148" t="s">
        <v>11046</v>
      </c>
      <c r="O96" s="148" t="s">
        <v>11046</v>
      </c>
      <c r="P96" s="76"/>
      <c r="Q96" s="70"/>
      <c r="R96" s="92"/>
      <c r="S96" s="76"/>
      <c r="T96" s="76"/>
      <c r="U96" s="76"/>
      <c r="V96" s="70"/>
      <c r="W96" s="92"/>
      <c r="X96" s="70"/>
      <c r="Y96" s="92"/>
      <c r="Z96" s="76"/>
      <c r="AA96" s="76"/>
      <c r="AB96" s="76" t="s">
        <v>49</v>
      </c>
      <c r="AC96" s="76"/>
      <c r="AD96" s="146">
        <v>46054</v>
      </c>
      <c r="AE96" s="166" t="s">
        <v>11049</v>
      </c>
    </row>
    <row r="97" spans="1:31" ht="27" customHeight="1" x14ac:dyDescent="0.15">
      <c r="A97" s="76">
        <v>1110203526</v>
      </c>
      <c r="B97" s="163" t="s">
        <v>12044</v>
      </c>
      <c r="C97" s="164" t="s">
        <v>9590</v>
      </c>
      <c r="D97" s="165" t="s">
        <v>9591</v>
      </c>
      <c r="E97" s="166" t="s">
        <v>9790</v>
      </c>
      <c r="F97" s="167" t="s">
        <v>9592</v>
      </c>
      <c r="G97" s="168" t="s">
        <v>9593</v>
      </c>
      <c r="H97" s="168" t="s">
        <v>9594</v>
      </c>
      <c r="I97" s="169"/>
      <c r="J97" s="170" t="s">
        <v>765</v>
      </c>
      <c r="K97" s="170" t="s">
        <v>765</v>
      </c>
      <c r="L97" s="170" t="s">
        <v>765</v>
      </c>
      <c r="M97" s="170" t="s">
        <v>765</v>
      </c>
      <c r="N97" s="148" t="s">
        <v>765</v>
      </c>
      <c r="O97" s="148" t="s">
        <v>765</v>
      </c>
      <c r="P97" s="76"/>
      <c r="Q97" s="70"/>
      <c r="R97" s="92"/>
      <c r="S97" s="76"/>
      <c r="T97" s="76"/>
      <c r="U97" s="76"/>
      <c r="V97" s="70"/>
      <c r="W97" s="92"/>
      <c r="X97" s="70"/>
      <c r="Y97" s="92"/>
      <c r="Z97" s="76"/>
      <c r="AA97" s="76">
        <v>20</v>
      </c>
      <c r="AB97" s="76"/>
      <c r="AC97" s="76"/>
      <c r="AD97" s="145">
        <v>45597</v>
      </c>
      <c r="AE97" s="166" t="s">
        <v>9595</v>
      </c>
    </row>
    <row r="98" spans="1:31" ht="27" customHeight="1" x14ac:dyDescent="0.15">
      <c r="A98" s="76">
        <v>1110203534</v>
      </c>
      <c r="B98" s="163" t="s">
        <v>11708</v>
      </c>
      <c r="C98" s="164" t="s">
        <v>9596</v>
      </c>
      <c r="D98" s="165" t="s">
        <v>9591</v>
      </c>
      <c r="E98" s="166" t="s">
        <v>9791</v>
      </c>
      <c r="F98" s="167" t="s">
        <v>9597</v>
      </c>
      <c r="G98" s="168" t="s">
        <v>9598</v>
      </c>
      <c r="H98" s="168" t="s">
        <v>9599</v>
      </c>
      <c r="I98" s="169" t="s">
        <v>765</v>
      </c>
      <c r="J98" s="170" t="s">
        <v>765</v>
      </c>
      <c r="K98" s="170" t="s">
        <v>765</v>
      </c>
      <c r="L98" s="170" t="s">
        <v>765</v>
      </c>
      <c r="M98" s="170" t="s">
        <v>765</v>
      </c>
      <c r="N98" s="148" t="s">
        <v>765</v>
      </c>
      <c r="O98" s="148" t="s">
        <v>765</v>
      </c>
      <c r="P98" s="76"/>
      <c r="Q98" s="70"/>
      <c r="R98" s="92"/>
      <c r="S98" s="76"/>
      <c r="T98" s="76"/>
      <c r="U98" s="76"/>
      <c r="V98" s="70"/>
      <c r="W98" s="92"/>
      <c r="X98" s="70"/>
      <c r="Y98" s="92"/>
      <c r="Z98" s="76"/>
      <c r="AA98" s="76">
        <v>20</v>
      </c>
      <c r="AB98" s="76"/>
      <c r="AC98" s="76"/>
      <c r="AD98" s="145">
        <v>45597</v>
      </c>
      <c r="AE98" s="166" t="s">
        <v>9600</v>
      </c>
    </row>
    <row r="99" spans="1:31" ht="27" customHeight="1" x14ac:dyDescent="0.15">
      <c r="A99" s="76">
        <v>1110203575</v>
      </c>
      <c r="B99" s="163" t="s">
        <v>11709</v>
      </c>
      <c r="C99" s="164" t="s">
        <v>9762</v>
      </c>
      <c r="D99" s="165" t="s">
        <v>9267</v>
      </c>
      <c r="E99" s="166" t="s">
        <v>9792</v>
      </c>
      <c r="F99" s="167" t="s">
        <v>9763</v>
      </c>
      <c r="G99" s="168" t="s">
        <v>9764</v>
      </c>
      <c r="H99" s="168" t="s">
        <v>9764</v>
      </c>
      <c r="I99" s="169"/>
      <c r="J99" s="170"/>
      <c r="K99" s="170"/>
      <c r="L99" s="170"/>
      <c r="M99" s="170" t="s">
        <v>765</v>
      </c>
      <c r="N99" s="148" t="s">
        <v>765</v>
      </c>
      <c r="O99" s="148"/>
      <c r="P99" s="76"/>
      <c r="Q99" s="70"/>
      <c r="R99" s="92"/>
      <c r="S99" s="76"/>
      <c r="T99" s="76"/>
      <c r="U99" s="76"/>
      <c r="V99" s="70"/>
      <c r="W99" s="92"/>
      <c r="X99" s="70"/>
      <c r="Y99" s="92"/>
      <c r="Z99" s="76">
        <v>20</v>
      </c>
      <c r="AA99" s="76"/>
      <c r="AB99" s="76"/>
      <c r="AC99" s="76"/>
      <c r="AD99" s="145">
        <v>45627</v>
      </c>
      <c r="AE99" s="166" t="s">
        <v>9765</v>
      </c>
    </row>
    <row r="100" spans="1:31" ht="27" customHeight="1" x14ac:dyDescent="0.15">
      <c r="A100" s="76">
        <v>1110203625</v>
      </c>
      <c r="B100" s="163" t="s">
        <v>11978</v>
      </c>
      <c r="C100" s="164" t="s">
        <v>10060</v>
      </c>
      <c r="D100" s="165" t="s">
        <v>10061</v>
      </c>
      <c r="E100" s="166" t="s">
        <v>11625</v>
      </c>
      <c r="F100" s="167" t="s">
        <v>10062</v>
      </c>
      <c r="G100" s="168" t="s">
        <v>10063</v>
      </c>
      <c r="H100" s="168" t="s">
        <v>10064</v>
      </c>
      <c r="I100" s="169"/>
      <c r="J100" s="170"/>
      <c r="K100" s="170"/>
      <c r="L100" s="170"/>
      <c r="M100" s="170" t="s">
        <v>765</v>
      </c>
      <c r="N100" s="148" t="s">
        <v>765</v>
      </c>
      <c r="O100" s="148"/>
      <c r="P100" s="76"/>
      <c r="Q100" s="70"/>
      <c r="R100" s="92"/>
      <c r="S100" s="76"/>
      <c r="T100" s="76"/>
      <c r="U100" s="76"/>
      <c r="V100" s="70">
        <v>10</v>
      </c>
      <c r="W100" s="92"/>
      <c r="X100" s="70">
        <v>10</v>
      </c>
      <c r="Y100" s="92"/>
      <c r="Z100" s="76"/>
      <c r="AA100" s="76"/>
      <c r="AB100" s="76"/>
      <c r="AC100" s="76"/>
      <c r="AD100" s="145">
        <v>45748</v>
      </c>
      <c r="AE100" s="166" t="s">
        <v>10065</v>
      </c>
    </row>
    <row r="101" spans="1:31" ht="27" customHeight="1" x14ac:dyDescent="0.15">
      <c r="A101" s="76">
        <v>1110203633</v>
      </c>
      <c r="B101" s="163" t="s">
        <v>11710</v>
      </c>
      <c r="C101" s="164" t="s">
        <v>10066</v>
      </c>
      <c r="D101" s="165" t="s">
        <v>10061</v>
      </c>
      <c r="E101" s="166" t="s">
        <v>11626</v>
      </c>
      <c r="F101" s="167" t="s">
        <v>10067</v>
      </c>
      <c r="G101" s="168" t="s">
        <v>10068</v>
      </c>
      <c r="H101" s="168" t="s">
        <v>10069</v>
      </c>
      <c r="I101" s="169" t="s">
        <v>765</v>
      </c>
      <c r="J101" s="170"/>
      <c r="K101" s="170"/>
      <c r="L101" s="170"/>
      <c r="M101" s="170" t="s">
        <v>765</v>
      </c>
      <c r="N101" s="148" t="s">
        <v>765</v>
      </c>
      <c r="O101" s="148"/>
      <c r="P101" s="76"/>
      <c r="Q101" s="70"/>
      <c r="R101" s="92">
        <v>2</v>
      </c>
      <c r="S101" s="76"/>
      <c r="T101" s="76"/>
      <c r="U101" s="76"/>
      <c r="V101" s="70"/>
      <c r="W101" s="92"/>
      <c r="X101" s="70"/>
      <c r="Y101" s="92"/>
      <c r="Z101" s="76"/>
      <c r="AA101" s="76">
        <v>20</v>
      </c>
      <c r="AB101" s="76"/>
      <c r="AC101" s="76"/>
      <c r="AD101" s="145">
        <v>45748</v>
      </c>
      <c r="AE101" s="166" t="s">
        <v>10070</v>
      </c>
    </row>
    <row r="102" spans="1:31" ht="26.25" customHeight="1" x14ac:dyDescent="0.15">
      <c r="A102" s="76">
        <v>1110203641</v>
      </c>
      <c r="B102" s="163" t="s">
        <v>11711</v>
      </c>
      <c r="C102" s="164" t="s">
        <v>10071</v>
      </c>
      <c r="D102" s="165" t="s">
        <v>10061</v>
      </c>
      <c r="E102" s="166" t="s">
        <v>11627</v>
      </c>
      <c r="F102" s="167" t="s">
        <v>10067</v>
      </c>
      <c r="G102" s="168" t="s">
        <v>10072</v>
      </c>
      <c r="H102" s="168" t="s">
        <v>10073</v>
      </c>
      <c r="I102" s="169" t="s">
        <v>765</v>
      </c>
      <c r="J102" s="170" t="s">
        <v>765</v>
      </c>
      <c r="K102" s="170" t="s">
        <v>765</v>
      </c>
      <c r="L102" s="170" t="s">
        <v>765</v>
      </c>
      <c r="M102" s="170" t="s">
        <v>765</v>
      </c>
      <c r="N102" s="148" t="s">
        <v>765</v>
      </c>
      <c r="O102" s="148" t="s">
        <v>765</v>
      </c>
      <c r="P102" s="76"/>
      <c r="Q102" s="70"/>
      <c r="R102" s="92">
        <v>2</v>
      </c>
      <c r="S102" s="76"/>
      <c r="T102" s="76"/>
      <c r="U102" s="76"/>
      <c r="V102" s="70"/>
      <c r="W102" s="92"/>
      <c r="X102" s="70">
        <v>6</v>
      </c>
      <c r="Y102" s="92"/>
      <c r="Z102" s="76"/>
      <c r="AA102" s="76">
        <v>14</v>
      </c>
      <c r="AB102" s="76"/>
      <c r="AC102" s="76"/>
      <c r="AD102" s="145">
        <v>45748</v>
      </c>
      <c r="AE102" s="166" t="s">
        <v>10074</v>
      </c>
    </row>
    <row r="103" spans="1:31" ht="26.25" customHeight="1" x14ac:dyDescent="0.15">
      <c r="A103" s="76">
        <v>1110203690</v>
      </c>
      <c r="B103" s="163" t="s">
        <v>11712</v>
      </c>
      <c r="C103" s="164" t="s">
        <v>10313</v>
      </c>
      <c r="D103" s="165" t="s">
        <v>10314</v>
      </c>
      <c r="E103" s="166" t="s">
        <v>11628</v>
      </c>
      <c r="F103" s="167" t="s">
        <v>10315</v>
      </c>
      <c r="G103" s="168" t="s">
        <v>10316</v>
      </c>
      <c r="H103" s="168" t="s">
        <v>10317</v>
      </c>
      <c r="I103" s="169"/>
      <c r="J103" s="170" t="s">
        <v>765</v>
      </c>
      <c r="K103" s="170" t="s">
        <v>765</v>
      </c>
      <c r="L103" s="170" t="s">
        <v>765</v>
      </c>
      <c r="M103" s="170" t="s">
        <v>765</v>
      </c>
      <c r="N103" s="148" t="s">
        <v>765</v>
      </c>
      <c r="O103" s="148"/>
      <c r="P103" s="76"/>
      <c r="Q103" s="70"/>
      <c r="R103" s="92"/>
      <c r="S103" s="76"/>
      <c r="T103" s="76"/>
      <c r="U103" s="76"/>
      <c r="V103" s="70"/>
      <c r="W103" s="92"/>
      <c r="X103" s="70"/>
      <c r="Y103" s="92"/>
      <c r="Z103" s="76"/>
      <c r="AA103" s="76">
        <v>20</v>
      </c>
      <c r="AB103" s="76"/>
      <c r="AC103" s="76"/>
      <c r="AD103" s="145">
        <v>45809</v>
      </c>
      <c r="AE103" s="166" t="s">
        <v>10318</v>
      </c>
    </row>
    <row r="104" spans="1:31" ht="27" customHeight="1" x14ac:dyDescent="0.15">
      <c r="A104" s="76">
        <v>1110203716</v>
      </c>
      <c r="B104" s="163" t="s">
        <v>11713</v>
      </c>
      <c r="C104" s="164" t="s">
        <v>10383</v>
      </c>
      <c r="D104" s="165" t="s">
        <v>9267</v>
      </c>
      <c r="E104" s="166" t="s">
        <v>11629</v>
      </c>
      <c r="F104" s="167" t="s">
        <v>10385</v>
      </c>
      <c r="G104" s="168" t="s">
        <v>10386</v>
      </c>
      <c r="H104" s="168" t="s">
        <v>10386</v>
      </c>
      <c r="I104" s="169"/>
      <c r="J104" s="170" t="s">
        <v>765</v>
      </c>
      <c r="K104" s="170" t="s">
        <v>765</v>
      </c>
      <c r="L104" s="170" t="s">
        <v>765</v>
      </c>
      <c r="M104" s="170" t="s">
        <v>765</v>
      </c>
      <c r="N104" s="148" t="s">
        <v>765</v>
      </c>
      <c r="O104" s="148" t="s">
        <v>765</v>
      </c>
      <c r="P104" s="76"/>
      <c r="Q104" s="70"/>
      <c r="R104" s="92"/>
      <c r="S104" s="76"/>
      <c r="T104" s="76"/>
      <c r="U104" s="76"/>
      <c r="V104" s="70"/>
      <c r="W104" s="92"/>
      <c r="X104" s="70"/>
      <c r="Y104" s="92"/>
      <c r="Z104" s="76"/>
      <c r="AA104" s="76">
        <v>20</v>
      </c>
      <c r="AB104" s="76"/>
      <c r="AC104" s="76"/>
      <c r="AD104" s="145">
        <v>45839</v>
      </c>
      <c r="AE104" s="166" t="s">
        <v>10387</v>
      </c>
    </row>
    <row r="105" spans="1:31" ht="27" customHeight="1" x14ac:dyDescent="0.15">
      <c r="A105" s="76">
        <v>1110203724</v>
      </c>
      <c r="B105" s="163" t="s">
        <v>11937</v>
      </c>
      <c r="C105" s="164" t="s">
        <v>10685</v>
      </c>
      <c r="D105" s="165" t="s">
        <v>10686</v>
      </c>
      <c r="E105" s="166" t="s">
        <v>11630</v>
      </c>
      <c r="F105" s="167" t="s">
        <v>10687</v>
      </c>
      <c r="G105" s="168" t="s">
        <v>10688</v>
      </c>
      <c r="H105" s="168" t="s">
        <v>10689</v>
      </c>
      <c r="I105" s="169"/>
      <c r="J105" s="170" t="s">
        <v>765</v>
      </c>
      <c r="K105" s="170" t="s">
        <v>765</v>
      </c>
      <c r="L105" s="170" t="s">
        <v>765</v>
      </c>
      <c r="M105" s="170" t="s">
        <v>765</v>
      </c>
      <c r="N105" s="148" t="s">
        <v>765</v>
      </c>
      <c r="O105" s="148" t="s">
        <v>765</v>
      </c>
      <c r="P105" s="76"/>
      <c r="Q105" s="70"/>
      <c r="R105" s="92"/>
      <c r="S105" s="76"/>
      <c r="T105" s="76"/>
      <c r="U105" s="76"/>
      <c r="V105" s="70"/>
      <c r="W105" s="92"/>
      <c r="X105" s="70"/>
      <c r="Y105" s="92"/>
      <c r="Z105" s="76"/>
      <c r="AA105" s="76">
        <v>20</v>
      </c>
      <c r="AB105" s="76"/>
      <c r="AC105" s="76"/>
      <c r="AD105" s="145">
        <v>45870</v>
      </c>
      <c r="AE105" s="166" t="s">
        <v>10690</v>
      </c>
    </row>
    <row r="106" spans="1:31" ht="27" customHeight="1" x14ac:dyDescent="0.15">
      <c r="A106" s="76">
        <v>1110203773</v>
      </c>
      <c r="B106" s="163" t="s">
        <v>11714</v>
      </c>
      <c r="C106" s="164" t="s">
        <v>10691</v>
      </c>
      <c r="D106" s="165" t="s">
        <v>10686</v>
      </c>
      <c r="E106" s="166" t="s">
        <v>11631</v>
      </c>
      <c r="F106" s="167" t="s">
        <v>10692</v>
      </c>
      <c r="G106" s="168" t="s">
        <v>10693</v>
      </c>
      <c r="H106" s="168" t="s">
        <v>10694</v>
      </c>
      <c r="I106" s="169" t="s">
        <v>765</v>
      </c>
      <c r="J106" s="170"/>
      <c r="K106" s="170" t="s">
        <v>765</v>
      </c>
      <c r="L106" s="170" t="s">
        <v>765</v>
      </c>
      <c r="M106" s="170" t="s">
        <v>765</v>
      </c>
      <c r="N106" s="148" t="s">
        <v>765</v>
      </c>
      <c r="O106" s="148" t="s">
        <v>765</v>
      </c>
      <c r="P106" s="76"/>
      <c r="Q106" s="70"/>
      <c r="R106" s="92"/>
      <c r="S106" s="76"/>
      <c r="T106" s="76"/>
      <c r="U106" s="76"/>
      <c r="V106" s="70"/>
      <c r="W106" s="92"/>
      <c r="X106" s="70"/>
      <c r="Y106" s="92"/>
      <c r="Z106" s="76"/>
      <c r="AA106" s="76">
        <v>20</v>
      </c>
      <c r="AB106" s="76"/>
      <c r="AC106" s="76"/>
      <c r="AD106" s="145">
        <v>45901</v>
      </c>
      <c r="AE106" s="166" t="s">
        <v>10695</v>
      </c>
    </row>
    <row r="107" spans="1:31" ht="26.25" customHeight="1" x14ac:dyDescent="0.15">
      <c r="A107" s="76">
        <v>1110203807</v>
      </c>
      <c r="B107" s="163" t="s">
        <v>11715</v>
      </c>
      <c r="C107" s="164" t="s">
        <v>10760</v>
      </c>
      <c r="D107" s="165" t="s">
        <v>10761</v>
      </c>
      <c r="E107" s="166" t="s">
        <v>11632</v>
      </c>
      <c r="F107" s="167" t="s">
        <v>10762</v>
      </c>
      <c r="G107" s="168" t="s">
        <v>10763</v>
      </c>
      <c r="H107" s="168" t="s">
        <v>10764</v>
      </c>
      <c r="I107" s="169"/>
      <c r="J107" s="170"/>
      <c r="K107" s="170"/>
      <c r="L107" s="170"/>
      <c r="M107" s="170" t="s">
        <v>765</v>
      </c>
      <c r="N107" s="148" t="s">
        <v>765</v>
      </c>
      <c r="O107" s="148" t="s">
        <v>765</v>
      </c>
      <c r="P107" s="76"/>
      <c r="Q107" s="70"/>
      <c r="R107" s="92"/>
      <c r="S107" s="76"/>
      <c r="T107" s="76"/>
      <c r="U107" s="76"/>
      <c r="V107" s="70"/>
      <c r="W107" s="92"/>
      <c r="X107" s="70"/>
      <c r="Y107" s="92"/>
      <c r="Z107" s="76"/>
      <c r="AA107" s="76">
        <v>20</v>
      </c>
      <c r="AB107" s="76"/>
      <c r="AC107" s="76"/>
      <c r="AD107" s="145">
        <v>45931</v>
      </c>
      <c r="AE107" s="166" t="s">
        <v>10765</v>
      </c>
    </row>
    <row r="108" spans="1:31" ht="26.25" customHeight="1" x14ac:dyDescent="0.15">
      <c r="A108" s="76">
        <v>1110203831</v>
      </c>
      <c r="B108" s="163" t="s">
        <v>11716</v>
      </c>
      <c r="C108" s="164" t="s">
        <v>11041</v>
      </c>
      <c r="D108" s="165" t="s">
        <v>11042</v>
      </c>
      <c r="E108" s="166" t="s">
        <v>11043</v>
      </c>
      <c r="F108" s="167" t="s">
        <v>11044</v>
      </c>
      <c r="G108" s="179" t="s">
        <v>11045</v>
      </c>
      <c r="H108" s="179" t="s">
        <v>10778</v>
      </c>
      <c r="I108" s="178"/>
      <c r="J108" s="170"/>
      <c r="K108" s="170"/>
      <c r="L108" s="170" t="s">
        <v>11046</v>
      </c>
      <c r="M108" s="170" t="s">
        <v>11046</v>
      </c>
      <c r="N108" s="148" t="s">
        <v>11046</v>
      </c>
      <c r="O108" s="92" t="s">
        <v>11046</v>
      </c>
      <c r="P108" s="76"/>
      <c r="Q108" s="70"/>
      <c r="R108" s="92"/>
      <c r="S108" s="76"/>
      <c r="T108" s="76"/>
      <c r="U108" s="76"/>
      <c r="V108" s="70"/>
      <c r="W108" s="92"/>
      <c r="X108" s="103"/>
      <c r="Y108" s="71"/>
      <c r="Z108" s="76"/>
      <c r="AA108" s="76">
        <v>20</v>
      </c>
      <c r="AB108" s="76"/>
      <c r="AC108" s="76"/>
      <c r="AD108" s="146">
        <v>46054</v>
      </c>
      <c r="AE108" s="166" t="s">
        <v>11047</v>
      </c>
    </row>
    <row r="109" spans="1:31" ht="26.25" customHeight="1" x14ac:dyDescent="0.15">
      <c r="A109" s="76">
        <v>1110203856</v>
      </c>
      <c r="B109" s="163" t="s">
        <v>11938</v>
      </c>
      <c r="C109" s="164" t="s">
        <v>11059</v>
      </c>
      <c r="D109" s="165" t="s">
        <v>11048</v>
      </c>
      <c r="E109" s="166" t="s">
        <v>11633</v>
      </c>
      <c r="F109" s="167" t="s">
        <v>11060</v>
      </c>
      <c r="G109" s="179" t="s">
        <v>11061</v>
      </c>
      <c r="H109" s="179" t="s">
        <v>11062</v>
      </c>
      <c r="I109" s="178"/>
      <c r="J109" s="170" t="s">
        <v>10982</v>
      </c>
      <c r="K109" s="170" t="s">
        <v>11063</v>
      </c>
      <c r="L109" s="170" t="s">
        <v>10982</v>
      </c>
      <c r="M109" s="170" t="s">
        <v>10982</v>
      </c>
      <c r="N109" s="148" t="s">
        <v>10982</v>
      </c>
      <c r="O109" s="92"/>
      <c r="P109" s="76"/>
      <c r="Q109" s="70"/>
      <c r="R109" s="92"/>
      <c r="S109" s="76"/>
      <c r="T109" s="76"/>
      <c r="U109" s="76"/>
      <c r="V109" s="70"/>
      <c r="W109" s="92"/>
      <c r="X109" s="103">
        <v>10</v>
      </c>
      <c r="Y109" s="71"/>
      <c r="Z109" s="76"/>
      <c r="AA109" s="76"/>
      <c r="AB109" s="76"/>
      <c r="AC109" s="76"/>
      <c r="AD109" s="146">
        <v>46054</v>
      </c>
      <c r="AE109" s="166" t="s">
        <v>11064</v>
      </c>
    </row>
    <row r="110" spans="1:31" ht="26.25" customHeight="1" x14ac:dyDescent="0.15">
      <c r="A110" s="76">
        <v>1110203864</v>
      </c>
      <c r="B110" s="163" t="s">
        <v>11717</v>
      </c>
      <c r="C110" s="164" t="s">
        <v>11051</v>
      </c>
      <c r="D110" s="165" t="s">
        <v>11048</v>
      </c>
      <c r="E110" s="166" t="s">
        <v>11634</v>
      </c>
      <c r="F110" s="167" t="s">
        <v>6285</v>
      </c>
      <c r="G110" s="179" t="s">
        <v>11052</v>
      </c>
      <c r="H110" s="179" t="s">
        <v>11052</v>
      </c>
      <c r="I110" s="178"/>
      <c r="J110" s="170"/>
      <c r="K110" s="170"/>
      <c r="L110" s="170"/>
      <c r="M110" s="170"/>
      <c r="N110" s="148" t="s">
        <v>10982</v>
      </c>
      <c r="O110" s="92"/>
      <c r="P110" s="76"/>
      <c r="Q110" s="70"/>
      <c r="R110" s="92"/>
      <c r="S110" s="76"/>
      <c r="T110" s="76"/>
      <c r="U110" s="76"/>
      <c r="V110" s="70"/>
      <c r="W110" s="92"/>
      <c r="X110" s="103"/>
      <c r="Y110" s="71"/>
      <c r="Z110" s="76"/>
      <c r="AA110" s="76">
        <v>20</v>
      </c>
      <c r="AB110" s="76"/>
      <c r="AC110" s="76"/>
      <c r="AD110" s="146">
        <v>46054</v>
      </c>
      <c r="AE110" s="166" t="s">
        <v>11053</v>
      </c>
    </row>
    <row r="111" spans="1:31" ht="26.25" customHeight="1" x14ac:dyDescent="0.15">
      <c r="A111" s="76">
        <v>1110203872</v>
      </c>
      <c r="B111" s="163" t="s">
        <v>12004</v>
      </c>
      <c r="C111" s="164" t="s">
        <v>11320</v>
      </c>
      <c r="D111" s="165" t="s">
        <v>9267</v>
      </c>
      <c r="E111" s="166" t="s">
        <v>11635</v>
      </c>
      <c r="F111" s="167" t="s">
        <v>11316</v>
      </c>
      <c r="G111" s="179" t="s">
        <v>11317</v>
      </c>
      <c r="H111" s="179" t="s">
        <v>11318</v>
      </c>
      <c r="I111" s="178" t="s">
        <v>10982</v>
      </c>
      <c r="J111" s="170" t="s">
        <v>11063</v>
      </c>
      <c r="K111" s="170" t="s">
        <v>10982</v>
      </c>
      <c r="L111" s="170" t="s">
        <v>11063</v>
      </c>
      <c r="M111" s="170" t="s">
        <v>10982</v>
      </c>
      <c r="N111" s="148" t="s">
        <v>10982</v>
      </c>
      <c r="O111" s="92" t="s">
        <v>10982</v>
      </c>
      <c r="P111" s="76"/>
      <c r="Q111" s="70"/>
      <c r="R111" s="92"/>
      <c r="S111" s="76"/>
      <c r="T111" s="76"/>
      <c r="U111" s="76"/>
      <c r="V111" s="70"/>
      <c r="W111" s="92"/>
      <c r="X111" s="103"/>
      <c r="Y111" s="71"/>
      <c r="Z111" s="76"/>
      <c r="AA111" s="76"/>
      <c r="AB111" s="76">
        <v>20</v>
      </c>
      <c r="AC111" s="76"/>
      <c r="AD111" s="146">
        <v>46113</v>
      </c>
      <c r="AE111" s="166" t="s">
        <v>11319</v>
      </c>
    </row>
    <row r="112" spans="1:31" ht="26.25" customHeight="1" x14ac:dyDescent="0.15">
      <c r="A112" s="76">
        <v>1110203880</v>
      </c>
      <c r="B112" s="163" t="s">
        <v>12005</v>
      </c>
      <c r="C112" s="164" t="s">
        <v>11325</v>
      </c>
      <c r="D112" s="165" t="s">
        <v>9267</v>
      </c>
      <c r="E112" s="166" t="s">
        <v>11636</v>
      </c>
      <c r="F112" s="167" t="s">
        <v>11321</v>
      </c>
      <c r="G112" s="179" t="s">
        <v>11322</v>
      </c>
      <c r="H112" s="179" t="s">
        <v>11323</v>
      </c>
      <c r="I112" s="178" t="s">
        <v>10982</v>
      </c>
      <c r="J112" s="170" t="s">
        <v>11063</v>
      </c>
      <c r="K112" s="170" t="s">
        <v>10982</v>
      </c>
      <c r="L112" s="170" t="s">
        <v>11063</v>
      </c>
      <c r="M112" s="170" t="s">
        <v>10982</v>
      </c>
      <c r="N112" s="148" t="s">
        <v>10982</v>
      </c>
      <c r="O112" s="92" t="s">
        <v>10982</v>
      </c>
      <c r="P112" s="76"/>
      <c r="Q112" s="70"/>
      <c r="R112" s="92"/>
      <c r="S112" s="76"/>
      <c r="T112" s="76">
        <v>60</v>
      </c>
      <c r="U112" s="76"/>
      <c r="V112" s="70"/>
      <c r="W112" s="92"/>
      <c r="X112" s="103"/>
      <c r="Y112" s="71"/>
      <c r="Z112" s="76"/>
      <c r="AA112" s="76"/>
      <c r="AB112" s="76"/>
      <c r="AC112" s="76"/>
      <c r="AD112" s="146">
        <v>46113</v>
      </c>
      <c r="AE112" s="166" t="s">
        <v>11324</v>
      </c>
    </row>
    <row r="113" spans="1:31" ht="26.25" customHeight="1" x14ac:dyDescent="0.15">
      <c r="A113" s="76">
        <v>1110203898</v>
      </c>
      <c r="B113" s="163" t="s">
        <v>11718</v>
      </c>
      <c r="C113" s="164" t="s">
        <v>11526</v>
      </c>
      <c r="D113" s="165" t="s">
        <v>9269</v>
      </c>
      <c r="E113" s="166" t="s">
        <v>11637</v>
      </c>
      <c r="F113" s="167" t="s">
        <v>11527</v>
      </c>
      <c r="G113" s="179" t="s">
        <v>11528</v>
      </c>
      <c r="H113" s="179" t="s">
        <v>11529</v>
      </c>
      <c r="I113" s="178"/>
      <c r="J113" s="170"/>
      <c r="K113" s="170"/>
      <c r="L113" s="170"/>
      <c r="M113" s="170" t="s">
        <v>10982</v>
      </c>
      <c r="N113" s="148"/>
      <c r="O113" s="92"/>
      <c r="P113" s="76"/>
      <c r="Q113" s="70"/>
      <c r="R113" s="92"/>
      <c r="S113" s="76"/>
      <c r="T113" s="76">
        <v>20</v>
      </c>
      <c r="U113" s="76"/>
      <c r="V113" s="70"/>
      <c r="W113" s="92"/>
      <c r="X113" s="103"/>
      <c r="Y113" s="71"/>
      <c r="Z113" s="76"/>
      <c r="AA113" s="76"/>
      <c r="AB113" s="76"/>
      <c r="AC113" s="76"/>
      <c r="AD113" s="146">
        <v>46143</v>
      </c>
      <c r="AE113" s="166" t="s">
        <v>11530</v>
      </c>
    </row>
    <row r="114" spans="1:31" ht="26.25" customHeight="1" x14ac:dyDescent="0.15">
      <c r="A114" s="76">
        <v>1110203906</v>
      </c>
      <c r="B114" s="163" t="s">
        <v>11718</v>
      </c>
      <c r="C114" s="164" t="s">
        <v>11531</v>
      </c>
      <c r="D114" s="165" t="s">
        <v>9269</v>
      </c>
      <c r="E114" s="166" t="s">
        <v>11638</v>
      </c>
      <c r="F114" s="167" t="s">
        <v>8713</v>
      </c>
      <c r="G114" s="179" t="s">
        <v>5463</v>
      </c>
      <c r="H114" s="179" t="s">
        <v>5464</v>
      </c>
      <c r="I114" s="178"/>
      <c r="J114" s="170"/>
      <c r="K114" s="170"/>
      <c r="L114" s="170"/>
      <c r="M114" s="170" t="s">
        <v>10982</v>
      </c>
      <c r="N114" s="148" t="s">
        <v>10982</v>
      </c>
      <c r="O114" s="92"/>
      <c r="P114" s="76"/>
      <c r="Q114" s="70"/>
      <c r="R114" s="92"/>
      <c r="S114" s="76"/>
      <c r="T114" s="76"/>
      <c r="U114" s="76"/>
      <c r="V114" s="70"/>
      <c r="W114" s="92"/>
      <c r="X114" s="103"/>
      <c r="Y114" s="71">
        <v>6</v>
      </c>
      <c r="Z114" s="76"/>
      <c r="AA114" s="76"/>
      <c r="AB114" s="76">
        <v>14</v>
      </c>
      <c r="AC114" s="76"/>
      <c r="AD114" s="146">
        <v>46143</v>
      </c>
      <c r="AE114" s="166" t="s">
        <v>11532</v>
      </c>
    </row>
    <row r="115" spans="1:31" ht="26.25" customHeight="1" x14ac:dyDescent="0.15">
      <c r="A115" s="76">
        <v>1110203922</v>
      </c>
      <c r="B115" s="163" t="s">
        <v>12110</v>
      </c>
      <c r="C115" s="164" t="s">
        <v>12111</v>
      </c>
      <c r="D115" s="165" t="s">
        <v>9267</v>
      </c>
      <c r="E115" s="166" t="s">
        <v>12120</v>
      </c>
      <c r="F115" s="167" t="s">
        <v>10385</v>
      </c>
      <c r="G115" s="179" t="s">
        <v>12112</v>
      </c>
      <c r="H115" s="179" t="s">
        <v>12113</v>
      </c>
      <c r="I115" s="178"/>
      <c r="J115" s="170" t="s">
        <v>12109</v>
      </c>
      <c r="K115" s="170" t="s">
        <v>12109</v>
      </c>
      <c r="L115" s="170" t="s">
        <v>12109</v>
      </c>
      <c r="M115" s="170" t="s">
        <v>10982</v>
      </c>
      <c r="N115" s="148" t="s">
        <v>10982</v>
      </c>
      <c r="O115" s="92"/>
      <c r="P115" s="76"/>
      <c r="Q115" s="70"/>
      <c r="R115" s="92"/>
      <c r="S115" s="76"/>
      <c r="T115" s="76"/>
      <c r="U115" s="76"/>
      <c r="V115" s="70">
        <v>20</v>
      </c>
      <c r="W115" s="92"/>
      <c r="X115" s="103"/>
      <c r="Y115" s="71"/>
      <c r="Z115" s="76"/>
      <c r="AA115" s="76"/>
      <c r="AB115" s="76"/>
      <c r="AC115" s="76"/>
      <c r="AD115" s="146">
        <v>46174</v>
      </c>
      <c r="AE115" s="166" t="s">
        <v>12114</v>
      </c>
    </row>
    <row r="116" spans="1:31" ht="26.25" customHeight="1" x14ac:dyDescent="0.15">
      <c r="A116" s="76">
        <v>1110203930</v>
      </c>
      <c r="B116" s="163" t="s">
        <v>12115</v>
      </c>
      <c r="C116" s="164" t="s">
        <v>12116</v>
      </c>
      <c r="D116" s="165" t="s">
        <v>9267</v>
      </c>
      <c r="E116" s="166" t="s">
        <v>12121</v>
      </c>
      <c r="F116" s="167" t="s">
        <v>4616</v>
      </c>
      <c r="G116" s="179" t="s">
        <v>12117</v>
      </c>
      <c r="H116" s="179" t="s">
        <v>12118</v>
      </c>
      <c r="I116" s="178"/>
      <c r="J116" s="170" t="s">
        <v>12109</v>
      </c>
      <c r="K116" s="170" t="s">
        <v>12109</v>
      </c>
      <c r="L116" s="170" t="s">
        <v>12109</v>
      </c>
      <c r="M116" s="170" t="s">
        <v>10982</v>
      </c>
      <c r="N116" s="148" t="s">
        <v>10982</v>
      </c>
      <c r="O116" s="92"/>
      <c r="P116" s="76"/>
      <c r="Q116" s="70"/>
      <c r="R116" s="92"/>
      <c r="S116" s="76"/>
      <c r="T116" s="76"/>
      <c r="U116" s="76"/>
      <c r="V116" s="70"/>
      <c r="W116" s="92"/>
      <c r="X116" s="103"/>
      <c r="Y116" s="71"/>
      <c r="Z116" s="76"/>
      <c r="AA116" s="76">
        <v>20</v>
      </c>
      <c r="AB116" s="67"/>
      <c r="AC116" s="76"/>
      <c r="AD116" s="146">
        <v>46174</v>
      </c>
      <c r="AE116" s="166" t="s">
        <v>12119</v>
      </c>
    </row>
    <row r="117" spans="1:31" ht="27" customHeight="1" x14ac:dyDescent="0.15">
      <c r="A117" s="150">
        <v>1110400130</v>
      </c>
      <c r="B117" s="106" t="s">
        <v>420</v>
      </c>
      <c r="C117" s="107" t="s">
        <v>255</v>
      </c>
      <c r="D117" s="157" t="s">
        <v>256</v>
      </c>
      <c r="E117" s="108" t="s">
        <v>257</v>
      </c>
      <c r="F117" s="151">
        <v>3500813</v>
      </c>
      <c r="G117" s="132" t="s">
        <v>258</v>
      </c>
      <c r="H117" s="132" t="s">
        <v>259</v>
      </c>
      <c r="I117" s="133"/>
      <c r="J117" s="180"/>
      <c r="K117" s="154"/>
      <c r="L117" s="180"/>
      <c r="M117" s="154" t="s">
        <v>237</v>
      </c>
      <c r="N117" s="143"/>
      <c r="O117" s="138"/>
      <c r="P117" s="105">
        <v>40</v>
      </c>
      <c r="Q117" s="137" t="s">
        <v>49</v>
      </c>
      <c r="R117" s="138">
        <v>2</v>
      </c>
      <c r="S117" s="150"/>
      <c r="T117" s="150">
        <v>50</v>
      </c>
      <c r="U117" s="105"/>
      <c r="V117" s="116"/>
      <c r="W117" s="117"/>
      <c r="X117" s="116"/>
      <c r="Y117" s="138"/>
      <c r="Z117" s="105"/>
      <c r="AA117" s="105"/>
      <c r="AB117" s="105"/>
      <c r="AC117" s="105"/>
      <c r="AD117" s="144">
        <v>39904</v>
      </c>
      <c r="AE117" s="108" t="s">
        <v>367</v>
      </c>
    </row>
    <row r="118" spans="1:31" s="65" customFormat="1" ht="27" customHeight="1" x14ac:dyDescent="0.15">
      <c r="A118" s="105">
        <v>1110400148</v>
      </c>
      <c r="B118" s="106" t="s">
        <v>5246</v>
      </c>
      <c r="C118" s="107" t="s">
        <v>5049</v>
      </c>
      <c r="D118" s="108" t="s">
        <v>69</v>
      </c>
      <c r="E118" s="108" t="s">
        <v>5050</v>
      </c>
      <c r="F118" s="139">
        <v>3500813</v>
      </c>
      <c r="G118" s="159" t="s">
        <v>6094</v>
      </c>
      <c r="H118" s="140" t="s">
        <v>5051</v>
      </c>
      <c r="I118" s="141"/>
      <c r="J118" s="142"/>
      <c r="K118" s="142"/>
      <c r="L118" s="142"/>
      <c r="M118" s="142" t="s">
        <v>4947</v>
      </c>
      <c r="N118" s="143"/>
      <c r="O118" s="138"/>
      <c r="P118" s="105"/>
      <c r="Q118" s="137"/>
      <c r="R118" s="138"/>
      <c r="S118" s="105"/>
      <c r="T118" s="105">
        <v>14</v>
      </c>
      <c r="U118" s="105"/>
      <c r="V118" s="137"/>
      <c r="W118" s="138"/>
      <c r="X118" s="137"/>
      <c r="Y118" s="138"/>
      <c r="Z118" s="105"/>
      <c r="AA118" s="105">
        <v>10</v>
      </c>
      <c r="AB118" s="105"/>
      <c r="AC118" s="105"/>
      <c r="AD118" s="155">
        <v>39904</v>
      </c>
      <c r="AE118" s="108" t="s">
        <v>5052</v>
      </c>
    </row>
    <row r="119" spans="1:31" ht="27" customHeight="1" x14ac:dyDescent="0.15">
      <c r="A119" s="150">
        <v>1110400155</v>
      </c>
      <c r="B119" s="106" t="s">
        <v>421</v>
      </c>
      <c r="C119" s="107" t="s">
        <v>262</v>
      </c>
      <c r="D119" s="108" t="s">
        <v>260</v>
      </c>
      <c r="E119" s="108" t="s">
        <v>266</v>
      </c>
      <c r="F119" s="151">
        <v>3501175</v>
      </c>
      <c r="G119" s="152" t="s">
        <v>267</v>
      </c>
      <c r="H119" s="132" t="s">
        <v>268</v>
      </c>
      <c r="I119" s="181" t="s">
        <v>261</v>
      </c>
      <c r="J119" s="154" t="s">
        <v>261</v>
      </c>
      <c r="K119" s="154" t="s">
        <v>261</v>
      </c>
      <c r="L119" s="154" t="s">
        <v>261</v>
      </c>
      <c r="M119" s="154"/>
      <c r="N119" s="143"/>
      <c r="O119" s="138"/>
      <c r="P119" s="132">
        <v>50</v>
      </c>
      <c r="Q119" s="152" t="s">
        <v>2610</v>
      </c>
      <c r="R119" s="138">
        <v>10</v>
      </c>
      <c r="S119" s="132"/>
      <c r="T119" s="105">
        <v>70</v>
      </c>
      <c r="U119" s="132"/>
      <c r="V119" s="152"/>
      <c r="W119" s="136"/>
      <c r="X119" s="152"/>
      <c r="Y119" s="136"/>
      <c r="Z119" s="105"/>
      <c r="AA119" s="105"/>
      <c r="AB119" s="105"/>
      <c r="AC119" s="105"/>
      <c r="AD119" s="155">
        <v>39722</v>
      </c>
      <c r="AE119" s="108" t="s">
        <v>2614</v>
      </c>
    </row>
    <row r="120" spans="1:31" s="65" customFormat="1" ht="27" customHeight="1" x14ac:dyDescent="0.15">
      <c r="A120" s="105">
        <v>1110400171</v>
      </c>
      <c r="B120" s="130" t="s">
        <v>6686</v>
      </c>
      <c r="C120" s="108" t="s">
        <v>6687</v>
      </c>
      <c r="D120" s="108" t="s">
        <v>3847</v>
      </c>
      <c r="E120" s="108" t="s">
        <v>6688</v>
      </c>
      <c r="F120" s="131">
        <v>3501175</v>
      </c>
      <c r="G120" s="132" t="s">
        <v>605</v>
      </c>
      <c r="H120" s="132" t="s">
        <v>621</v>
      </c>
      <c r="I120" s="133" t="s">
        <v>4839</v>
      </c>
      <c r="J120" s="134" t="s">
        <v>4839</v>
      </c>
      <c r="K120" s="134" t="s">
        <v>4839</v>
      </c>
      <c r="L120" s="134" t="s">
        <v>4839</v>
      </c>
      <c r="M120" s="134" t="s">
        <v>4839</v>
      </c>
      <c r="N120" s="135" t="s">
        <v>765</v>
      </c>
      <c r="O120" s="136" t="s">
        <v>765</v>
      </c>
      <c r="P120" s="105">
        <v>50</v>
      </c>
      <c r="Q120" s="152" t="s">
        <v>6689</v>
      </c>
      <c r="R120" s="138">
        <v>6</v>
      </c>
      <c r="S120" s="105"/>
      <c r="T120" s="105">
        <v>50</v>
      </c>
      <c r="U120" s="105"/>
      <c r="V120" s="137">
        <v>6</v>
      </c>
      <c r="W120" s="138"/>
      <c r="X120" s="137">
        <v>6</v>
      </c>
      <c r="Y120" s="138"/>
      <c r="Z120" s="105"/>
      <c r="AA120" s="105">
        <v>10</v>
      </c>
      <c r="AB120" s="105"/>
      <c r="AC120" s="105"/>
      <c r="AD120" s="118">
        <v>39630</v>
      </c>
      <c r="AE120" s="108" t="s">
        <v>6690</v>
      </c>
    </row>
    <row r="121" spans="1:31" s="65" customFormat="1" ht="27" customHeight="1" x14ac:dyDescent="0.15">
      <c r="A121" s="105">
        <v>1110400189</v>
      </c>
      <c r="B121" s="130" t="s">
        <v>758</v>
      </c>
      <c r="C121" s="108" t="s">
        <v>600</v>
      </c>
      <c r="D121" s="108" t="s">
        <v>69</v>
      </c>
      <c r="E121" s="108" t="s">
        <v>131</v>
      </c>
      <c r="F121" s="131">
        <v>3501105</v>
      </c>
      <c r="G121" s="132" t="s">
        <v>622</v>
      </c>
      <c r="H121" s="132" t="s">
        <v>623</v>
      </c>
      <c r="I121" s="133" t="s">
        <v>261</v>
      </c>
      <c r="J121" s="134" t="s">
        <v>261</v>
      </c>
      <c r="K121" s="134" t="s">
        <v>1699</v>
      </c>
      <c r="L121" s="134" t="s">
        <v>1699</v>
      </c>
      <c r="M121" s="134" t="s">
        <v>261</v>
      </c>
      <c r="N121" s="135" t="s">
        <v>261</v>
      </c>
      <c r="O121" s="136" t="s">
        <v>2170</v>
      </c>
      <c r="P121" s="105"/>
      <c r="Q121" s="137"/>
      <c r="R121" s="138"/>
      <c r="S121" s="105"/>
      <c r="T121" s="105">
        <v>45</v>
      </c>
      <c r="U121" s="105"/>
      <c r="V121" s="137"/>
      <c r="W121" s="138"/>
      <c r="X121" s="137"/>
      <c r="Y121" s="138"/>
      <c r="Z121" s="105"/>
      <c r="AA121" s="105">
        <v>15</v>
      </c>
      <c r="AB121" s="105"/>
      <c r="AC121" s="105"/>
      <c r="AD121" s="118">
        <v>39569</v>
      </c>
      <c r="AE121" s="108" t="s">
        <v>1700</v>
      </c>
    </row>
    <row r="122" spans="1:31" ht="27" customHeight="1" x14ac:dyDescent="0.15">
      <c r="A122" s="150">
        <v>1110400205</v>
      </c>
      <c r="B122" s="106" t="s">
        <v>422</v>
      </c>
      <c r="C122" s="182" t="s">
        <v>520</v>
      </c>
      <c r="D122" s="108" t="s">
        <v>260</v>
      </c>
      <c r="E122" s="108" t="s">
        <v>270</v>
      </c>
      <c r="F122" s="151">
        <v>3501155</v>
      </c>
      <c r="G122" s="152" t="s">
        <v>271</v>
      </c>
      <c r="H122" s="132" t="s">
        <v>272</v>
      </c>
      <c r="I122" s="183"/>
      <c r="J122" s="134"/>
      <c r="K122" s="134"/>
      <c r="L122" s="134"/>
      <c r="M122" s="134" t="s">
        <v>261</v>
      </c>
      <c r="N122" s="135"/>
      <c r="O122" s="136"/>
      <c r="P122" s="105">
        <v>40</v>
      </c>
      <c r="Q122" s="152" t="s">
        <v>2610</v>
      </c>
      <c r="R122" s="138">
        <v>10</v>
      </c>
      <c r="S122" s="105"/>
      <c r="T122" s="105">
        <v>40</v>
      </c>
      <c r="U122" s="105"/>
      <c r="V122" s="137"/>
      <c r="W122" s="138"/>
      <c r="X122" s="137"/>
      <c r="Y122" s="138"/>
      <c r="Z122" s="105"/>
      <c r="AA122" s="105"/>
      <c r="AB122" s="105"/>
      <c r="AC122" s="105"/>
      <c r="AD122" s="118">
        <v>39722</v>
      </c>
      <c r="AE122" s="108" t="s">
        <v>2615</v>
      </c>
    </row>
    <row r="123" spans="1:31" ht="27" customHeight="1" x14ac:dyDescent="0.15">
      <c r="A123" s="150">
        <v>1110400213</v>
      </c>
      <c r="B123" s="106" t="s">
        <v>422</v>
      </c>
      <c r="C123" s="107" t="s">
        <v>273</v>
      </c>
      <c r="D123" s="157" t="s">
        <v>260</v>
      </c>
      <c r="E123" s="108" t="s">
        <v>6095</v>
      </c>
      <c r="F123" s="151" t="s">
        <v>2805</v>
      </c>
      <c r="G123" s="132" t="s">
        <v>274</v>
      </c>
      <c r="H123" s="132" t="s">
        <v>275</v>
      </c>
      <c r="I123" s="133"/>
      <c r="J123" s="180"/>
      <c r="K123" s="154"/>
      <c r="L123" s="154"/>
      <c r="M123" s="154" t="s">
        <v>261</v>
      </c>
      <c r="N123" s="184"/>
      <c r="O123" s="185"/>
      <c r="P123" s="105">
        <v>40</v>
      </c>
      <c r="Q123" s="152" t="s">
        <v>2610</v>
      </c>
      <c r="R123" s="138">
        <v>3</v>
      </c>
      <c r="S123" s="186"/>
      <c r="T123" s="105">
        <v>60</v>
      </c>
      <c r="U123" s="105"/>
      <c r="V123" s="116"/>
      <c r="W123" s="117"/>
      <c r="X123" s="116"/>
      <c r="Y123" s="187"/>
      <c r="Z123" s="105"/>
      <c r="AA123" s="105"/>
      <c r="AB123" s="105"/>
      <c r="AC123" s="105"/>
      <c r="AD123" s="144">
        <v>39904</v>
      </c>
      <c r="AE123" s="108" t="s">
        <v>2616</v>
      </c>
    </row>
    <row r="124" spans="1:31" ht="27" customHeight="1" x14ac:dyDescent="0.15">
      <c r="A124" s="150">
        <v>1110400239</v>
      </c>
      <c r="B124" s="106" t="s">
        <v>849</v>
      </c>
      <c r="C124" s="107" t="s">
        <v>854</v>
      </c>
      <c r="D124" s="108" t="s">
        <v>850</v>
      </c>
      <c r="E124" s="108" t="s">
        <v>851</v>
      </c>
      <c r="F124" s="139">
        <v>3500002</v>
      </c>
      <c r="G124" s="152" t="s">
        <v>852</v>
      </c>
      <c r="H124" s="152" t="s">
        <v>853</v>
      </c>
      <c r="I124" s="133"/>
      <c r="J124" s="180"/>
      <c r="K124" s="154"/>
      <c r="L124" s="154"/>
      <c r="M124" s="154" t="s">
        <v>855</v>
      </c>
      <c r="N124" s="184"/>
      <c r="O124" s="185"/>
      <c r="P124" s="105">
        <v>40</v>
      </c>
      <c r="Q124" s="137" t="s">
        <v>456</v>
      </c>
      <c r="R124" s="138">
        <v>5</v>
      </c>
      <c r="S124" s="186"/>
      <c r="T124" s="105">
        <v>50</v>
      </c>
      <c r="U124" s="105"/>
      <c r="V124" s="116"/>
      <c r="W124" s="117"/>
      <c r="X124" s="116"/>
      <c r="Y124" s="187"/>
      <c r="Z124" s="105"/>
      <c r="AA124" s="105"/>
      <c r="AB124" s="105"/>
      <c r="AC124" s="105"/>
      <c r="AD124" s="144">
        <v>40179</v>
      </c>
      <c r="AE124" s="108" t="s">
        <v>2617</v>
      </c>
    </row>
    <row r="125" spans="1:31" ht="27" customHeight="1" x14ac:dyDescent="0.15">
      <c r="A125" s="150">
        <v>1110400254</v>
      </c>
      <c r="B125" s="106" t="s">
        <v>69</v>
      </c>
      <c r="C125" s="107" t="s">
        <v>1684</v>
      </c>
      <c r="D125" s="108" t="s">
        <v>69</v>
      </c>
      <c r="E125" s="108" t="s">
        <v>1685</v>
      </c>
      <c r="F125" s="139" t="s">
        <v>1686</v>
      </c>
      <c r="G125" s="152" t="s">
        <v>1687</v>
      </c>
      <c r="H125" s="152" t="s">
        <v>1688</v>
      </c>
      <c r="I125" s="133" t="s">
        <v>1689</v>
      </c>
      <c r="J125" s="180"/>
      <c r="K125" s="154" t="s">
        <v>1689</v>
      </c>
      <c r="L125" s="154" t="s">
        <v>1689</v>
      </c>
      <c r="M125" s="154"/>
      <c r="N125" s="184"/>
      <c r="O125" s="185"/>
      <c r="P125" s="105"/>
      <c r="Q125" s="137"/>
      <c r="R125" s="138"/>
      <c r="S125" s="186"/>
      <c r="T125" s="105"/>
      <c r="U125" s="105"/>
      <c r="V125" s="137"/>
      <c r="W125" s="138"/>
      <c r="X125" s="137"/>
      <c r="Y125" s="187"/>
      <c r="Z125" s="105"/>
      <c r="AA125" s="105">
        <v>30</v>
      </c>
      <c r="AB125" s="105"/>
      <c r="AC125" s="105"/>
      <c r="AD125" s="144">
        <v>40999</v>
      </c>
      <c r="AE125" s="108" t="s">
        <v>1690</v>
      </c>
    </row>
    <row r="126" spans="1:31" ht="27" customHeight="1" x14ac:dyDescent="0.15">
      <c r="A126" s="150">
        <v>1110400270</v>
      </c>
      <c r="B126" s="106" t="s">
        <v>69</v>
      </c>
      <c r="C126" s="107" t="s">
        <v>1691</v>
      </c>
      <c r="D126" s="108" t="s">
        <v>69</v>
      </c>
      <c r="E126" s="108" t="s">
        <v>1692</v>
      </c>
      <c r="F126" s="139" t="s">
        <v>1693</v>
      </c>
      <c r="G126" s="152" t="s">
        <v>1694</v>
      </c>
      <c r="H126" s="152" t="s">
        <v>1695</v>
      </c>
      <c r="I126" s="133"/>
      <c r="J126" s="180"/>
      <c r="K126" s="154"/>
      <c r="L126" s="154"/>
      <c r="M126" s="154" t="s">
        <v>1689</v>
      </c>
      <c r="N126" s="184"/>
      <c r="O126" s="185"/>
      <c r="P126" s="105"/>
      <c r="Q126" s="137"/>
      <c r="R126" s="138"/>
      <c r="S126" s="186"/>
      <c r="T126" s="105"/>
      <c r="U126" s="105"/>
      <c r="V126" s="137"/>
      <c r="W126" s="138"/>
      <c r="X126" s="137"/>
      <c r="Y126" s="187"/>
      <c r="Z126" s="105"/>
      <c r="AA126" s="105">
        <v>45</v>
      </c>
      <c r="AB126" s="105"/>
      <c r="AC126" s="105"/>
      <c r="AD126" s="144">
        <v>40999</v>
      </c>
      <c r="AE126" s="108" t="s">
        <v>1696</v>
      </c>
    </row>
    <row r="127" spans="1:31" ht="27" customHeight="1" x14ac:dyDescent="0.15">
      <c r="A127" s="105">
        <v>1110400460</v>
      </c>
      <c r="B127" s="130" t="s">
        <v>422</v>
      </c>
      <c r="C127" s="108" t="s">
        <v>540</v>
      </c>
      <c r="D127" s="108" t="s">
        <v>69</v>
      </c>
      <c r="E127" s="108" t="s">
        <v>2804</v>
      </c>
      <c r="F127" s="131" t="s">
        <v>2805</v>
      </c>
      <c r="G127" s="132" t="s">
        <v>606</v>
      </c>
      <c r="H127" s="132" t="s">
        <v>276</v>
      </c>
      <c r="I127" s="133"/>
      <c r="J127" s="134"/>
      <c r="K127" s="134"/>
      <c r="L127" s="134"/>
      <c r="M127" s="134" t="s">
        <v>269</v>
      </c>
      <c r="N127" s="135" t="s">
        <v>269</v>
      </c>
      <c r="O127" s="136"/>
      <c r="P127" s="105"/>
      <c r="Q127" s="137"/>
      <c r="R127" s="138"/>
      <c r="S127" s="105"/>
      <c r="T127" s="105">
        <v>20</v>
      </c>
      <c r="U127" s="105"/>
      <c r="V127" s="137"/>
      <c r="W127" s="138"/>
      <c r="X127" s="152"/>
      <c r="Y127" s="138"/>
      <c r="Z127" s="105"/>
      <c r="AA127" s="132">
        <v>20</v>
      </c>
      <c r="AB127" s="132"/>
      <c r="AC127" s="132"/>
      <c r="AD127" s="118">
        <v>39234</v>
      </c>
      <c r="AE127" s="108" t="s">
        <v>224</v>
      </c>
    </row>
    <row r="128" spans="1:31" ht="27" customHeight="1" x14ac:dyDescent="0.15">
      <c r="A128" s="105">
        <v>1110400601</v>
      </c>
      <c r="B128" s="130" t="s">
        <v>11179</v>
      </c>
      <c r="C128" s="188" t="s">
        <v>2914</v>
      </c>
      <c r="D128" s="108" t="s">
        <v>8175</v>
      </c>
      <c r="E128" s="189" t="s">
        <v>8501</v>
      </c>
      <c r="F128" s="139" t="s">
        <v>2915</v>
      </c>
      <c r="G128" s="140" t="s">
        <v>8502</v>
      </c>
      <c r="H128" s="140" t="s">
        <v>8502</v>
      </c>
      <c r="I128" s="141" t="s">
        <v>4839</v>
      </c>
      <c r="J128" s="142" t="s">
        <v>765</v>
      </c>
      <c r="K128" s="142" t="s">
        <v>765</v>
      </c>
      <c r="L128" s="142" t="s">
        <v>765</v>
      </c>
      <c r="M128" s="142" t="s">
        <v>765</v>
      </c>
      <c r="N128" s="143" t="s">
        <v>765</v>
      </c>
      <c r="O128" s="138" t="s">
        <v>765</v>
      </c>
      <c r="P128" s="105"/>
      <c r="Q128" s="137"/>
      <c r="R128" s="138"/>
      <c r="S128" s="105"/>
      <c r="T128" s="105"/>
      <c r="U128" s="105"/>
      <c r="V128" s="137">
        <v>8</v>
      </c>
      <c r="W128" s="138"/>
      <c r="X128" s="137"/>
      <c r="Y128" s="138"/>
      <c r="Z128" s="105"/>
      <c r="AA128" s="105">
        <v>12</v>
      </c>
      <c r="AB128" s="105"/>
      <c r="AC128" s="105"/>
      <c r="AD128" s="155">
        <v>40452</v>
      </c>
      <c r="AE128" s="108" t="s">
        <v>8503</v>
      </c>
    </row>
    <row r="129" spans="1:31" ht="27" customHeight="1" x14ac:dyDescent="0.15">
      <c r="A129" s="105">
        <v>1110400601</v>
      </c>
      <c r="B129" s="130" t="s">
        <v>3240</v>
      </c>
      <c r="C129" s="108" t="s">
        <v>4639</v>
      </c>
      <c r="D129" s="108" t="s">
        <v>2913</v>
      </c>
      <c r="E129" s="108" t="s">
        <v>2931</v>
      </c>
      <c r="F129" s="131" t="s">
        <v>2915</v>
      </c>
      <c r="G129" s="132" t="s">
        <v>2932</v>
      </c>
      <c r="H129" s="132" t="s">
        <v>2932</v>
      </c>
      <c r="I129" s="141" t="s">
        <v>49</v>
      </c>
      <c r="J129" s="142" t="s">
        <v>49</v>
      </c>
      <c r="K129" s="142" t="s">
        <v>49</v>
      </c>
      <c r="L129" s="142" t="s">
        <v>49</v>
      </c>
      <c r="M129" s="142" t="s">
        <v>49</v>
      </c>
      <c r="N129" s="143" t="s">
        <v>49</v>
      </c>
      <c r="O129" s="138"/>
      <c r="P129" s="105"/>
      <c r="Q129" s="137"/>
      <c r="R129" s="138"/>
      <c r="S129" s="105"/>
      <c r="T129" s="105"/>
      <c r="U129" s="105"/>
      <c r="V129" s="137"/>
      <c r="W129" s="138"/>
      <c r="X129" s="152"/>
      <c r="Y129" s="138"/>
      <c r="Z129" s="105"/>
      <c r="AA129" s="132"/>
      <c r="AB129" s="132" t="s">
        <v>4641</v>
      </c>
      <c r="AC129" s="132"/>
      <c r="AD129" s="118">
        <v>43221</v>
      </c>
      <c r="AE129" s="108" t="s">
        <v>3634</v>
      </c>
    </row>
    <row r="130" spans="1:31" ht="27" customHeight="1" x14ac:dyDescent="0.15">
      <c r="A130" s="105">
        <v>1110400676</v>
      </c>
      <c r="B130" s="106" t="s">
        <v>758</v>
      </c>
      <c r="C130" s="107" t="s">
        <v>579</v>
      </c>
      <c r="D130" s="157" t="s">
        <v>69</v>
      </c>
      <c r="E130" s="108" t="s">
        <v>277</v>
      </c>
      <c r="F130" s="139">
        <v>3501114</v>
      </c>
      <c r="G130" s="140" t="s">
        <v>278</v>
      </c>
      <c r="H130" s="140" t="s">
        <v>279</v>
      </c>
      <c r="I130" s="141" t="s">
        <v>66</v>
      </c>
      <c r="J130" s="142" t="s">
        <v>66</v>
      </c>
      <c r="K130" s="142" t="s">
        <v>66</v>
      </c>
      <c r="L130" s="142" t="s">
        <v>66</v>
      </c>
      <c r="M130" s="142" t="s">
        <v>66</v>
      </c>
      <c r="N130" s="143" t="s">
        <v>66</v>
      </c>
      <c r="O130" s="138" t="s">
        <v>2170</v>
      </c>
      <c r="P130" s="105"/>
      <c r="Q130" s="137"/>
      <c r="R130" s="138"/>
      <c r="S130" s="105"/>
      <c r="T130" s="105">
        <v>20</v>
      </c>
      <c r="U130" s="105"/>
      <c r="V130" s="116"/>
      <c r="W130" s="117"/>
      <c r="X130" s="116"/>
      <c r="Y130" s="138"/>
      <c r="Z130" s="105"/>
      <c r="AA130" s="105">
        <v>20</v>
      </c>
      <c r="AB130" s="105"/>
      <c r="AC130" s="105"/>
      <c r="AD130" s="144">
        <v>39903</v>
      </c>
      <c r="AE130" s="108" t="s">
        <v>222</v>
      </c>
    </row>
    <row r="131" spans="1:31" ht="27" customHeight="1" x14ac:dyDescent="0.15">
      <c r="A131" s="105">
        <v>1110400692</v>
      </c>
      <c r="B131" s="106" t="s">
        <v>6467</v>
      </c>
      <c r="C131" s="107" t="s">
        <v>6468</v>
      </c>
      <c r="D131" s="157" t="s">
        <v>3847</v>
      </c>
      <c r="E131" s="108" t="s">
        <v>6469</v>
      </c>
      <c r="F131" s="139">
        <v>3500822</v>
      </c>
      <c r="G131" s="140" t="s">
        <v>6470</v>
      </c>
      <c r="H131" s="140" t="s">
        <v>6471</v>
      </c>
      <c r="I131" s="141"/>
      <c r="J131" s="142"/>
      <c r="K131" s="142"/>
      <c r="L131" s="142"/>
      <c r="M131" s="142" t="s">
        <v>4839</v>
      </c>
      <c r="N131" s="143"/>
      <c r="O131" s="138"/>
      <c r="P131" s="105"/>
      <c r="Q131" s="137"/>
      <c r="R131" s="138"/>
      <c r="S131" s="105"/>
      <c r="T131" s="105"/>
      <c r="U131" s="105"/>
      <c r="V131" s="116"/>
      <c r="W131" s="138"/>
      <c r="X131" s="116">
        <v>20</v>
      </c>
      <c r="Y131" s="138"/>
      <c r="Z131" s="105"/>
      <c r="AA131" s="105">
        <v>20</v>
      </c>
      <c r="AB131" s="105"/>
      <c r="AC131" s="105"/>
      <c r="AD131" s="144">
        <v>39995</v>
      </c>
      <c r="AE131" s="108" t="s">
        <v>6472</v>
      </c>
    </row>
    <row r="132" spans="1:31" ht="27" customHeight="1" x14ac:dyDescent="0.15">
      <c r="A132" s="105">
        <v>1110400692</v>
      </c>
      <c r="B132" s="106" t="s">
        <v>399</v>
      </c>
      <c r="C132" s="107" t="s">
        <v>4640</v>
      </c>
      <c r="D132" s="157" t="s">
        <v>69</v>
      </c>
      <c r="E132" s="108" t="s">
        <v>743</v>
      </c>
      <c r="F132" s="139">
        <v>3500822</v>
      </c>
      <c r="G132" s="140" t="s">
        <v>744</v>
      </c>
      <c r="H132" s="140" t="s">
        <v>286</v>
      </c>
      <c r="I132" s="141" t="s">
        <v>49</v>
      </c>
      <c r="J132" s="142" t="s">
        <v>49</v>
      </c>
      <c r="K132" s="142" t="s">
        <v>49</v>
      </c>
      <c r="L132" s="142" t="s">
        <v>49</v>
      </c>
      <c r="M132" s="142" t="s">
        <v>49</v>
      </c>
      <c r="N132" s="143" t="s">
        <v>49</v>
      </c>
      <c r="O132" s="138" t="s">
        <v>49</v>
      </c>
      <c r="P132" s="105"/>
      <c r="Q132" s="137"/>
      <c r="R132" s="138"/>
      <c r="S132" s="105"/>
      <c r="T132" s="105"/>
      <c r="U132" s="105"/>
      <c r="V132" s="116"/>
      <c r="W132" s="138"/>
      <c r="X132" s="116"/>
      <c r="Y132" s="138"/>
      <c r="Z132" s="105"/>
      <c r="AA132" s="105"/>
      <c r="AB132" s="105" t="s">
        <v>4641</v>
      </c>
      <c r="AC132" s="105"/>
      <c r="AD132" s="144">
        <v>43221</v>
      </c>
      <c r="AE132" s="108" t="s">
        <v>287</v>
      </c>
    </row>
    <row r="133" spans="1:31" ht="27" customHeight="1" x14ac:dyDescent="0.15">
      <c r="A133" s="105">
        <v>1110400692</v>
      </c>
      <c r="B133" s="106" t="s">
        <v>399</v>
      </c>
      <c r="C133" s="107" t="s">
        <v>10938</v>
      </c>
      <c r="D133" s="157" t="s">
        <v>69</v>
      </c>
      <c r="E133" s="108" t="s">
        <v>10939</v>
      </c>
      <c r="F133" s="139" t="s">
        <v>10937</v>
      </c>
      <c r="G133" s="140" t="s">
        <v>744</v>
      </c>
      <c r="H133" s="140" t="s">
        <v>286</v>
      </c>
      <c r="I133" s="141"/>
      <c r="J133" s="142"/>
      <c r="K133" s="142"/>
      <c r="L133" s="142"/>
      <c r="M133" s="142" t="s">
        <v>765</v>
      </c>
      <c r="N133" s="143"/>
      <c r="O133" s="138"/>
      <c r="P133" s="105"/>
      <c r="Q133" s="137"/>
      <c r="R133" s="138"/>
      <c r="S133" s="105"/>
      <c r="T133" s="105"/>
      <c r="U133" s="105"/>
      <c r="V133" s="116"/>
      <c r="W133" s="138"/>
      <c r="X133" s="116"/>
      <c r="Y133" s="138"/>
      <c r="Z133" s="105"/>
      <c r="AA133" s="105"/>
      <c r="AB133" s="105"/>
      <c r="AC133" s="105">
        <v>15</v>
      </c>
      <c r="AD133" s="144">
        <v>45992</v>
      </c>
      <c r="AE133" s="108" t="s">
        <v>10940</v>
      </c>
    </row>
    <row r="134" spans="1:31" ht="27" customHeight="1" x14ac:dyDescent="0.15">
      <c r="A134" s="105">
        <v>1110400734</v>
      </c>
      <c r="B134" s="106" t="s">
        <v>966</v>
      </c>
      <c r="C134" s="107" t="s">
        <v>967</v>
      </c>
      <c r="D134" s="157" t="s">
        <v>69</v>
      </c>
      <c r="E134" s="108" t="s">
        <v>968</v>
      </c>
      <c r="F134" s="139">
        <v>3501152</v>
      </c>
      <c r="G134" s="140" t="s">
        <v>969</v>
      </c>
      <c r="H134" s="140" t="s">
        <v>970</v>
      </c>
      <c r="I134" s="141"/>
      <c r="J134" s="142"/>
      <c r="K134" s="142"/>
      <c r="L134" s="142"/>
      <c r="M134" s="142" t="s">
        <v>49</v>
      </c>
      <c r="N134" s="143"/>
      <c r="O134" s="138"/>
      <c r="P134" s="105"/>
      <c r="Q134" s="137"/>
      <c r="R134" s="138"/>
      <c r="S134" s="105"/>
      <c r="T134" s="105"/>
      <c r="U134" s="105"/>
      <c r="V134" s="116"/>
      <c r="W134" s="138"/>
      <c r="X134" s="116"/>
      <c r="Y134" s="138"/>
      <c r="Z134" s="105"/>
      <c r="AA134" s="105">
        <v>30</v>
      </c>
      <c r="AB134" s="105"/>
      <c r="AC134" s="105"/>
      <c r="AD134" s="144">
        <v>40260</v>
      </c>
      <c r="AE134" s="108" t="s">
        <v>971</v>
      </c>
    </row>
    <row r="135" spans="1:31" ht="27" customHeight="1" x14ac:dyDescent="0.15">
      <c r="A135" s="105">
        <v>1110400825</v>
      </c>
      <c r="B135" s="106" t="s">
        <v>1492</v>
      </c>
      <c r="C135" s="107" t="s">
        <v>1493</v>
      </c>
      <c r="D135" s="157" t="s">
        <v>69</v>
      </c>
      <c r="E135" s="108" t="s">
        <v>1494</v>
      </c>
      <c r="F135" s="139">
        <v>3500036</v>
      </c>
      <c r="G135" s="140" t="s">
        <v>1495</v>
      </c>
      <c r="H135" s="140" t="s">
        <v>1495</v>
      </c>
      <c r="I135" s="141" t="s">
        <v>1498</v>
      </c>
      <c r="J135" s="142" t="s">
        <v>1498</v>
      </c>
      <c r="K135" s="142" t="s">
        <v>1498</v>
      </c>
      <c r="L135" s="142" t="s">
        <v>1498</v>
      </c>
      <c r="M135" s="142" t="s">
        <v>1490</v>
      </c>
      <c r="N135" s="143"/>
      <c r="O135" s="138" t="s">
        <v>3159</v>
      </c>
      <c r="P135" s="105"/>
      <c r="Q135" s="137"/>
      <c r="R135" s="138"/>
      <c r="S135" s="105"/>
      <c r="T135" s="105">
        <v>20</v>
      </c>
      <c r="U135" s="105"/>
      <c r="V135" s="137"/>
      <c r="W135" s="138"/>
      <c r="X135" s="137"/>
      <c r="Y135" s="138"/>
      <c r="Z135" s="105"/>
      <c r="AA135" s="105"/>
      <c r="AB135" s="105"/>
      <c r="AC135" s="105"/>
      <c r="AD135" s="144">
        <v>40817</v>
      </c>
      <c r="AE135" s="108" t="s">
        <v>1496</v>
      </c>
    </row>
    <row r="136" spans="1:31" ht="27" customHeight="1" x14ac:dyDescent="0.15">
      <c r="A136" s="105">
        <v>1110400841</v>
      </c>
      <c r="B136" s="106" t="s">
        <v>6691</v>
      </c>
      <c r="C136" s="107" t="s">
        <v>6692</v>
      </c>
      <c r="D136" s="157" t="s">
        <v>3847</v>
      </c>
      <c r="E136" s="108" t="s">
        <v>6693</v>
      </c>
      <c r="F136" s="139">
        <v>3500855</v>
      </c>
      <c r="G136" s="140" t="s">
        <v>6694</v>
      </c>
      <c r="H136" s="140" t="s">
        <v>6694</v>
      </c>
      <c r="I136" s="141" t="s">
        <v>4839</v>
      </c>
      <c r="J136" s="142" t="s">
        <v>4839</v>
      </c>
      <c r="K136" s="142" t="s">
        <v>4839</v>
      </c>
      <c r="L136" s="142" t="s">
        <v>4839</v>
      </c>
      <c r="M136" s="142" t="s">
        <v>4839</v>
      </c>
      <c r="N136" s="143"/>
      <c r="O136" s="138" t="s">
        <v>4839</v>
      </c>
      <c r="P136" s="105"/>
      <c r="Q136" s="137"/>
      <c r="R136" s="138"/>
      <c r="S136" s="105"/>
      <c r="T136" s="105">
        <v>20</v>
      </c>
      <c r="U136" s="105"/>
      <c r="V136" s="137"/>
      <c r="W136" s="138"/>
      <c r="X136" s="137"/>
      <c r="Y136" s="138"/>
      <c r="Z136" s="105"/>
      <c r="AA136" s="105">
        <v>10</v>
      </c>
      <c r="AB136" s="105"/>
      <c r="AC136" s="105"/>
      <c r="AD136" s="144">
        <v>40999</v>
      </c>
      <c r="AE136" s="108" t="s">
        <v>9468</v>
      </c>
    </row>
    <row r="137" spans="1:31" ht="27" customHeight="1" x14ac:dyDescent="0.15">
      <c r="A137" s="105">
        <v>1110400858</v>
      </c>
      <c r="B137" s="106" t="s">
        <v>2739</v>
      </c>
      <c r="C137" s="107" t="s">
        <v>1697</v>
      </c>
      <c r="D137" s="108" t="s">
        <v>69</v>
      </c>
      <c r="E137" s="108" t="s">
        <v>5817</v>
      </c>
      <c r="F137" s="139" t="s">
        <v>5818</v>
      </c>
      <c r="G137" s="140" t="s">
        <v>1698</v>
      </c>
      <c r="H137" s="140" t="s">
        <v>6096</v>
      </c>
      <c r="I137" s="159"/>
      <c r="J137" s="142"/>
      <c r="K137" s="142"/>
      <c r="L137" s="142"/>
      <c r="M137" s="142" t="s">
        <v>765</v>
      </c>
      <c r="N137" s="142"/>
      <c r="O137" s="160"/>
      <c r="P137" s="105"/>
      <c r="Q137" s="137"/>
      <c r="R137" s="138"/>
      <c r="S137" s="105"/>
      <c r="T137" s="105">
        <v>40</v>
      </c>
      <c r="U137" s="105"/>
      <c r="V137" s="137"/>
      <c r="W137" s="138"/>
      <c r="X137" s="137"/>
      <c r="Y137" s="138"/>
      <c r="Z137" s="105"/>
      <c r="AA137" s="105"/>
      <c r="AB137" s="157"/>
      <c r="AC137" s="157"/>
      <c r="AD137" s="155">
        <v>40999</v>
      </c>
      <c r="AE137" s="108" t="s">
        <v>5819</v>
      </c>
    </row>
    <row r="138" spans="1:31" s="65" customFormat="1" ht="27" customHeight="1" x14ac:dyDescent="0.15">
      <c r="A138" s="105">
        <v>1110400890</v>
      </c>
      <c r="B138" s="106" t="s">
        <v>2059</v>
      </c>
      <c r="C138" s="107" t="s">
        <v>2060</v>
      </c>
      <c r="D138" s="157" t="s">
        <v>69</v>
      </c>
      <c r="E138" s="108" t="s">
        <v>2061</v>
      </c>
      <c r="F138" s="139" t="s">
        <v>2062</v>
      </c>
      <c r="G138" s="140" t="s">
        <v>2063</v>
      </c>
      <c r="H138" s="140" t="s">
        <v>2063</v>
      </c>
      <c r="I138" s="141"/>
      <c r="J138" s="142"/>
      <c r="K138" s="142"/>
      <c r="L138" s="142"/>
      <c r="M138" s="142" t="s">
        <v>2064</v>
      </c>
      <c r="N138" s="143"/>
      <c r="O138" s="138"/>
      <c r="P138" s="105"/>
      <c r="Q138" s="137"/>
      <c r="R138" s="138"/>
      <c r="S138" s="105"/>
      <c r="T138" s="105">
        <v>20</v>
      </c>
      <c r="U138" s="105"/>
      <c r="V138" s="137"/>
      <c r="W138" s="138"/>
      <c r="X138" s="137"/>
      <c r="Y138" s="138"/>
      <c r="Z138" s="105"/>
      <c r="AA138" s="105"/>
      <c r="AB138" s="105"/>
      <c r="AC138" s="105"/>
      <c r="AD138" s="144">
        <v>41061</v>
      </c>
      <c r="AE138" s="108" t="s">
        <v>2065</v>
      </c>
    </row>
    <row r="139" spans="1:31" s="65" customFormat="1" ht="27" customHeight="1" x14ac:dyDescent="0.15">
      <c r="A139" s="132">
        <v>1110400932</v>
      </c>
      <c r="B139" s="130" t="s">
        <v>2122</v>
      </c>
      <c r="C139" s="108" t="s">
        <v>2255</v>
      </c>
      <c r="D139" s="108" t="s">
        <v>69</v>
      </c>
      <c r="E139" s="108" t="s">
        <v>6097</v>
      </c>
      <c r="F139" s="139" t="s">
        <v>2256</v>
      </c>
      <c r="G139" s="132" t="s">
        <v>2257</v>
      </c>
      <c r="H139" s="132" t="s">
        <v>2258</v>
      </c>
      <c r="I139" s="133"/>
      <c r="J139" s="154"/>
      <c r="K139" s="154"/>
      <c r="L139" s="154" t="s">
        <v>2259</v>
      </c>
      <c r="M139" s="154" t="s">
        <v>2259</v>
      </c>
      <c r="N139" s="143" t="s">
        <v>2259</v>
      </c>
      <c r="O139" s="138" t="s">
        <v>2303</v>
      </c>
      <c r="P139" s="150"/>
      <c r="Q139" s="137"/>
      <c r="R139" s="138"/>
      <c r="S139" s="150"/>
      <c r="T139" s="150"/>
      <c r="U139" s="105"/>
      <c r="V139" s="116"/>
      <c r="W139" s="117"/>
      <c r="X139" s="116">
        <v>20</v>
      </c>
      <c r="Y139" s="138"/>
      <c r="Z139" s="105"/>
      <c r="AA139" s="105"/>
      <c r="AB139" s="105"/>
      <c r="AC139" s="105"/>
      <c r="AD139" s="144">
        <v>41518</v>
      </c>
      <c r="AE139" s="108" t="s">
        <v>2260</v>
      </c>
    </row>
    <row r="140" spans="1:31" s="65" customFormat="1" ht="27" customHeight="1" x14ac:dyDescent="0.15">
      <c r="A140" s="150">
        <v>1110400940</v>
      </c>
      <c r="B140" s="106" t="s">
        <v>2284</v>
      </c>
      <c r="C140" s="107" t="s">
        <v>2285</v>
      </c>
      <c r="D140" s="157" t="s">
        <v>2286</v>
      </c>
      <c r="E140" s="108" t="s">
        <v>10221</v>
      </c>
      <c r="F140" s="139" t="s">
        <v>2287</v>
      </c>
      <c r="G140" s="132" t="s">
        <v>2288</v>
      </c>
      <c r="H140" s="132" t="s">
        <v>2289</v>
      </c>
      <c r="I140" s="133" t="s">
        <v>2290</v>
      </c>
      <c r="J140" s="154" t="s">
        <v>2290</v>
      </c>
      <c r="K140" s="154" t="s">
        <v>2290</v>
      </c>
      <c r="L140" s="154" t="s">
        <v>2290</v>
      </c>
      <c r="M140" s="154" t="s">
        <v>2290</v>
      </c>
      <c r="N140" s="143" t="s">
        <v>2290</v>
      </c>
      <c r="O140" s="185" t="s">
        <v>2290</v>
      </c>
      <c r="P140" s="150"/>
      <c r="Q140" s="137"/>
      <c r="R140" s="138"/>
      <c r="S140" s="150"/>
      <c r="T140" s="150"/>
      <c r="U140" s="105"/>
      <c r="V140" s="116"/>
      <c r="W140" s="117"/>
      <c r="X140" s="116"/>
      <c r="Y140" s="138"/>
      <c r="Z140" s="105">
        <v>20</v>
      </c>
      <c r="AA140" s="105"/>
      <c r="AB140" s="105"/>
      <c r="AC140" s="105"/>
      <c r="AD140" s="144">
        <v>41548</v>
      </c>
      <c r="AE140" s="108" t="s">
        <v>10222</v>
      </c>
    </row>
    <row r="141" spans="1:31" s="65" customFormat="1" ht="27" customHeight="1" x14ac:dyDescent="0.15">
      <c r="A141" s="105">
        <v>1110401005</v>
      </c>
      <c r="B141" s="130" t="s">
        <v>2362</v>
      </c>
      <c r="C141" s="108" t="s">
        <v>3728</v>
      </c>
      <c r="D141" s="108" t="s">
        <v>69</v>
      </c>
      <c r="E141" s="108" t="s">
        <v>3729</v>
      </c>
      <c r="F141" s="131" t="s">
        <v>2356</v>
      </c>
      <c r="G141" s="132" t="s">
        <v>2357</v>
      </c>
      <c r="H141" s="132" t="s">
        <v>2358</v>
      </c>
      <c r="I141" s="133" t="s">
        <v>2359</v>
      </c>
      <c r="J141" s="134" t="s">
        <v>2359</v>
      </c>
      <c r="K141" s="134" t="s">
        <v>2359</v>
      </c>
      <c r="L141" s="134" t="s">
        <v>2359</v>
      </c>
      <c r="M141" s="134" t="s">
        <v>2360</v>
      </c>
      <c r="N141" s="135" t="s">
        <v>2359</v>
      </c>
      <c r="O141" s="136" t="s">
        <v>2359</v>
      </c>
      <c r="P141" s="105"/>
      <c r="Q141" s="137"/>
      <c r="R141" s="138"/>
      <c r="S141" s="105"/>
      <c r="T141" s="105"/>
      <c r="U141" s="105"/>
      <c r="V141" s="137"/>
      <c r="W141" s="138"/>
      <c r="X141" s="137"/>
      <c r="Y141" s="138"/>
      <c r="Z141" s="105">
        <v>10</v>
      </c>
      <c r="AA141" s="105">
        <v>10</v>
      </c>
      <c r="AB141" s="105"/>
      <c r="AC141" s="105"/>
      <c r="AD141" s="118">
        <v>41699</v>
      </c>
      <c r="AE141" s="108" t="s">
        <v>2361</v>
      </c>
    </row>
    <row r="142" spans="1:31" s="65" customFormat="1" ht="27" customHeight="1" x14ac:dyDescent="0.15">
      <c r="A142" s="150">
        <v>1110401047</v>
      </c>
      <c r="B142" s="106" t="s">
        <v>2284</v>
      </c>
      <c r="C142" s="107" t="s">
        <v>2529</v>
      </c>
      <c r="D142" s="157" t="s">
        <v>2530</v>
      </c>
      <c r="E142" s="108" t="s">
        <v>2531</v>
      </c>
      <c r="F142" s="139" t="s">
        <v>2532</v>
      </c>
      <c r="G142" s="132" t="s">
        <v>2533</v>
      </c>
      <c r="H142" s="132" t="s">
        <v>2934</v>
      </c>
      <c r="I142" s="133" t="s">
        <v>2534</v>
      </c>
      <c r="J142" s="154" t="s">
        <v>2534</v>
      </c>
      <c r="K142" s="154" t="s">
        <v>2534</v>
      </c>
      <c r="L142" s="154" t="s">
        <v>2534</v>
      </c>
      <c r="M142" s="154" t="s">
        <v>2534</v>
      </c>
      <c r="N142" s="143" t="s">
        <v>2534</v>
      </c>
      <c r="O142" s="185" t="s">
        <v>2534</v>
      </c>
      <c r="P142" s="150"/>
      <c r="Q142" s="137"/>
      <c r="R142" s="138"/>
      <c r="S142" s="150"/>
      <c r="T142" s="150"/>
      <c r="U142" s="105"/>
      <c r="V142" s="116"/>
      <c r="W142" s="117"/>
      <c r="X142" s="116"/>
      <c r="Y142" s="138"/>
      <c r="Z142" s="105">
        <v>20</v>
      </c>
      <c r="AA142" s="105"/>
      <c r="AB142" s="105"/>
      <c r="AC142" s="105"/>
      <c r="AD142" s="144">
        <v>41821</v>
      </c>
      <c r="AE142" s="108" t="s">
        <v>2535</v>
      </c>
    </row>
    <row r="143" spans="1:31" s="65" customFormat="1" ht="27" customHeight="1" x14ac:dyDescent="0.15">
      <c r="A143" s="105">
        <v>1110401062</v>
      </c>
      <c r="B143" s="130" t="s">
        <v>2567</v>
      </c>
      <c r="C143" s="108" t="s">
        <v>2559</v>
      </c>
      <c r="D143" s="108" t="s">
        <v>69</v>
      </c>
      <c r="E143" s="108" t="s">
        <v>2568</v>
      </c>
      <c r="F143" s="131" t="s">
        <v>2560</v>
      </c>
      <c r="G143" s="132" t="s">
        <v>6098</v>
      </c>
      <c r="H143" s="132" t="s">
        <v>6099</v>
      </c>
      <c r="I143" s="133" t="s">
        <v>2561</v>
      </c>
      <c r="J143" s="134" t="s">
        <v>2561</v>
      </c>
      <c r="K143" s="134" t="s">
        <v>2561</v>
      </c>
      <c r="L143" s="134" t="s">
        <v>2561</v>
      </c>
      <c r="M143" s="134" t="s">
        <v>49</v>
      </c>
      <c r="N143" s="135" t="s">
        <v>2561</v>
      </c>
      <c r="O143" s="136" t="s">
        <v>2561</v>
      </c>
      <c r="P143" s="105"/>
      <c r="Q143" s="137"/>
      <c r="R143" s="138"/>
      <c r="S143" s="105"/>
      <c r="T143" s="105"/>
      <c r="U143" s="105"/>
      <c r="V143" s="137"/>
      <c r="W143" s="138"/>
      <c r="X143" s="137"/>
      <c r="Y143" s="138"/>
      <c r="Z143" s="105"/>
      <c r="AA143" s="105">
        <v>20</v>
      </c>
      <c r="AB143" s="105"/>
      <c r="AC143" s="105"/>
      <c r="AD143" s="118">
        <v>41852</v>
      </c>
      <c r="AE143" s="108" t="s">
        <v>3037</v>
      </c>
    </row>
    <row r="144" spans="1:31" s="65" customFormat="1" ht="27" customHeight="1" x14ac:dyDescent="0.15">
      <c r="A144" s="105">
        <v>1110401153</v>
      </c>
      <c r="B144" s="130" t="s">
        <v>2927</v>
      </c>
      <c r="C144" s="108" t="s">
        <v>2928</v>
      </c>
      <c r="D144" s="108" t="s">
        <v>2913</v>
      </c>
      <c r="E144" s="108" t="s">
        <v>9190</v>
      </c>
      <c r="F144" s="131" t="s">
        <v>2929</v>
      </c>
      <c r="G144" s="132" t="s">
        <v>2930</v>
      </c>
      <c r="H144" s="132" t="s">
        <v>2930</v>
      </c>
      <c r="I144" s="133" t="s">
        <v>765</v>
      </c>
      <c r="J144" s="134" t="s">
        <v>765</v>
      </c>
      <c r="K144" s="134" t="s">
        <v>765</v>
      </c>
      <c r="L144" s="134" t="s">
        <v>765</v>
      </c>
      <c r="M144" s="134" t="s">
        <v>765</v>
      </c>
      <c r="N144" s="135" t="s">
        <v>765</v>
      </c>
      <c r="O144" s="136" t="s">
        <v>2986</v>
      </c>
      <c r="P144" s="105"/>
      <c r="Q144" s="137"/>
      <c r="R144" s="138"/>
      <c r="S144" s="105"/>
      <c r="T144" s="105">
        <v>35</v>
      </c>
      <c r="U144" s="105"/>
      <c r="V144" s="137"/>
      <c r="W144" s="138"/>
      <c r="X144" s="137"/>
      <c r="Y144" s="138"/>
      <c r="Z144" s="105"/>
      <c r="AA144" s="105"/>
      <c r="AB144" s="105"/>
      <c r="AC144" s="105"/>
      <c r="AD144" s="118">
        <v>42095</v>
      </c>
      <c r="AE144" s="108" t="s">
        <v>2920</v>
      </c>
    </row>
    <row r="145" spans="1:31" s="65" customFormat="1" ht="27" customHeight="1" x14ac:dyDescent="0.15">
      <c r="A145" s="105">
        <v>1110401187</v>
      </c>
      <c r="B145" s="106" t="s">
        <v>12006</v>
      </c>
      <c r="C145" s="107" t="s">
        <v>8461</v>
      </c>
      <c r="D145" s="108" t="s">
        <v>8175</v>
      </c>
      <c r="E145" s="108" t="s">
        <v>8462</v>
      </c>
      <c r="F145" s="139" t="s">
        <v>2916</v>
      </c>
      <c r="G145" s="140" t="s">
        <v>2917</v>
      </c>
      <c r="H145" s="140" t="s">
        <v>2918</v>
      </c>
      <c r="I145" s="141"/>
      <c r="J145" s="142"/>
      <c r="K145" s="142"/>
      <c r="L145" s="142"/>
      <c r="M145" s="142" t="s">
        <v>4839</v>
      </c>
      <c r="N145" s="143"/>
      <c r="O145" s="138"/>
      <c r="P145" s="105"/>
      <c r="Q145" s="137"/>
      <c r="R145" s="138"/>
      <c r="S145" s="105"/>
      <c r="T145" s="105">
        <v>25</v>
      </c>
      <c r="U145" s="105"/>
      <c r="V145" s="137"/>
      <c r="W145" s="138"/>
      <c r="X145" s="137"/>
      <c r="Y145" s="138"/>
      <c r="Z145" s="105"/>
      <c r="AA145" s="105">
        <v>30</v>
      </c>
      <c r="AB145" s="105"/>
      <c r="AC145" s="105"/>
      <c r="AD145" s="144">
        <v>44013</v>
      </c>
      <c r="AE145" s="108" t="s">
        <v>8463</v>
      </c>
    </row>
    <row r="146" spans="1:31" s="65" customFormat="1" ht="27" customHeight="1" x14ac:dyDescent="0.15">
      <c r="A146" s="105">
        <v>1110401195</v>
      </c>
      <c r="B146" s="130" t="s">
        <v>2921</v>
      </c>
      <c r="C146" s="108" t="s">
        <v>2922</v>
      </c>
      <c r="D146" s="108" t="s">
        <v>2913</v>
      </c>
      <c r="E146" s="108" t="s">
        <v>2923</v>
      </c>
      <c r="F146" s="131" t="s">
        <v>2924</v>
      </c>
      <c r="G146" s="132" t="s">
        <v>2925</v>
      </c>
      <c r="H146" s="132" t="s">
        <v>2926</v>
      </c>
      <c r="I146" s="133" t="s">
        <v>765</v>
      </c>
      <c r="J146" s="134" t="s">
        <v>765</v>
      </c>
      <c r="K146" s="134" t="s">
        <v>765</v>
      </c>
      <c r="L146" s="134" t="s">
        <v>765</v>
      </c>
      <c r="M146" s="134" t="s">
        <v>765</v>
      </c>
      <c r="N146" s="135" t="s">
        <v>765</v>
      </c>
      <c r="O146" s="136" t="s">
        <v>2993</v>
      </c>
      <c r="P146" s="105"/>
      <c r="Q146" s="137"/>
      <c r="R146" s="138"/>
      <c r="S146" s="105"/>
      <c r="T146" s="105"/>
      <c r="U146" s="105"/>
      <c r="V146" s="137"/>
      <c r="W146" s="138"/>
      <c r="X146" s="137"/>
      <c r="Y146" s="138"/>
      <c r="Z146" s="105">
        <v>20</v>
      </c>
      <c r="AA146" s="105"/>
      <c r="AB146" s="105"/>
      <c r="AC146" s="105"/>
      <c r="AD146" s="118">
        <v>42095</v>
      </c>
      <c r="AE146" s="108" t="s">
        <v>2919</v>
      </c>
    </row>
    <row r="147" spans="1:31" s="65" customFormat="1" ht="27" customHeight="1" x14ac:dyDescent="0.15">
      <c r="A147" s="105">
        <v>1110401229</v>
      </c>
      <c r="B147" s="130" t="s">
        <v>2122</v>
      </c>
      <c r="C147" s="108" t="s">
        <v>3015</v>
      </c>
      <c r="D147" s="108" t="s">
        <v>2913</v>
      </c>
      <c r="E147" s="189" t="s">
        <v>8498</v>
      </c>
      <c r="F147" s="139" t="s">
        <v>7041</v>
      </c>
      <c r="G147" s="140" t="s">
        <v>8499</v>
      </c>
      <c r="H147" s="140" t="s">
        <v>8500</v>
      </c>
      <c r="I147" s="133"/>
      <c r="J147" s="134"/>
      <c r="K147" s="134"/>
      <c r="L147" s="134"/>
      <c r="M147" s="134"/>
      <c r="N147" s="135" t="s">
        <v>765</v>
      </c>
      <c r="O147" s="136"/>
      <c r="P147" s="105"/>
      <c r="Q147" s="137"/>
      <c r="R147" s="138"/>
      <c r="S147" s="105"/>
      <c r="T147" s="105"/>
      <c r="U147" s="105"/>
      <c r="V147" s="137"/>
      <c r="W147" s="138"/>
      <c r="X147" s="137">
        <v>20</v>
      </c>
      <c r="Y147" s="138"/>
      <c r="Z147" s="105"/>
      <c r="AA147" s="105"/>
      <c r="AB147" s="105"/>
      <c r="AC147" s="105"/>
      <c r="AD147" s="118">
        <v>42156</v>
      </c>
      <c r="AE147" s="108" t="s">
        <v>3022</v>
      </c>
    </row>
    <row r="148" spans="1:31" s="65" customFormat="1" ht="27" customHeight="1" x14ac:dyDescent="0.15">
      <c r="A148" s="105">
        <v>1110401229</v>
      </c>
      <c r="B148" s="130" t="s">
        <v>2122</v>
      </c>
      <c r="C148" s="108" t="s">
        <v>3015</v>
      </c>
      <c r="D148" s="108" t="s">
        <v>2913</v>
      </c>
      <c r="E148" s="189" t="s">
        <v>8498</v>
      </c>
      <c r="F148" s="139" t="s">
        <v>7041</v>
      </c>
      <c r="G148" s="140" t="s">
        <v>8499</v>
      </c>
      <c r="H148" s="140" t="s">
        <v>8500</v>
      </c>
      <c r="I148" s="133"/>
      <c r="J148" s="134"/>
      <c r="K148" s="134"/>
      <c r="L148" s="134"/>
      <c r="M148" s="134" t="s">
        <v>765</v>
      </c>
      <c r="N148" s="135" t="s">
        <v>765</v>
      </c>
      <c r="O148" s="136" t="s">
        <v>765</v>
      </c>
      <c r="P148" s="105"/>
      <c r="Q148" s="137"/>
      <c r="R148" s="138"/>
      <c r="S148" s="105"/>
      <c r="T148" s="105"/>
      <c r="U148" s="105"/>
      <c r="V148" s="137"/>
      <c r="W148" s="138"/>
      <c r="X148" s="137"/>
      <c r="Y148" s="138"/>
      <c r="Z148" s="105"/>
      <c r="AA148" s="105"/>
      <c r="AB148" s="105" t="s">
        <v>765</v>
      </c>
      <c r="AC148" s="105"/>
      <c r="AD148" s="118">
        <v>43374</v>
      </c>
      <c r="AE148" s="108" t="s">
        <v>3022</v>
      </c>
    </row>
    <row r="149" spans="1:31" s="65" customFormat="1" ht="27" customHeight="1" x14ac:dyDescent="0.15">
      <c r="A149" s="105">
        <v>1110401237</v>
      </c>
      <c r="B149" s="130" t="s">
        <v>3239</v>
      </c>
      <c r="C149" s="108" t="s">
        <v>3016</v>
      </c>
      <c r="D149" s="108" t="s">
        <v>2913</v>
      </c>
      <c r="E149" s="108" t="s">
        <v>3021</v>
      </c>
      <c r="F149" s="131" t="s">
        <v>3018</v>
      </c>
      <c r="G149" s="132" t="s">
        <v>3019</v>
      </c>
      <c r="H149" s="132" t="s">
        <v>3020</v>
      </c>
      <c r="I149" s="133" t="s">
        <v>765</v>
      </c>
      <c r="J149" s="134" t="s">
        <v>765</v>
      </c>
      <c r="K149" s="134" t="s">
        <v>765</v>
      </c>
      <c r="L149" s="134" t="s">
        <v>765</v>
      </c>
      <c r="M149" s="134" t="s">
        <v>765</v>
      </c>
      <c r="N149" s="135" t="s">
        <v>765</v>
      </c>
      <c r="O149" s="136"/>
      <c r="P149" s="105"/>
      <c r="Q149" s="137"/>
      <c r="R149" s="138"/>
      <c r="S149" s="105"/>
      <c r="T149" s="105"/>
      <c r="U149" s="105"/>
      <c r="V149" s="137"/>
      <c r="W149" s="138"/>
      <c r="X149" s="137"/>
      <c r="Y149" s="138"/>
      <c r="Z149" s="105">
        <v>20</v>
      </c>
      <c r="AA149" s="105"/>
      <c r="AB149" s="105"/>
      <c r="AC149" s="105"/>
      <c r="AD149" s="118">
        <v>42156</v>
      </c>
      <c r="AE149" s="108" t="s">
        <v>3036</v>
      </c>
    </row>
    <row r="150" spans="1:31" s="65" customFormat="1" ht="27" customHeight="1" x14ac:dyDescent="0.15">
      <c r="A150" s="105">
        <v>1110401252</v>
      </c>
      <c r="B150" s="130" t="s">
        <v>2122</v>
      </c>
      <c r="C150" s="108" t="s">
        <v>3276</v>
      </c>
      <c r="D150" s="108" t="s">
        <v>69</v>
      </c>
      <c r="E150" s="108" t="s">
        <v>3279</v>
      </c>
      <c r="F150" s="131" t="s">
        <v>3017</v>
      </c>
      <c r="G150" s="132" t="s">
        <v>3277</v>
      </c>
      <c r="H150" s="132" t="s">
        <v>3278</v>
      </c>
      <c r="I150" s="133"/>
      <c r="J150" s="134"/>
      <c r="K150" s="134"/>
      <c r="L150" s="134" t="s">
        <v>765</v>
      </c>
      <c r="M150" s="134" t="s">
        <v>765</v>
      </c>
      <c r="N150" s="135" t="s">
        <v>765</v>
      </c>
      <c r="O150" s="136" t="s">
        <v>765</v>
      </c>
      <c r="P150" s="105"/>
      <c r="Q150" s="137"/>
      <c r="R150" s="138"/>
      <c r="S150" s="105"/>
      <c r="T150" s="105"/>
      <c r="U150" s="105"/>
      <c r="V150" s="137"/>
      <c r="W150" s="138"/>
      <c r="X150" s="137">
        <v>20</v>
      </c>
      <c r="Y150" s="138"/>
      <c r="Z150" s="105"/>
      <c r="AA150" s="105"/>
      <c r="AB150" s="105"/>
      <c r="AC150" s="105"/>
      <c r="AD150" s="118">
        <v>42401</v>
      </c>
      <c r="AE150" s="108" t="s">
        <v>3280</v>
      </c>
    </row>
    <row r="151" spans="1:31" s="65" customFormat="1" ht="27" customHeight="1" x14ac:dyDescent="0.15">
      <c r="A151" s="105">
        <v>1110401252</v>
      </c>
      <c r="B151" s="130" t="s">
        <v>2122</v>
      </c>
      <c r="C151" s="108" t="s">
        <v>3276</v>
      </c>
      <c r="D151" s="108" t="s">
        <v>69</v>
      </c>
      <c r="E151" s="108" t="s">
        <v>3279</v>
      </c>
      <c r="F151" s="131" t="s">
        <v>3017</v>
      </c>
      <c r="G151" s="132" t="s">
        <v>3277</v>
      </c>
      <c r="H151" s="132" t="s">
        <v>3278</v>
      </c>
      <c r="I151" s="133"/>
      <c r="J151" s="134"/>
      <c r="K151" s="134"/>
      <c r="L151" s="134" t="s">
        <v>765</v>
      </c>
      <c r="M151" s="134" t="s">
        <v>765</v>
      </c>
      <c r="N151" s="135" t="s">
        <v>765</v>
      </c>
      <c r="O151" s="136" t="s">
        <v>765</v>
      </c>
      <c r="P151" s="105"/>
      <c r="Q151" s="137"/>
      <c r="R151" s="138"/>
      <c r="S151" s="105"/>
      <c r="T151" s="105"/>
      <c r="U151" s="105"/>
      <c r="V151" s="137"/>
      <c r="W151" s="138"/>
      <c r="X151" s="137"/>
      <c r="Y151" s="138"/>
      <c r="Z151" s="105"/>
      <c r="AA151" s="105"/>
      <c r="AB151" s="105" t="s">
        <v>765</v>
      </c>
      <c r="AC151" s="105"/>
      <c r="AD151" s="118">
        <v>43922</v>
      </c>
      <c r="AE151" s="108" t="s">
        <v>3280</v>
      </c>
    </row>
    <row r="152" spans="1:31" s="65" customFormat="1" ht="27" customHeight="1" x14ac:dyDescent="0.15">
      <c r="A152" s="72">
        <v>1110401252</v>
      </c>
      <c r="B152" s="191" t="s">
        <v>11687</v>
      </c>
      <c r="C152" s="192" t="s">
        <v>10739</v>
      </c>
      <c r="D152" s="166" t="s">
        <v>10741</v>
      </c>
      <c r="E152" s="193" t="s">
        <v>10742</v>
      </c>
      <c r="F152" s="194" t="s">
        <v>3017</v>
      </c>
      <c r="G152" s="168" t="s">
        <v>3277</v>
      </c>
      <c r="H152" s="168" t="s">
        <v>3278</v>
      </c>
      <c r="I152" s="133"/>
      <c r="J152" s="134"/>
      <c r="K152" s="134"/>
      <c r="L152" s="134" t="s">
        <v>765</v>
      </c>
      <c r="M152" s="134" t="s">
        <v>765</v>
      </c>
      <c r="N152" s="135" t="s">
        <v>765</v>
      </c>
      <c r="O152" s="136" t="s">
        <v>765</v>
      </c>
      <c r="P152" s="76"/>
      <c r="Q152" s="70"/>
      <c r="R152" s="92"/>
      <c r="S152" s="76"/>
      <c r="T152" s="76"/>
      <c r="U152" s="76"/>
      <c r="V152" s="70"/>
      <c r="W152" s="92"/>
      <c r="X152" s="70"/>
      <c r="Y152" s="92"/>
      <c r="Z152" s="76"/>
      <c r="AA152" s="76"/>
      <c r="AB152" s="76"/>
      <c r="AC152" s="105">
        <v>10</v>
      </c>
      <c r="AD152" s="146">
        <v>45931</v>
      </c>
      <c r="AE152" s="68" t="s">
        <v>10743</v>
      </c>
    </row>
    <row r="153" spans="1:31" s="65" customFormat="1" ht="27" customHeight="1" x14ac:dyDescent="0.15">
      <c r="A153" s="105">
        <v>1110401260</v>
      </c>
      <c r="B153" s="130" t="s">
        <v>3401</v>
      </c>
      <c r="C153" s="108" t="s">
        <v>3386</v>
      </c>
      <c r="D153" s="108" t="s">
        <v>69</v>
      </c>
      <c r="E153" s="108" t="s">
        <v>9411</v>
      </c>
      <c r="F153" s="131" t="s">
        <v>3387</v>
      </c>
      <c r="G153" s="132" t="s">
        <v>6107</v>
      </c>
      <c r="H153" s="132" t="s">
        <v>6108</v>
      </c>
      <c r="I153" s="133"/>
      <c r="J153" s="134"/>
      <c r="K153" s="134"/>
      <c r="L153" s="134"/>
      <c r="M153" s="134" t="s">
        <v>3388</v>
      </c>
      <c r="N153" s="135" t="s">
        <v>3388</v>
      </c>
      <c r="O153" s="136"/>
      <c r="P153" s="105"/>
      <c r="Q153" s="137"/>
      <c r="R153" s="138"/>
      <c r="S153" s="105"/>
      <c r="T153" s="105"/>
      <c r="U153" s="105"/>
      <c r="V153" s="137"/>
      <c r="W153" s="138"/>
      <c r="X153" s="137"/>
      <c r="Y153" s="138"/>
      <c r="Z153" s="105"/>
      <c r="AA153" s="105">
        <v>20</v>
      </c>
      <c r="AB153" s="105"/>
      <c r="AC153" s="105"/>
      <c r="AD153" s="118">
        <v>42461</v>
      </c>
      <c r="AE153" s="108" t="s">
        <v>10859</v>
      </c>
    </row>
    <row r="154" spans="1:31" ht="27" customHeight="1" x14ac:dyDescent="0.15">
      <c r="A154" s="105">
        <v>1110401278</v>
      </c>
      <c r="B154" s="130" t="s">
        <v>3418</v>
      </c>
      <c r="C154" s="108" t="s">
        <v>3419</v>
      </c>
      <c r="D154" s="108" t="s">
        <v>69</v>
      </c>
      <c r="E154" s="108" t="s">
        <v>7049</v>
      </c>
      <c r="F154" s="131">
        <v>3500824</v>
      </c>
      <c r="G154" s="132" t="s">
        <v>7050</v>
      </c>
      <c r="H154" s="132" t="s">
        <v>7051</v>
      </c>
      <c r="I154" s="133" t="s">
        <v>765</v>
      </c>
      <c r="J154" s="134" t="s">
        <v>765</v>
      </c>
      <c r="K154" s="134" t="s">
        <v>765</v>
      </c>
      <c r="L154" s="134" t="s">
        <v>765</v>
      </c>
      <c r="M154" s="134" t="s">
        <v>765</v>
      </c>
      <c r="N154" s="135" t="s">
        <v>765</v>
      </c>
      <c r="O154" s="136" t="s">
        <v>765</v>
      </c>
      <c r="P154" s="105"/>
      <c r="Q154" s="137"/>
      <c r="R154" s="138"/>
      <c r="S154" s="105"/>
      <c r="T154" s="105"/>
      <c r="U154" s="105"/>
      <c r="V154" s="137"/>
      <c r="W154" s="138"/>
      <c r="X154" s="137"/>
      <c r="Y154" s="138"/>
      <c r="Z154" s="105"/>
      <c r="AA154" s="105">
        <v>20</v>
      </c>
      <c r="AB154" s="105"/>
      <c r="AC154" s="105"/>
      <c r="AD154" s="118">
        <v>42491</v>
      </c>
      <c r="AE154" s="108" t="s">
        <v>3420</v>
      </c>
    </row>
    <row r="155" spans="1:31" ht="27" customHeight="1" x14ac:dyDescent="0.15">
      <c r="A155" s="105">
        <v>1110401310</v>
      </c>
      <c r="B155" s="106" t="s">
        <v>6235</v>
      </c>
      <c r="C155" s="107" t="s">
        <v>3602</v>
      </c>
      <c r="D155" s="108" t="s">
        <v>3847</v>
      </c>
      <c r="E155" s="108" t="s">
        <v>6236</v>
      </c>
      <c r="F155" s="139" t="s">
        <v>6110</v>
      </c>
      <c r="G155" s="140" t="s">
        <v>6111</v>
      </c>
      <c r="H155" s="140" t="s">
        <v>6112</v>
      </c>
      <c r="I155" s="195" t="s">
        <v>765</v>
      </c>
      <c r="J155" s="196" t="s">
        <v>765</v>
      </c>
      <c r="K155" s="196" t="s">
        <v>765</v>
      </c>
      <c r="L155" s="196" t="s">
        <v>765</v>
      </c>
      <c r="M155" s="196" t="s">
        <v>765</v>
      </c>
      <c r="N155" s="196" t="s">
        <v>765</v>
      </c>
      <c r="O155" s="197" t="s">
        <v>765</v>
      </c>
      <c r="P155" s="105"/>
      <c r="Q155" s="137"/>
      <c r="R155" s="138"/>
      <c r="S155" s="105"/>
      <c r="T155" s="105">
        <v>30</v>
      </c>
      <c r="U155" s="105"/>
      <c r="V155" s="137"/>
      <c r="W155" s="138"/>
      <c r="X155" s="137"/>
      <c r="Y155" s="138"/>
      <c r="Z155" s="105"/>
      <c r="AA155" s="105">
        <v>20</v>
      </c>
      <c r="AB155" s="198"/>
      <c r="AC155" s="157"/>
      <c r="AD155" s="155">
        <v>42644</v>
      </c>
      <c r="AE155" s="108" t="s">
        <v>6237</v>
      </c>
    </row>
    <row r="156" spans="1:31" ht="27" customHeight="1" x14ac:dyDescent="0.15">
      <c r="A156" s="105">
        <v>1110401328</v>
      </c>
      <c r="B156" s="130" t="s">
        <v>3846</v>
      </c>
      <c r="C156" s="108" t="s">
        <v>3635</v>
      </c>
      <c r="D156" s="108" t="s">
        <v>3847</v>
      </c>
      <c r="E156" s="108" t="s">
        <v>6113</v>
      </c>
      <c r="F156" s="131" t="s">
        <v>2924</v>
      </c>
      <c r="G156" s="132" t="s">
        <v>3848</v>
      </c>
      <c r="H156" s="132" t="s">
        <v>6114</v>
      </c>
      <c r="I156" s="133" t="s">
        <v>765</v>
      </c>
      <c r="J156" s="134" t="s">
        <v>765</v>
      </c>
      <c r="K156" s="134" t="s">
        <v>765</v>
      </c>
      <c r="L156" s="134" t="s">
        <v>765</v>
      </c>
      <c r="M156" s="134" t="s">
        <v>765</v>
      </c>
      <c r="N156" s="135" t="s">
        <v>765</v>
      </c>
      <c r="O156" s="136"/>
      <c r="P156" s="105"/>
      <c r="Q156" s="137"/>
      <c r="R156" s="138"/>
      <c r="S156" s="105"/>
      <c r="T156" s="105"/>
      <c r="U156" s="105"/>
      <c r="V156" s="137">
        <v>10</v>
      </c>
      <c r="W156" s="138"/>
      <c r="X156" s="137">
        <v>10</v>
      </c>
      <c r="Y156" s="138"/>
      <c r="Z156" s="105"/>
      <c r="AA156" s="105"/>
      <c r="AB156" s="105"/>
      <c r="AC156" s="105"/>
      <c r="AD156" s="118">
        <v>42675</v>
      </c>
      <c r="AE156" s="108" t="s">
        <v>3849</v>
      </c>
    </row>
    <row r="157" spans="1:31" s="65" customFormat="1" ht="27" customHeight="1" x14ac:dyDescent="0.15">
      <c r="A157" s="105">
        <v>1110401328</v>
      </c>
      <c r="B157" s="130" t="s">
        <v>3846</v>
      </c>
      <c r="C157" s="108" t="s">
        <v>3635</v>
      </c>
      <c r="D157" s="108" t="s">
        <v>3847</v>
      </c>
      <c r="E157" s="108" t="s">
        <v>6113</v>
      </c>
      <c r="F157" s="131" t="s">
        <v>2924</v>
      </c>
      <c r="G157" s="132" t="s">
        <v>3848</v>
      </c>
      <c r="H157" s="132" t="s">
        <v>6114</v>
      </c>
      <c r="I157" s="133" t="s">
        <v>765</v>
      </c>
      <c r="J157" s="134" t="s">
        <v>765</v>
      </c>
      <c r="K157" s="134" t="s">
        <v>765</v>
      </c>
      <c r="L157" s="134" t="s">
        <v>765</v>
      </c>
      <c r="M157" s="134" t="s">
        <v>765</v>
      </c>
      <c r="N157" s="135" t="s">
        <v>765</v>
      </c>
      <c r="O157" s="136"/>
      <c r="P157" s="105"/>
      <c r="Q157" s="137"/>
      <c r="R157" s="138"/>
      <c r="S157" s="105"/>
      <c r="T157" s="105"/>
      <c r="U157" s="105"/>
      <c r="V157" s="137"/>
      <c r="W157" s="138"/>
      <c r="X157" s="137"/>
      <c r="Y157" s="138"/>
      <c r="Z157" s="105"/>
      <c r="AA157" s="105"/>
      <c r="AB157" s="105" t="s">
        <v>765</v>
      </c>
      <c r="AC157" s="105"/>
      <c r="AD157" s="118">
        <v>44105</v>
      </c>
      <c r="AE157" s="108" t="s">
        <v>3849</v>
      </c>
    </row>
    <row r="158" spans="1:31" s="65" customFormat="1" ht="27" customHeight="1" x14ac:dyDescent="0.15">
      <c r="A158" s="105">
        <v>1110401336</v>
      </c>
      <c r="B158" s="106" t="s">
        <v>5048</v>
      </c>
      <c r="C158" s="107" t="s">
        <v>5044</v>
      </c>
      <c r="D158" s="108" t="s">
        <v>69</v>
      </c>
      <c r="E158" s="108" t="s">
        <v>5045</v>
      </c>
      <c r="F158" s="139">
        <v>3500034</v>
      </c>
      <c r="G158" s="140" t="s">
        <v>5046</v>
      </c>
      <c r="H158" s="140" t="s">
        <v>5046</v>
      </c>
      <c r="I158" s="133" t="s">
        <v>765</v>
      </c>
      <c r="J158" s="134" t="s">
        <v>765</v>
      </c>
      <c r="K158" s="134" t="s">
        <v>765</v>
      </c>
      <c r="L158" s="134" t="s">
        <v>765</v>
      </c>
      <c r="M158" s="134" t="s">
        <v>765</v>
      </c>
      <c r="N158" s="134" t="s">
        <v>765</v>
      </c>
      <c r="O158" s="134"/>
      <c r="P158" s="105"/>
      <c r="Q158" s="137"/>
      <c r="R158" s="138"/>
      <c r="S158" s="105"/>
      <c r="T158" s="105"/>
      <c r="U158" s="105"/>
      <c r="V158" s="137"/>
      <c r="W158" s="138"/>
      <c r="X158" s="137"/>
      <c r="Y158" s="138"/>
      <c r="Z158" s="105"/>
      <c r="AA158" s="105">
        <v>20</v>
      </c>
      <c r="AB158" s="105"/>
      <c r="AC158" s="105"/>
      <c r="AD158" s="155">
        <v>42675</v>
      </c>
      <c r="AE158" s="108" t="s">
        <v>5047</v>
      </c>
    </row>
    <row r="159" spans="1:31" s="65" customFormat="1" ht="27" customHeight="1" x14ac:dyDescent="0.15">
      <c r="A159" s="105">
        <v>1110401351</v>
      </c>
      <c r="B159" s="130" t="s">
        <v>2362</v>
      </c>
      <c r="C159" s="108" t="s">
        <v>3723</v>
      </c>
      <c r="D159" s="108" t="s">
        <v>69</v>
      </c>
      <c r="E159" s="108" t="s">
        <v>4550</v>
      </c>
      <c r="F159" s="131" t="s">
        <v>3724</v>
      </c>
      <c r="G159" s="132" t="s">
        <v>3725</v>
      </c>
      <c r="H159" s="132" t="s">
        <v>3726</v>
      </c>
      <c r="I159" s="133" t="s">
        <v>765</v>
      </c>
      <c r="J159" s="134" t="s">
        <v>765</v>
      </c>
      <c r="K159" s="134" t="s">
        <v>765</v>
      </c>
      <c r="L159" s="134" t="s">
        <v>765</v>
      </c>
      <c r="M159" s="134" t="s">
        <v>765</v>
      </c>
      <c r="N159" s="135" t="s">
        <v>765</v>
      </c>
      <c r="O159" s="136" t="s">
        <v>765</v>
      </c>
      <c r="P159" s="105"/>
      <c r="Q159" s="152"/>
      <c r="R159" s="138"/>
      <c r="S159" s="105"/>
      <c r="T159" s="105"/>
      <c r="U159" s="105"/>
      <c r="V159" s="137"/>
      <c r="W159" s="138"/>
      <c r="X159" s="137">
        <v>20</v>
      </c>
      <c r="Y159" s="138"/>
      <c r="Z159" s="105"/>
      <c r="AA159" s="105"/>
      <c r="AB159" s="105"/>
      <c r="AC159" s="105"/>
      <c r="AD159" s="118">
        <v>42767</v>
      </c>
      <c r="AE159" s="108" t="s">
        <v>3727</v>
      </c>
    </row>
    <row r="160" spans="1:31" s="65" customFormat="1" ht="27" customHeight="1" x14ac:dyDescent="0.15">
      <c r="A160" s="105">
        <v>1110401351</v>
      </c>
      <c r="B160" s="130" t="s">
        <v>6115</v>
      </c>
      <c r="C160" s="108" t="s">
        <v>6116</v>
      </c>
      <c r="D160" s="108" t="s">
        <v>3847</v>
      </c>
      <c r="E160" s="108" t="s">
        <v>4550</v>
      </c>
      <c r="F160" s="131" t="s">
        <v>6117</v>
      </c>
      <c r="G160" s="132" t="s">
        <v>6118</v>
      </c>
      <c r="H160" s="132" t="s">
        <v>6119</v>
      </c>
      <c r="I160" s="133" t="s">
        <v>765</v>
      </c>
      <c r="J160" s="134" t="s">
        <v>765</v>
      </c>
      <c r="K160" s="134" t="s">
        <v>765</v>
      </c>
      <c r="L160" s="134" t="s">
        <v>765</v>
      </c>
      <c r="M160" s="134" t="s">
        <v>765</v>
      </c>
      <c r="N160" s="135" t="s">
        <v>765</v>
      </c>
      <c r="O160" s="136" t="s">
        <v>765</v>
      </c>
      <c r="P160" s="105"/>
      <c r="Q160" s="152"/>
      <c r="R160" s="138"/>
      <c r="S160" s="105"/>
      <c r="T160" s="105"/>
      <c r="U160" s="105"/>
      <c r="V160" s="137"/>
      <c r="W160" s="138"/>
      <c r="X160" s="137"/>
      <c r="Y160" s="138"/>
      <c r="Z160" s="105"/>
      <c r="AA160" s="105"/>
      <c r="AB160" s="105" t="s">
        <v>765</v>
      </c>
      <c r="AC160" s="105"/>
      <c r="AD160" s="118">
        <v>43466</v>
      </c>
      <c r="AE160" s="108" t="s">
        <v>6120</v>
      </c>
    </row>
    <row r="161" spans="1:31" s="65" customFormat="1" ht="27" customHeight="1" x14ac:dyDescent="0.15">
      <c r="A161" s="105">
        <v>1110401351</v>
      </c>
      <c r="B161" s="130" t="s">
        <v>11719</v>
      </c>
      <c r="C161" s="108" t="s">
        <v>11089</v>
      </c>
      <c r="D161" s="108" t="s">
        <v>11090</v>
      </c>
      <c r="E161" s="108" t="s">
        <v>11091</v>
      </c>
      <c r="F161" s="131" t="s">
        <v>11092</v>
      </c>
      <c r="G161" s="132" t="s">
        <v>11093</v>
      </c>
      <c r="H161" s="132" t="s">
        <v>11094</v>
      </c>
      <c r="I161" s="133" t="s">
        <v>10982</v>
      </c>
      <c r="J161" s="134" t="s">
        <v>10982</v>
      </c>
      <c r="K161" s="134" t="s">
        <v>10982</v>
      </c>
      <c r="L161" s="134" t="s">
        <v>10982</v>
      </c>
      <c r="M161" s="134" t="s">
        <v>10982</v>
      </c>
      <c r="N161" s="135" t="s">
        <v>10982</v>
      </c>
      <c r="O161" s="136" t="s">
        <v>10982</v>
      </c>
      <c r="P161" s="105"/>
      <c r="Q161" s="152"/>
      <c r="R161" s="138"/>
      <c r="S161" s="105"/>
      <c r="T161" s="105"/>
      <c r="U161" s="105"/>
      <c r="V161" s="137"/>
      <c r="W161" s="138"/>
      <c r="X161" s="137"/>
      <c r="Y161" s="138"/>
      <c r="Z161" s="105"/>
      <c r="AA161" s="105"/>
      <c r="AB161" s="105"/>
      <c r="AC161" s="105">
        <v>20</v>
      </c>
      <c r="AD161" s="118">
        <v>46054</v>
      </c>
      <c r="AE161" s="108" t="s">
        <v>11095</v>
      </c>
    </row>
    <row r="162" spans="1:31" s="65" customFormat="1" ht="27" customHeight="1" x14ac:dyDescent="0.15">
      <c r="A162" s="105">
        <v>1110401385</v>
      </c>
      <c r="B162" s="106" t="s">
        <v>5459</v>
      </c>
      <c r="C162" s="107" t="s">
        <v>5458</v>
      </c>
      <c r="D162" s="108" t="s">
        <v>69</v>
      </c>
      <c r="E162" s="108" t="s">
        <v>3824</v>
      </c>
      <c r="F162" s="131" t="s">
        <v>3825</v>
      </c>
      <c r="G162" s="132" t="s">
        <v>3826</v>
      </c>
      <c r="H162" s="132" t="s">
        <v>3827</v>
      </c>
      <c r="I162" s="133" t="s">
        <v>765</v>
      </c>
      <c r="J162" s="134" t="s">
        <v>765</v>
      </c>
      <c r="K162" s="134" t="s">
        <v>765</v>
      </c>
      <c r="L162" s="134" t="s">
        <v>765</v>
      </c>
      <c r="M162" s="134" t="s">
        <v>765</v>
      </c>
      <c r="N162" s="135" t="s">
        <v>765</v>
      </c>
      <c r="O162" s="136" t="s">
        <v>765</v>
      </c>
      <c r="P162" s="105"/>
      <c r="Q162" s="152"/>
      <c r="R162" s="138"/>
      <c r="S162" s="105"/>
      <c r="T162" s="105"/>
      <c r="U162" s="105"/>
      <c r="V162" s="137"/>
      <c r="W162" s="138"/>
      <c r="X162" s="137">
        <v>18</v>
      </c>
      <c r="Y162" s="138"/>
      <c r="Z162" s="105"/>
      <c r="AA162" s="105"/>
      <c r="AB162" s="105"/>
      <c r="AC162" s="105"/>
      <c r="AD162" s="118">
        <v>42826</v>
      </c>
      <c r="AE162" s="108" t="s">
        <v>3828</v>
      </c>
    </row>
    <row r="163" spans="1:31" s="65" customFormat="1" ht="27" customHeight="1" x14ac:dyDescent="0.15">
      <c r="A163" s="105">
        <v>1110401385</v>
      </c>
      <c r="B163" s="106" t="s">
        <v>5459</v>
      </c>
      <c r="C163" s="107" t="s">
        <v>5458</v>
      </c>
      <c r="D163" s="108" t="s">
        <v>69</v>
      </c>
      <c r="E163" s="108" t="s">
        <v>3824</v>
      </c>
      <c r="F163" s="131" t="s">
        <v>2256</v>
      </c>
      <c r="G163" s="132" t="s">
        <v>3826</v>
      </c>
      <c r="H163" s="132" t="s">
        <v>3827</v>
      </c>
      <c r="I163" s="133" t="s">
        <v>765</v>
      </c>
      <c r="J163" s="134" t="s">
        <v>765</v>
      </c>
      <c r="K163" s="134" t="s">
        <v>765</v>
      </c>
      <c r="L163" s="134" t="s">
        <v>765</v>
      </c>
      <c r="M163" s="134" t="s">
        <v>765</v>
      </c>
      <c r="N163" s="135" t="s">
        <v>765</v>
      </c>
      <c r="O163" s="136" t="s">
        <v>765</v>
      </c>
      <c r="P163" s="105"/>
      <c r="Q163" s="152"/>
      <c r="R163" s="138"/>
      <c r="S163" s="105"/>
      <c r="T163" s="105"/>
      <c r="U163" s="105"/>
      <c r="V163" s="137"/>
      <c r="W163" s="138"/>
      <c r="X163" s="137"/>
      <c r="Y163" s="138"/>
      <c r="Z163" s="105"/>
      <c r="AA163" s="105"/>
      <c r="AB163" s="105" t="s">
        <v>765</v>
      </c>
      <c r="AC163" s="105"/>
      <c r="AD163" s="118">
        <v>43374</v>
      </c>
      <c r="AE163" s="108" t="s">
        <v>3828</v>
      </c>
    </row>
    <row r="164" spans="1:31" ht="27" customHeight="1" x14ac:dyDescent="0.15">
      <c r="A164" s="105">
        <v>1110401393</v>
      </c>
      <c r="B164" s="130" t="s">
        <v>6857</v>
      </c>
      <c r="C164" s="108" t="s">
        <v>3850</v>
      </c>
      <c r="D164" s="108" t="s">
        <v>6846</v>
      </c>
      <c r="E164" s="108" t="s">
        <v>6858</v>
      </c>
      <c r="F164" s="131">
        <v>3501103</v>
      </c>
      <c r="G164" s="132" t="s">
        <v>3851</v>
      </c>
      <c r="H164" s="132" t="s">
        <v>3852</v>
      </c>
      <c r="I164" s="133" t="s">
        <v>765</v>
      </c>
      <c r="J164" s="134"/>
      <c r="K164" s="134"/>
      <c r="L164" s="134" t="s">
        <v>765</v>
      </c>
      <c r="M164" s="134" t="s">
        <v>765</v>
      </c>
      <c r="N164" s="135" t="s">
        <v>765</v>
      </c>
      <c r="O164" s="136" t="s">
        <v>765</v>
      </c>
      <c r="P164" s="105"/>
      <c r="Q164" s="152"/>
      <c r="R164" s="138"/>
      <c r="S164" s="105"/>
      <c r="T164" s="105"/>
      <c r="U164" s="105"/>
      <c r="V164" s="137"/>
      <c r="W164" s="138"/>
      <c r="X164" s="137"/>
      <c r="Y164" s="138"/>
      <c r="Z164" s="105">
        <v>10</v>
      </c>
      <c r="AA164" s="105">
        <v>10</v>
      </c>
      <c r="AB164" s="105"/>
      <c r="AC164" s="105"/>
      <c r="AD164" s="118">
        <v>42856</v>
      </c>
      <c r="AE164" s="108" t="s">
        <v>6859</v>
      </c>
    </row>
    <row r="165" spans="1:31" ht="27" customHeight="1" x14ac:dyDescent="0.15">
      <c r="A165" s="72">
        <v>1110401484</v>
      </c>
      <c r="B165" s="165" t="s">
        <v>11979</v>
      </c>
      <c r="C165" s="199" t="s">
        <v>8851</v>
      </c>
      <c r="D165" s="166" t="s">
        <v>8852</v>
      </c>
      <c r="E165" s="193" t="s">
        <v>8853</v>
      </c>
      <c r="F165" s="167" t="s">
        <v>8854</v>
      </c>
      <c r="G165" s="168" t="s">
        <v>6121</v>
      </c>
      <c r="H165" s="168" t="s">
        <v>6122</v>
      </c>
      <c r="I165" s="178" t="s">
        <v>8855</v>
      </c>
      <c r="J165" s="170" t="s">
        <v>765</v>
      </c>
      <c r="K165" s="170" t="s">
        <v>765</v>
      </c>
      <c r="L165" s="170" t="s">
        <v>765</v>
      </c>
      <c r="M165" s="170" t="s">
        <v>765</v>
      </c>
      <c r="N165" s="148" t="s">
        <v>765</v>
      </c>
      <c r="O165" s="92" t="s">
        <v>765</v>
      </c>
      <c r="P165" s="76"/>
      <c r="Q165" s="70"/>
      <c r="R165" s="92"/>
      <c r="S165" s="76"/>
      <c r="T165" s="76"/>
      <c r="U165" s="76"/>
      <c r="V165" s="70"/>
      <c r="W165" s="92"/>
      <c r="X165" s="70"/>
      <c r="Y165" s="92"/>
      <c r="Z165" s="76"/>
      <c r="AA165" s="76">
        <v>20</v>
      </c>
      <c r="AB165" s="76"/>
      <c r="AC165" s="76"/>
      <c r="AD165" s="146">
        <v>44013</v>
      </c>
      <c r="AE165" s="200" t="s">
        <v>8856</v>
      </c>
    </row>
    <row r="166" spans="1:31" ht="27" customHeight="1" x14ac:dyDescent="0.15">
      <c r="A166" s="105">
        <v>1110401492</v>
      </c>
      <c r="B166" s="106" t="s">
        <v>5247</v>
      </c>
      <c r="C166" s="107" t="s">
        <v>5231</v>
      </c>
      <c r="D166" s="108" t="s">
        <v>69</v>
      </c>
      <c r="E166" s="108" t="s">
        <v>5232</v>
      </c>
      <c r="F166" s="139" t="s">
        <v>5233</v>
      </c>
      <c r="G166" s="140" t="s">
        <v>5234</v>
      </c>
      <c r="H166" s="140" t="s">
        <v>5234</v>
      </c>
      <c r="I166" s="133" t="s">
        <v>765</v>
      </c>
      <c r="J166" s="134"/>
      <c r="K166" s="134"/>
      <c r="L166" s="134"/>
      <c r="M166" s="134" t="s">
        <v>765</v>
      </c>
      <c r="N166" s="135" t="s">
        <v>765</v>
      </c>
      <c r="O166" s="136" t="s">
        <v>765</v>
      </c>
      <c r="P166" s="105"/>
      <c r="Q166" s="137"/>
      <c r="R166" s="138"/>
      <c r="S166" s="105"/>
      <c r="T166" s="105">
        <v>9</v>
      </c>
      <c r="U166" s="105"/>
      <c r="V166" s="137"/>
      <c r="W166" s="138"/>
      <c r="X166" s="137"/>
      <c r="Y166" s="138"/>
      <c r="Z166" s="105"/>
      <c r="AA166" s="105">
        <v>20</v>
      </c>
      <c r="AB166" s="105"/>
      <c r="AC166" s="105"/>
      <c r="AD166" s="155">
        <v>43221</v>
      </c>
      <c r="AE166" s="108" t="s">
        <v>10401</v>
      </c>
    </row>
    <row r="167" spans="1:31" ht="27" customHeight="1" x14ac:dyDescent="0.15">
      <c r="A167" s="105">
        <v>1110401500</v>
      </c>
      <c r="B167" s="106" t="s">
        <v>5459</v>
      </c>
      <c r="C167" s="107" t="s">
        <v>5460</v>
      </c>
      <c r="D167" s="108" t="s">
        <v>69</v>
      </c>
      <c r="E167" s="108" t="s">
        <v>4495</v>
      </c>
      <c r="F167" s="139" t="s">
        <v>4496</v>
      </c>
      <c r="G167" s="140" t="s">
        <v>4497</v>
      </c>
      <c r="H167" s="140" t="s">
        <v>4498</v>
      </c>
      <c r="I167" s="141" t="s">
        <v>765</v>
      </c>
      <c r="J167" s="142" t="s">
        <v>4839</v>
      </c>
      <c r="K167" s="142" t="s">
        <v>4839</v>
      </c>
      <c r="L167" s="142" t="s">
        <v>4839</v>
      </c>
      <c r="M167" s="142" t="s">
        <v>4839</v>
      </c>
      <c r="N167" s="177" t="s">
        <v>4839</v>
      </c>
      <c r="O167" s="176" t="s">
        <v>4839</v>
      </c>
      <c r="P167" s="105"/>
      <c r="Q167" s="137"/>
      <c r="R167" s="138"/>
      <c r="S167" s="105"/>
      <c r="T167" s="105"/>
      <c r="U167" s="105"/>
      <c r="V167" s="137"/>
      <c r="W167" s="138"/>
      <c r="X167" s="137">
        <v>16</v>
      </c>
      <c r="Y167" s="138"/>
      <c r="Z167" s="105"/>
      <c r="AA167" s="105"/>
      <c r="AB167" s="144"/>
      <c r="AC167" s="144"/>
      <c r="AD167" s="144">
        <v>43252</v>
      </c>
      <c r="AE167" s="108" t="s">
        <v>4499</v>
      </c>
    </row>
    <row r="168" spans="1:31" ht="27" customHeight="1" x14ac:dyDescent="0.15">
      <c r="A168" s="105">
        <v>1110401500</v>
      </c>
      <c r="B168" s="106" t="s">
        <v>5459</v>
      </c>
      <c r="C168" s="107" t="s">
        <v>5460</v>
      </c>
      <c r="D168" s="108" t="s">
        <v>69</v>
      </c>
      <c r="E168" s="108" t="s">
        <v>4495</v>
      </c>
      <c r="F168" s="139" t="s">
        <v>4496</v>
      </c>
      <c r="G168" s="140" t="s">
        <v>4497</v>
      </c>
      <c r="H168" s="140" t="s">
        <v>4498</v>
      </c>
      <c r="I168" s="141" t="s">
        <v>765</v>
      </c>
      <c r="J168" s="142" t="s">
        <v>4839</v>
      </c>
      <c r="K168" s="142" t="s">
        <v>4839</v>
      </c>
      <c r="L168" s="142" t="s">
        <v>4839</v>
      </c>
      <c r="M168" s="142" t="s">
        <v>4839</v>
      </c>
      <c r="N168" s="177" t="s">
        <v>4839</v>
      </c>
      <c r="O168" s="176" t="s">
        <v>4839</v>
      </c>
      <c r="P168" s="105"/>
      <c r="Q168" s="137"/>
      <c r="R168" s="138"/>
      <c r="S168" s="105"/>
      <c r="T168" s="105"/>
      <c r="U168" s="105"/>
      <c r="V168" s="137"/>
      <c r="W168" s="138"/>
      <c r="X168" s="137"/>
      <c r="Y168" s="138"/>
      <c r="Z168" s="105"/>
      <c r="AA168" s="105"/>
      <c r="AB168" s="144" t="s">
        <v>765</v>
      </c>
      <c r="AD168" s="144">
        <v>43922</v>
      </c>
      <c r="AE168" s="108" t="s">
        <v>4499</v>
      </c>
    </row>
    <row r="169" spans="1:31" ht="27" customHeight="1" x14ac:dyDescent="0.15">
      <c r="A169" s="105">
        <v>1110401500</v>
      </c>
      <c r="B169" s="106" t="s">
        <v>11720</v>
      </c>
      <c r="C169" s="107" t="s">
        <v>10932</v>
      </c>
      <c r="D169" s="108" t="s">
        <v>69</v>
      </c>
      <c r="E169" s="108" t="s">
        <v>10935</v>
      </c>
      <c r="F169" s="139" t="s">
        <v>4496</v>
      </c>
      <c r="G169" s="140" t="s">
        <v>4497</v>
      </c>
      <c r="H169" s="140" t="s">
        <v>10936</v>
      </c>
      <c r="I169" s="141"/>
      <c r="J169" s="142" t="s">
        <v>765</v>
      </c>
      <c r="K169" s="142" t="s">
        <v>765</v>
      </c>
      <c r="L169" s="142" t="s">
        <v>765</v>
      </c>
      <c r="M169" s="142" t="s">
        <v>765</v>
      </c>
      <c r="N169" s="177" t="s">
        <v>765</v>
      </c>
      <c r="O169" s="176" t="s">
        <v>765</v>
      </c>
      <c r="P169" s="105"/>
      <c r="Q169" s="137"/>
      <c r="R169" s="138"/>
      <c r="S169" s="105"/>
      <c r="T169" s="105"/>
      <c r="U169" s="105"/>
      <c r="V169" s="137"/>
      <c r="W169" s="138"/>
      <c r="X169" s="137"/>
      <c r="Y169" s="138"/>
      <c r="Z169" s="105"/>
      <c r="AA169" s="105"/>
      <c r="AB169" s="144"/>
      <c r="AC169" s="105">
        <v>10</v>
      </c>
      <c r="AD169" s="144">
        <v>45992</v>
      </c>
      <c r="AE169" s="108" t="s">
        <v>10934</v>
      </c>
    </row>
    <row r="170" spans="1:31" ht="27" customHeight="1" x14ac:dyDescent="0.15">
      <c r="A170" s="105">
        <v>1110401583</v>
      </c>
      <c r="B170" s="106" t="s">
        <v>5240</v>
      </c>
      <c r="C170" s="107" t="s">
        <v>4806</v>
      </c>
      <c r="D170" s="108" t="s">
        <v>69</v>
      </c>
      <c r="E170" s="108" t="s">
        <v>9813</v>
      </c>
      <c r="F170" s="139" t="s">
        <v>4807</v>
      </c>
      <c r="G170" s="140" t="s">
        <v>4808</v>
      </c>
      <c r="H170" s="140" t="s">
        <v>4809</v>
      </c>
      <c r="I170" s="133" t="s">
        <v>765</v>
      </c>
      <c r="J170" s="134" t="s">
        <v>765</v>
      </c>
      <c r="K170" s="134" t="s">
        <v>765</v>
      </c>
      <c r="L170" s="134" t="s">
        <v>765</v>
      </c>
      <c r="M170" s="134" t="s">
        <v>765</v>
      </c>
      <c r="N170" s="135" t="s">
        <v>765</v>
      </c>
      <c r="O170" s="136" t="s">
        <v>765</v>
      </c>
      <c r="P170" s="105"/>
      <c r="Q170" s="137"/>
      <c r="R170" s="138"/>
      <c r="S170" s="105"/>
      <c r="T170" s="105">
        <v>10</v>
      </c>
      <c r="U170" s="105"/>
      <c r="V170" s="137"/>
      <c r="W170" s="138"/>
      <c r="X170" s="137"/>
      <c r="Y170" s="138"/>
      <c r="Z170" s="105">
        <v>20</v>
      </c>
      <c r="AA170" s="105">
        <v>10</v>
      </c>
      <c r="AB170" s="144"/>
      <c r="AC170" s="144"/>
      <c r="AD170" s="144">
        <v>43435</v>
      </c>
      <c r="AE170" s="108" t="s">
        <v>4810</v>
      </c>
    </row>
    <row r="171" spans="1:31" ht="27" customHeight="1" x14ac:dyDescent="0.15">
      <c r="A171" s="105">
        <v>1110401658</v>
      </c>
      <c r="B171" s="106" t="s">
        <v>6409</v>
      </c>
      <c r="C171" s="107" t="s">
        <v>6410</v>
      </c>
      <c r="D171" s="108" t="s">
        <v>3847</v>
      </c>
      <c r="E171" s="108" t="s">
        <v>6411</v>
      </c>
      <c r="F171" s="139" t="s">
        <v>6412</v>
      </c>
      <c r="G171" s="140" t="s">
        <v>6413</v>
      </c>
      <c r="H171" s="140" t="s">
        <v>6414</v>
      </c>
      <c r="I171" s="133" t="s">
        <v>765</v>
      </c>
      <c r="J171" s="134" t="s">
        <v>765</v>
      </c>
      <c r="K171" s="134" t="s">
        <v>765</v>
      </c>
      <c r="L171" s="134" t="s">
        <v>765</v>
      </c>
      <c r="M171" s="134" t="s">
        <v>765</v>
      </c>
      <c r="N171" s="134" t="s">
        <v>765</v>
      </c>
      <c r="O171" s="136" t="s">
        <v>765</v>
      </c>
      <c r="P171" s="105"/>
      <c r="Q171" s="137"/>
      <c r="R171" s="138"/>
      <c r="S171" s="105"/>
      <c r="T171" s="105"/>
      <c r="U171" s="105"/>
      <c r="V171" s="137"/>
      <c r="W171" s="138"/>
      <c r="X171" s="137">
        <v>18</v>
      </c>
      <c r="Y171" s="138"/>
      <c r="Z171" s="105"/>
      <c r="AA171" s="105"/>
      <c r="AB171" s="105"/>
      <c r="AC171" s="105"/>
      <c r="AD171" s="155">
        <v>43647</v>
      </c>
      <c r="AE171" s="108" t="s">
        <v>6415</v>
      </c>
    </row>
    <row r="172" spans="1:31" ht="27" customHeight="1" x14ac:dyDescent="0.15">
      <c r="A172" s="105">
        <v>1110401658</v>
      </c>
      <c r="B172" s="106" t="s">
        <v>6409</v>
      </c>
      <c r="C172" s="107" t="s">
        <v>6410</v>
      </c>
      <c r="D172" s="108" t="s">
        <v>3847</v>
      </c>
      <c r="E172" s="108" t="s">
        <v>6411</v>
      </c>
      <c r="F172" s="139" t="s">
        <v>6412</v>
      </c>
      <c r="G172" s="140" t="s">
        <v>6413</v>
      </c>
      <c r="H172" s="140" t="s">
        <v>6414</v>
      </c>
      <c r="I172" s="133" t="s">
        <v>765</v>
      </c>
      <c r="J172" s="134" t="s">
        <v>765</v>
      </c>
      <c r="K172" s="134" t="s">
        <v>765</v>
      </c>
      <c r="L172" s="134" t="s">
        <v>765</v>
      </c>
      <c r="M172" s="134" t="s">
        <v>765</v>
      </c>
      <c r="N172" s="134" t="s">
        <v>765</v>
      </c>
      <c r="O172" s="136" t="s">
        <v>765</v>
      </c>
      <c r="P172" s="105"/>
      <c r="Q172" s="137"/>
      <c r="R172" s="138"/>
      <c r="S172" s="105"/>
      <c r="T172" s="105"/>
      <c r="U172" s="105"/>
      <c r="V172" s="137"/>
      <c r="W172" s="138"/>
      <c r="X172" s="137"/>
      <c r="Y172" s="138"/>
      <c r="Z172" s="105"/>
      <c r="AA172" s="105"/>
      <c r="AB172" s="105" t="s">
        <v>765</v>
      </c>
      <c r="AC172" s="105"/>
      <c r="AD172" s="155">
        <v>44166</v>
      </c>
      <c r="AE172" s="108" t="s">
        <v>6415</v>
      </c>
    </row>
    <row r="173" spans="1:31" ht="27" customHeight="1" x14ac:dyDescent="0.15">
      <c r="A173" s="105">
        <v>1110401666</v>
      </c>
      <c r="B173" s="106" t="s">
        <v>5293</v>
      </c>
      <c r="C173" s="107" t="s">
        <v>5284</v>
      </c>
      <c r="D173" s="108" t="s">
        <v>69</v>
      </c>
      <c r="E173" s="108" t="s">
        <v>5294</v>
      </c>
      <c r="F173" s="139" t="s">
        <v>2532</v>
      </c>
      <c r="G173" s="140" t="s">
        <v>5285</v>
      </c>
      <c r="H173" s="140" t="s">
        <v>5285</v>
      </c>
      <c r="I173" s="133"/>
      <c r="J173" s="134"/>
      <c r="K173" s="134"/>
      <c r="L173" s="134"/>
      <c r="M173" s="134" t="s">
        <v>765</v>
      </c>
      <c r="N173" s="135" t="s">
        <v>765</v>
      </c>
      <c r="O173" s="136"/>
      <c r="P173" s="105"/>
      <c r="Q173" s="137"/>
      <c r="R173" s="138"/>
      <c r="S173" s="105"/>
      <c r="T173" s="105"/>
      <c r="U173" s="105"/>
      <c r="V173" s="137"/>
      <c r="W173" s="138"/>
      <c r="X173" s="137"/>
      <c r="Y173" s="138"/>
      <c r="Z173" s="105">
        <v>10</v>
      </c>
      <c r="AA173" s="105"/>
      <c r="AB173" s="105"/>
      <c r="AC173" s="105"/>
      <c r="AD173" s="155">
        <v>43709</v>
      </c>
      <c r="AE173" s="108" t="s">
        <v>5286</v>
      </c>
    </row>
    <row r="174" spans="1:31" ht="27" customHeight="1" x14ac:dyDescent="0.15">
      <c r="A174" s="105">
        <v>1110401674</v>
      </c>
      <c r="B174" s="106" t="s">
        <v>5311</v>
      </c>
      <c r="C174" s="107" t="s">
        <v>5288</v>
      </c>
      <c r="D174" s="108" t="s">
        <v>69</v>
      </c>
      <c r="E174" s="108" t="s">
        <v>5295</v>
      </c>
      <c r="F174" s="139" t="s">
        <v>5289</v>
      </c>
      <c r="G174" s="140" t="s">
        <v>5290</v>
      </c>
      <c r="H174" s="140" t="s">
        <v>5291</v>
      </c>
      <c r="I174" s="141" t="s">
        <v>5287</v>
      </c>
      <c r="J174" s="142" t="s">
        <v>5287</v>
      </c>
      <c r="K174" s="142" t="s">
        <v>5287</v>
      </c>
      <c r="L174" s="142" t="s">
        <v>5287</v>
      </c>
      <c r="M174" s="142" t="s">
        <v>5287</v>
      </c>
      <c r="N174" s="143" t="s">
        <v>5287</v>
      </c>
      <c r="O174" s="138" t="s">
        <v>5287</v>
      </c>
      <c r="P174" s="105"/>
      <c r="Q174" s="137"/>
      <c r="R174" s="138"/>
      <c r="S174" s="105"/>
      <c r="T174" s="105"/>
      <c r="U174" s="105"/>
      <c r="V174" s="137"/>
      <c r="W174" s="138"/>
      <c r="X174" s="137">
        <v>20</v>
      </c>
      <c r="Y174" s="138"/>
      <c r="Z174" s="105"/>
      <c r="AA174" s="105"/>
      <c r="AB174" s="105"/>
      <c r="AC174" s="105"/>
      <c r="AD174" s="155">
        <v>43709</v>
      </c>
      <c r="AE174" s="108" t="s">
        <v>5292</v>
      </c>
    </row>
    <row r="175" spans="1:31" ht="27" customHeight="1" x14ac:dyDescent="0.15">
      <c r="A175" s="105">
        <v>1110401674</v>
      </c>
      <c r="B175" s="106" t="s">
        <v>5311</v>
      </c>
      <c r="C175" s="107" t="s">
        <v>6657</v>
      </c>
      <c r="D175" s="157" t="s">
        <v>3847</v>
      </c>
      <c r="E175" s="108" t="s">
        <v>6658</v>
      </c>
      <c r="F175" s="139" t="s">
        <v>3017</v>
      </c>
      <c r="G175" s="140" t="s">
        <v>6659</v>
      </c>
      <c r="H175" s="140" t="s">
        <v>6660</v>
      </c>
      <c r="I175" s="141" t="s">
        <v>765</v>
      </c>
      <c r="J175" s="142" t="s">
        <v>765</v>
      </c>
      <c r="K175" s="142" t="s">
        <v>765</v>
      </c>
      <c r="L175" s="142" t="s">
        <v>765</v>
      </c>
      <c r="M175" s="142" t="s">
        <v>765</v>
      </c>
      <c r="N175" s="143" t="s">
        <v>765</v>
      </c>
      <c r="O175" s="138" t="s">
        <v>765</v>
      </c>
      <c r="P175" s="105"/>
      <c r="Q175" s="137"/>
      <c r="R175" s="138"/>
      <c r="S175" s="105"/>
      <c r="T175" s="105"/>
      <c r="U175" s="105"/>
      <c r="V175" s="137"/>
      <c r="W175" s="138"/>
      <c r="X175" s="137"/>
      <c r="Y175" s="138"/>
      <c r="Z175" s="105"/>
      <c r="AA175" s="105"/>
      <c r="AB175" s="105" t="s">
        <v>765</v>
      </c>
      <c r="AC175" s="105"/>
      <c r="AD175" s="144">
        <v>44287</v>
      </c>
      <c r="AE175" s="108" t="s">
        <v>6661</v>
      </c>
    </row>
    <row r="176" spans="1:31" ht="27" customHeight="1" x14ac:dyDescent="0.15">
      <c r="A176" s="105">
        <v>1110401708</v>
      </c>
      <c r="B176" s="106" t="s">
        <v>11721</v>
      </c>
      <c r="C176" s="107" t="s">
        <v>40</v>
      </c>
      <c r="D176" s="108" t="s">
        <v>69</v>
      </c>
      <c r="E176" s="108" t="s">
        <v>5546</v>
      </c>
      <c r="F176" s="139" t="s">
        <v>5542</v>
      </c>
      <c r="G176" s="140" t="s">
        <v>5543</v>
      </c>
      <c r="H176" s="140" t="s">
        <v>5544</v>
      </c>
      <c r="I176" s="141"/>
      <c r="J176" s="142"/>
      <c r="K176" s="142"/>
      <c r="L176" s="142"/>
      <c r="M176" s="142" t="s">
        <v>49</v>
      </c>
      <c r="N176" s="142" t="s">
        <v>49</v>
      </c>
      <c r="O176" s="176"/>
      <c r="P176" s="105"/>
      <c r="Q176" s="137"/>
      <c r="R176" s="138"/>
      <c r="S176" s="105"/>
      <c r="T176" s="105">
        <v>20</v>
      </c>
      <c r="U176" s="105"/>
      <c r="V176" s="137"/>
      <c r="W176" s="138"/>
      <c r="X176" s="137"/>
      <c r="Y176" s="138"/>
      <c r="Z176" s="105"/>
      <c r="AA176" s="105"/>
      <c r="AB176" s="105"/>
      <c r="AC176" s="105"/>
      <c r="AD176" s="155">
        <v>43862</v>
      </c>
      <c r="AE176" s="108" t="s">
        <v>5545</v>
      </c>
    </row>
    <row r="177" spans="1:31" ht="27" customHeight="1" x14ac:dyDescent="0.15">
      <c r="A177" s="105">
        <v>1110401716</v>
      </c>
      <c r="B177" s="106" t="s">
        <v>11980</v>
      </c>
      <c r="C177" s="107" t="s">
        <v>5820</v>
      </c>
      <c r="D177" s="108" t="s">
        <v>69</v>
      </c>
      <c r="E177" s="108" t="s">
        <v>5821</v>
      </c>
      <c r="F177" s="139" t="s">
        <v>5822</v>
      </c>
      <c r="G177" s="140" t="s">
        <v>5823</v>
      </c>
      <c r="H177" s="140" t="s">
        <v>5824</v>
      </c>
      <c r="I177" s="141" t="s">
        <v>765</v>
      </c>
      <c r="J177" s="142" t="s">
        <v>765</v>
      </c>
      <c r="K177" s="142" t="s">
        <v>765</v>
      </c>
      <c r="L177" s="142" t="s">
        <v>765</v>
      </c>
      <c r="M177" s="142" t="s">
        <v>765</v>
      </c>
      <c r="N177" s="143" t="s">
        <v>765</v>
      </c>
      <c r="O177" s="138" t="s">
        <v>765</v>
      </c>
      <c r="P177" s="105"/>
      <c r="Q177" s="137"/>
      <c r="R177" s="138"/>
      <c r="S177" s="105"/>
      <c r="T177" s="105">
        <v>20</v>
      </c>
      <c r="U177" s="105"/>
      <c r="V177" s="137"/>
      <c r="W177" s="138"/>
      <c r="X177" s="137"/>
      <c r="Y177" s="138"/>
      <c r="Z177" s="105"/>
      <c r="AA177" s="105"/>
      <c r="AB177" s="157"/>
      <c r="AC177" s="157"/>
      <c r="AD177" s="155">
        <v>43922</v>
      </c>
      <c r="AE177" s="108" t="s">
        <v>5825</v>
      </c>
    </row>
    <row r="178" spans="1:31" ht="27" customHeight="1" x14ac:dyDescent="0.15">
      <c r="A178" s="105">
        <v>1110401724</v>
      </c>
      <c r="B178" s="130" t="s">
        <v>11981</v>
      </c>
      <c r="C178" s="188" t="s">
        <v>11180</v>
      </c>
      <c r="D178" s="108" t="s">
        <v>8175</v>
      </c>
      <c r="E178" s="189" t="s">
        <v>10667</v>
      </c>
      <c r="F178" s="139" t="s">
        <v>8694</v>
      </c>
      <c r="G178" s="140" t="s">
        <v>8176</v>
      </c>
      <c r="H178" s="140" t="s">
        <v>8176</v>
      </c>
      <c r="I178" s="141"/>
      <c r="J178" s="142"/>
      <c r="K178" s="142"/>
      <c r="L178" s="142"/>
      <c r="M178" s="142" t="s">
        <v>765</v>
      </c>
      <c r="N178" s="143"/>
      <c r="O178" s="138"/>
      <c r="P178" s="105"/>
      <c r="Q178" s="137"/>
      <c r="R178" s="138"/>
      <c r="S178" s="105"/>
      <c r="T178" s="105">
        <v>23</v>
      </c>
      <c r="U178" s="105"/>
      <c r="V178" s="137"/>
      <c r="W178" s="138"/>
      <c r="X178" s="137"/>
      <c r="Y178" s="138"/>
      <c r="Z178" s="105"/>
      <c r="AA178" s="105">
        <v>20</v>
      </c>
      <c r="AB178" s="105"/>
      <c r="AC178" s="105"/>
      <c r="AD178" s="155">
        <v>43922</v>
      </c>
      <c r="AE178" s="108" t="s">
        <v>11181</v>
      </c>
    </row>
    <row r="179" spans="1:31" ht="27" customHeight="1" x14ac:dyDescent="0.15">
      <c r="A179" s="105">
        <v>1110401732</v>
      </c>
      <c r="B179" s="106" t="s">
        <v>11722</v>
      </c>
      <c r="C179" s="107" t="s">
        <v>5830</v>
      </c>
      <c r="D179" s="108" t="s">
        <v>69</v>
      </c>
      <c r="E179" s="108" t="s">
        <v>5831</v>
      </c>
      <c r="F179" s="139" t="s">
        <v>5832</v>
      </c>
      <c r="G179" s="140" t="s">
        <v>5833</v>
      </c>
      <c r="H179" s="140" t="s">
        <v>5834</v>
      </c>
      <c r="I179" s="141" t="s">
        <v>765</v>
      </c>
      <c r="J179" s="142" t="s">
        <v>765</v>
      </c>
      <c r="K179" s="142" t="s">
        <v>765</v>
      </c>
      <c r="L179" s="142" t="s">
        <v>765</v>
      </c>
      <c r="M179" s="142" t="s">
        <v>765</v>
      </c>
      <c r="N179" s="143" t="s">
        <v>765</v>
      </c>
      <c r="O179" s="138" t="s">
        <v>765</v>
      </c>
      <c r="P179" s="105"/>
      <c r="Q179" s="137"/>
      <c r="R179" s="138"/>
      <c r="S179" s="105"/>
      <c r="T179" s="105">
        <v>20</v>
      </c>
      <c r="U179" s="105"/>
      <c r="V179" s="137"/>
      <c r="W179" s="138"/>
      <c r="X179" s="137"/>
      <c r="Y179" s="138"/>
      <c r="Z179" s="105"/>
      <c r="AA179" s="105"/>
      <c r="AB179" s="157"/>
      <c r="AC179" s="157"/>
      <c r="AD179" s="155">
        <v>43922</v>
      </c>
      <c r="AE179" s="108" t="s">
        <v>5835</v>
      </c>
    </row>
    <row r="180" spans="1:31" ht="27" customHeight="1" x14ac:dyDescent="0.15">
      <c r="A180" s="105">
        <v>1110401740</v>
      </c>
      <c r="B180" s="106" t="s">
        <v>12007</v>
      </c>
      <c r="C180" s="107" t="s">
        <v>5826</v>
      </c>
      <c r="D180" s="108" t="s">
        <v>69</v>
      </c>
      <c r="E180" s="108" t="s">
        <v>5827</v>
      </c>
      <c r="F180" s="139" t="s">
        <v>2805</v>
      </c>
      <c r="G180" s="140" t="s">
        <v>5828</v>
      </c>
      <c r="H180" s="140" t="s">
        <v>5829</v>
      </c>
      <c r="I180" s="141" t="s">
        <v>765</v>
      </c>
      <c r="J180" s="142" t="s">
        <v>765</v>
      </c>
      <c r="K180" s="142" t="s">
        <v>765</v>
      </c>
      <c r="L180" s="142" t="s">
        <v>765</v>
      </c>
      <c r="M180" s="142" t="s">
        <v>765</v>
      </c>
      <c r="N180" s="143" t="s">
        <v>765</v>
      </c>
      <c r="O180" s="138" t="s">
        <v>765</v>
      </c>
      <c r="P180" s="105"/>
      <c r="Q180" s="137"/>
      <c r="R180" s="138"/>
      <c r="S180" s="105"/>
      <c r="T180" s="105">
        <v>15</v>
      </c>
      <c r="U180" s="105"/>
      <c r="V180" s="137"/>
      <c r="W180" s="138"/>
      <c r="X180" s="137"/>
      <c r="Y180" s="138"/>
      <c r="Z180" s="105"/>
      <c r="AA180" s="105"/>
      <c r="AB180" s="157"/>
      <c r="AC180" s="157"/>
      <c r="AD180" s="155">
        <v>43922</v>
      </c>
      <c r="AE180" s="108" t="s">
        <v>11182</v>
      </c>
    </row>
    <row r="181" spans="1:31" ht="27" customHeight="1" x14ac:dyDescent="0.15">
      <c r="A181" s="105">
        <v>1110401815</v>
      </c>
      <c r="B181" s="106" t="s">
        <v>6403</v>
      </c>
      <c r="C181" s="201" t="s">
        <v>6404</v>
      </c>
      <c r="D181" s="108" t="s">
        <v>3847</v>
      </c>
      <c r="E181" s="202" t="s">
        <v>6405</v>
      </c>
      <c r="F181" s="139" t="s">
        <v>6109</v>
      </c>
      <c r="G181" s="140" t="s">
        <v>6406</v>
      </c>
      <c r="H181" s="140" t="s">
        <v>6407</v>
      </c>
      <c r="I181" s="141" t="s">
        <v>765</v>
      </c>
      <c r="J181" s="142" t="s">
        <v>765</v>
      </c>
      <c r="K181" s="142" t="s">
        <v>765</v>
      </c>
      <c r="L181" s="142" t="s">
        <v>765</v>
      </c>
      <c r="M181" s="142" t="s">
        <v>765</v>
      </c>
      <c r="N181" s="142" t="s">
        <v>765</v>
      </c>
      <c r="O181" s="176" t="s">
        <v>765</v>
      </c>
      <c r="P181" s="105"/>
      <c r="Q181" s="137"/>
      <c r="R181" s="138"/>
      <c r="S181" s="105"/>
      <c r="T181" s="105"/>
      <c r="U181" s="105"/>
      <c r="V181" s="137"/>
      <c r="W181" s="138"/>
      <c r="X181" s="137"/>
      <c r="Y181" s="138"/>
      <c r="Z181" s="105"/>
      <c r="AA181" s="105">
        <v>20</v>
      </c>
      <c r="AB181" s="105"/>
      <c r="AC181" s="105"/>
      <c r="AD181" s="155">
        <v>44166</v>
      </c>
      <c r="AE181" s="108" t="s">
        <v>6408</v>
      </c>
    </row>
    <row r="182" spans="1:31" ht="27" customHeight="1" x14ac:dyDescent="0.15">
      <c r="A182" s="105">
        <v>1110401823</v>
      </c>
      <c r="B182" s="106" t="s">
        <v>6462</v>
      </c>
      <c r="C182" s="107" t="s">
        <v>6463</v>
      </c>
      <c r="D182" s="157" t="s">
        <v>3847</v>
      </c>
      <c r="E182" s="108" t="s">
        <v>6473</v>
      </c>
      <c r="F182" s="139">
        <v>3500813</v>
      </c>
      <c r="G182" s="140" t="s">
        <v>6464</v>
      </c>
      <c r="H182" s="140" t="s">
        <v>6465</v>
      </c>
      <c r="I182" s="141"/>
      <c r="J182" s="142"/>
      <c r="K182" s="142"/>
      <c r="L182" s="142"/>
      <c r="M182" s="142" t="s">
        <v>4839</v>
      </c>
      <c r="N182" s="143"/>
      <c r="O182" s="138"/>
      <c r="P182" s="105"/>
      <c r="Q182" s="137"/>
      <c r="R182" s="138"/>
      <c r="S182" s="105"/>
      <c r="T182" s="105">
        <v>20</v>
      </c>
      <c r="U182" s="105"/>
      <c r="V182" s="116"/>
      <c r="W182" s="117"/>
      <c r="X182" s="116"/>
      <c r="Y182" s="138"/>
      <c r="Z182" s="105"/>
      <c r="AA182" s="105"/>
      <c r="AB182" s="105"/>
      <c r="AC182" s="105"/>
      <c r="AD182" s="144">
        <v>44197</v>
      </c>
      <c r="AE182" s="108" t="s">
        <v>6466</v>
      </c>
    </row>
    <row r="183" spans="1:31" ht="27" customHeight="1" x14ac:dyDescent="0.15">
      <c r="A183" s="105">
        <v>1110401849</v>
      </c>
      <c r="B183" s="106" t="s">
        <v>11720</v>
      </c>
      <c r="C183" s="107" t="s">
        <v>6652</v>
      </c>
      <c r="D183" s="157" t="s">
        <v>3847</v>
      </c>
      <c r="E183" s="108" t="s">
        <v>6653</v>
      </c>
      <c r="F183" s="139" t="s">
        <v>3017</v>
      </c>
      <c r="G183" s="140" t="s">
        <v>6654</v>
      </c>
      <c r="H183" s="140" t="s">
        <v>6655</v>
      </c>
      <c r="I183" s="141"/>
      <c r="J183" s="142"/>
      <c r="K183" s="142"/>
      <c r="L183" s="142"/>
      <c r="M183" s="142" t="s">
        <v>765</v>
      </c>
      <c r="N183" s="143" t="s">
        <v>765</v>
      </c>
      <c r="O183" s="138"/>
      <c r="P183" s="105"/>
      <c r="Q183" s="137"/>
      <c r="R183" s="138"/>
      <c r="S183" s="105"/>
      <c r="T183" s="105"/>
      <c r="U183" s="105"/>
      <c r="V183" s="116">
        <v>20</v>
      </c>
      <c r="W183" s="117"/>
      <c r="X183" s="116"/>
      <c r="Y183" s="138"/>
      <c r="Z183" s="105"/>
      <c r="AA183" s="105"/>
      <c r="AB183" s="105"/>
      <c r="AC183" s="105"/>
      <c r="AD183" s="144">
        <v>44287</v>
      </c>
      <c r="AE183" s="108" t="s">
        <v>6656</v>
      </c>
    </row>
    <row r="184" spans="1:31" ht="27" customHeight="1" x14ac:dyDescent="0.15">
      <c r="A184" s="105">
        <v>1110401872</v>
      </c>
      <c r="B184" s="106" t="s">
        <v>758</v>
      </c>
      <c r="C184" s="107" t="s">
        <v>6662</v>
      </c>
      <c r="D184" s="157" t="s">
        <v>3847</v>
      </c>
      <c r="E184" s="108" t="s">
        <v>6663</v>
      </c>
      <c r="F184" s="139" t="s">
        <v>6664</v>
      </c>
      <c r="G184" s="140" t="s">
        <v>605</v>
      </c>
      <c r="H184" s="140" t="s">
        <v>621</v>
      </c>
      <c r="I184" s="141" t="s">
        <v>765</v>
      </c>
      <c r="J184" s="142" t="s">
        <v>765</v>
      </c>
      <c r="K184" s="142" t="s">
        <v>765</v>
      </c>
      <c r="L184" s="142" t="s">
        <v>765</v>
      </c>
      <c r="M184" s="142" t="s">
        <v>765</v>
      </c>
      <c r="N184" s="143" t="s">
        <v>765</v>
      </c>
      <c r="O184" s="138" t="s">
        <v>765</v>
      </c>
      <c r="P184" s="105"/>
      <c r="Q184" s="137"/>
      <c r="R184" s="138"/>
      <c r="S184" s="105"/>
      <c r="T184" s="105">
        <v>50</v>
      </c>
      <c r="U184" s="105"/>
      <c r="V184" s="137"/>
      <c r="W184" s="138"/>
      <c r="X184" s="137"/>
      <c r="Y184" s="138"/>
      <c r="Z184" s="105"/>
      <c r="AA184" s="105">
        <v>10</v>
      </c>
      <c r="AB184" s="105"/>
      <c r="AC184" s="105"/>
      <c r="AD184" s="144">
        <v>44287</v>
      </c>
      <c r="AE184" s="108" t="s">
        <v>6665</v>
      </c>
    </row>
    <row r="185" spans="1:31" ht="27" customHeight="1" x14ac:dyDescent="0.15">
      <c r="A185" s="105">
        <v>1110401898</v>
      </c>
      <c r="B185" s="106" t="s">
        <v>11939</v>
      </c>
      <c r="C185" s="107" t="s">
        <v>6673</v>
      </c>
      <c r="D185" s="157" t="s">
        <v>3847</v>
      </c>
      <c r="E185" s="108" t="s">
        <v>6674</v>
      </c>
      <c r="F185" s="139" t="s">
        <v>6675</v>
      </c>
      <c r="G185" s="140" t="s">
        <v>6676</v>
      </c>
      <c r="H185" s="140" t="s">
        <v>6677</v>
      </c>
      <c r="I185" s="141" t="s">
        <v>765</v>
      </c>
      <c r="J185" s="142" t="s">
        <v>765</v>
      </c>
      <c r="K185" s="142" t="s">
        <v>765</v>
      </c>
      <c r="L185" s="142" t="s">
        <v>765</v>
      </c>
      <c r="M185" s="142" t="s">
        <v>765</v>
      </c>
      <c r="N185" s="143" t="s">
        <v>765</v>
      </c>
      <c r="O185" s="138" t="s">
        <v>765</v>
      </c>
      <c r="P185" s="105"/>
      <c r="Q185" s="137"/>
      <c r="R185" s="138">
        <v>7</v>
      </c>
      <c r="S185" s="105"/>
      <c r="T185" s="105">
        <v>15</v>
      </c>
      <c r="U185" s="105"/>
      <c r="V185" s="116"/>
      <c r="W185" s="117"/>
      <c r="X185" s="137"/>
      <c r="Y185" s="138"/>
      <c r="Z185" s="105"/>
      <c r="AA185" s="105"/>
      <c r="AB185" s="105"/>
      <c r="AC185" s="105"/>
      <c r="AD185" s="144">
        <v>44287</v>
      </c>
      <c r="AE185" s="108" t="s">
        <v>6679</v>
      </c>
    </row>
    <row r="186" spans="1:31" ht="27" customHeight="1" x14ac:dyDescent="0.15">
      <c r="A186" s="105">
        <v>1110401906</v>
      </c>
      <c r="B186" s="130" t="s">
        <v>12008</v>
      </c>
      <c r="C186" s="108" t="s">
        <v>8458</v>
      </c>
      <c r="D186" s="108" t="s">
        <v>8175</v>
      </c>
      <c r="E186" s="108" t="s">
        <v>8459</v>
      </c>
      <c r="F186" s="131" t="s">
        <v>6681</v>
      </c>
      <c r="G186" s="132" t="s">
        <v>6682</v>
      </c>
      <c r="H186" s="132" t="s">
        <v>6683</v>
      </c>
      <c r="I186" s="133" t="s">
        <v>4839</v>
      </c>
      <c r="J186" s="134" t="s">
        <v>765</v>
      </c>
      <c r="K186" s="134" t="s">
        <v>765</v>
      </c>
      <c r="L186" s="134" t="s">
        <v>765</v>
      </c>
      <c r="M186" s="134" t="s">
        <v>765</v>
      </c>
      <c r="N186" s="135" t="s">
        <v>765</v>
      </c>
      <c r="O186" s="136" t="s">
        <v>765</v>
      </c>
      <c r="P186" s="105"/>
      <c r="Q186" s="137"/>
      <c r="R186" s="138"/>
      <c r="S186" s="105"/>
      <c r="T186" s="105">
        <v>25</v>
      </c>
      <c r="U186" s="105"/>
      <c r="V186" s="137"/>
      <c r="W186" s="138"/>
      <c r="X186" s="137"/>
      <c r="Y186" s="138"/>
      <c r="Z186" s="105"/>
      <c r="AA186" s="105">
        <v>10</v>
      </c>
      <c r="AB186" s="105"/>
      <c r="AC186" s="105"/>
      <c r="AD186" s="118">
        <v>44287</v>
      </c>
      <c r="AE186" s="108" t="s">
        <v>8460</v>
      </c>
    </row>
    <row r="187" spans="1:31" ht="27" customHeight="1" x14ac:dyDescent="0.15">
      <c r="A187" s="105">
        <v>1110401948</v>
      </c>
      <c r="B187" s="106" t="s">
        <v>6856</v>
      </c>
      <c r="C187" s="107" t="s">
        <v>6852</v>
      </c>
      <c r="D187" s="157" t="s">
        <v>6846</v>
      </c>
      <c r="E187" s="108" t="s">
        <v>6853</v>
      </c>
      <c r="F187" s="139">
        <v>3500067</v>
      </c>
      <c r="G187" s="140" t="s">
        <v>6854</v>
      </c>
      <c r="H187" s="140" t="s">
        <v>6854</v>
      </c>
      <c r="I187" s="141"/>
      <c r="J187" s="142"/>
      <c r="K187" s="142"/>
      <c r="L187" s="142"/>
      <c r="M187" s="142" t="s">
        <v>765</v>
      </c>
      <c r="N187" s="143" t="s">
        <v>765</v>
      </c>
      <c r="O187" s="138"/>
      <c r="P187" s="105"/>
      <c r="Q187" s="137"/>
      <c r="R187" s="138"/>
      <c r="S187" s="105"/>
      <c r="T187" s="105"/>
      <c r="U187" s="105"/>
      <c r="V187" s="137"/>
      <c r="W187" s="138"/>
      <c r="X187" s="137"/>
      <c r="Y187" s="138"/>
      <c r="Z187" s="105">
        <v>17</v>
      </c>
      <c r="AA187" s="105"/>
      <c r="AB187" s="105"/>
      <c r="AC187" s="105"/>
      <c r="AD187" s="144">
        <v>44378</v>
      </c>
      <c r="AE187" s="108" t="s">
        <v>6855</v>
      </c>
    </row>
    <row r="188" spans="1:31" ht="27" customHeight="1" x14ac:dyDescent="0.15">
      <c r="A188" s="105">
        <v>1110401955</v>
      </c>
      <c r="B188" s="106" t="s">
        <v>6844</v>
      </c>
      <c r="C188" s="107" t="s">
        <v>6845</v>
      </c>
      <c r="D188" s="157" t="s">
        <v>6846</v>
      </c>
      <c r="E188" s="108" t="s">
        <v>6847</v>
      </c>
      <c r="F188" s="139" t="s">
        <v>6848</v>
      </c>
      <c r="G188" s="140" t="s">
        <v>6849</v>
      </c>
      <c r="H188" s="140" t="s">
        <v>6850</v>
      </c>
      <c r="I188" s="141" t="s">
        <v>765</v>
      </c>
      <c r="J188" s="142" t="s">
        <v>765</v>
      </c>
      <c r="K188" s="142" t="s">
        <v>765</v>
      </c>
      <c r="L188" s="142" t="s">
        <v>765</v>
      </c>
      <c r="M188" s="142" t="s">
        <v>765</v>
      </c>
      <c r="N188" s="143" t="s">
        <v>765</v>
      </c>
      <c r="O188" s="138" t="s">
        <v>765</v>
      </c>
      <c r="P188" s="105"/>
      <c r="Q188" s="137"/>
      <c r="R188" s="138"/>
      <c r="S188" s="105"/>
      <c r="T188" s="105">
        <v>30</v>
      </c>
      <c r="U188" s="105"/>
      <c r="V188" s="137">
        <v>10</v>
      </c>
      <c r="W188" s="138"/>
      <c r="X188" s="137"/>
      <c r="Y188" s="138"/>
      <c r="Z188" s="105"/>
      <c r="AA188" s="105">
        <v>20</v>
      </c>
      <c r="AB188" s="105"/>
      <c r="AC188" s="105"/>
      <c r="AD188" s="144">
        <v>44378</v>
      </c>
      <c r="AE188" s="108" t="s">
        <v>6851</v>
      </c>
    </row>
    <row r="189" spans="1:31" ht="27" customHeight="1" x14ac:dyDescent="0.15">
      <c r="A189" s="105">
        <v>1110401963</v>
      </c>
      <c r="B189" s="130" t="s">
        <v>7038</v>
      </c>
      <c r="C189" s="188" t="s">
        <v>7039</v>
      </c>
      <c r="D189" s="108" t="s">
        <v>3847</v>
      </c>
      <c r="E189" s="189" t="s">
        <v>7040</v>
      </c>
      <c r="F189" s="139" t="s">
        <v>7041</v>
      </c>
      <c r="G189" s="140" t="s">
        <v>7042</v>
      </c>
      <c r="H189" s="140" t="s">
        <v>7043</v>
      </c>
      <c r="I189" s="195" t="s">
        <v>765</v>
      </c>
      <c r="J189" s="196" t="s">
        <v>765</v>
      </c>
      <c r="K189" s="196" t="s">
        <v>765</v>
      </c>
      <c r="L189" s="196" t="s">
        <v>765</v>
      </c>
      <c r="M189" s="196" t="s">
        <v>765</v>
      </c>
      <c r="N189" s="196" t="s">
        <v>765</v>
      </c>
      <c r="O189" s="197" t="s">
        <v>765</v>
      </c>
      <c r="P189" s="105"/>
      <c r="Q189" s="137"/>
      <c r="R189" s="138"/>
      <c r="S189" s="105"/>
      <c r="T189" s="105"/>
      <c r="U189" s="105"/>
      <c r="V189" s="137"/>
      <c r="W189" s="138"/>
      <c r="X189" s="137">
        <v>20</v>
      </c>
      <c r="Y189" s="138"/>
      <c r="Z189" s="105"/>
      <c r="AA189" s="105"/>
      <c r="AB189" s="105"/>
      <c r="AC189" s="105"/>
      <c r="AD189" s="155">
        <v>44470</v>
      </c>
      <c r="AE189" s="108" t="s">
        <v>7044</v>
      </c>
    </row>
    <row r="190" spans="1:31" ht="27" customHeight="1" x14ac:dyDescent="0.15">
      <c r="A190" s="76">
        <v>1110401963</v>
      </c>
      <c r="B190" s="163" t="s">
        <v>7038</v>
      </c>
      <c r="C190" s="199" t="s">
        <v>8705</v>
      </c>
      <c r="D190" s="166" t="s">
        <v>8692</v>
      </c>
      <c r="E190" s="193" t="s">
        <v>8706</v>
      </c>
      <c r="F190" s="167" t="s">
        <v>8707</v>
      </c>
      <c r="G190" s="168" t="s">
        <v>8708</v>
      </c>
      <c r="H190" s="168" t="s">
        <v>8709</v>
      </c>
      <c r="I190" s="178" t="s">
        <v>765</v>
      </c>
      <c r="J190" s="170" t="s">
        <v>765</v>
      </c>
      <c r="K190" s="170" t="s">
        <v>765</v>
      </c>
      <c r="L190" s="170" t="s">
        <v>765</v>
      </c>
      <c r="M190" s="170" t="s">
        <v>765</v>
      </c>
      <c r="N190" s="148" t="s">
        <v>8696</v>
      </c>
      <c r="O190" s="92" t="s">
        <v>765</v>
      </c>
      <c r="P190" s="76"/>
      <c r="Q190" s="70"/>
      <c r="R190" s="92"/>
      <c r="S190" s="76"/>
      <c r="T190" s="76"/>
      <c r="U190" s="76"/>
      <c r="V190" s="70"/>
      <c r="W190" s="92"/>
      <c r="X190" s="70"/>
      <c r="Y190" s="92"/>
      <c r="Z190" s="76"/>
      <c r="AA190" s="76"/>
      <c r="AB190" s="76" t="s">
        <v>8696</v>
      </c>
      <c r="AC190" s="76"/>
      <c r="AD190" s="146">
        <v>45200</v>
      </c>
      <c r="AE190" s="166" t="s">
        <v>8710</v>
      </c>
    </row>
    <row r="191" spans="1:31" ht="27" customHeight="1" x14ac:dyDescent="0.15">
      <c r="A191" s="105">
        <v>1110401997</v>
      </c>
      <c r="B191" s="106" t="s">
        <v>7045</v>
      </c>
      <c r="C191" s="188" t="s">
        <v>7046</v>
      </c>
      <c r="D191" s="108" t="s">
        <v>3847</v>
      </c>
      <c r="E191" s="189" t="s">
        <v>7047</v>
      </c>
      <c r="F191" s="139" t="s">
        <v>7048</v>
      </c>
      <c r="G191" s="140" t="s">
        <v>6318</v>
      </c>
      <c r="H191" s="140" t="s">
        <v>8586</v>
      </c>
      <c r="I191" s="195" t="s">
        <v>765</v>
      </c>
      <c r="J191" s="196" t="s">
        <v>765</v>
      </c>
      <c r="K191" s="196" t="s">
        <v>765</v>
      </c>
      <c r="L191" s="196" t="s">
        <v>765</v>
      </c>
      <c r="M191" s="196" t="s">
        <v>765</v>
      </c>
      <c r="N191" s="196" t="s">
        <v>765</v>
      </c>
      <c r="O191" s="197" t="s">
        <v>765</v>
      </c>
      <c r="P191" s="105"/>
      <c r="Q191" s="137"/>
      <c r="R191" s="138"/>
      <c r="S191" s="105"/>
      <c r="T191" s="105">
        <v>20</v>
      </c>
      <c r="U191" s="105"/>
      <c r="V191" s="137"/>
      <c r="W191" s="138"/>
      <c r="X191" s="137"/>
      <c r="Y191" s="138"/>
      <c r="Z191" s="105"/>
      <c r="AA191" s="105"/>
      <c r="AB191" s="105"/>
      <c r="AC191" s="105"/>
      <c r="AD191" s="155">
        <v>44470</v>
      </c>
      <c r="AE191" s="108" t="s">
        <v>6319</v>
      </c>
    </row>
    <row r="192" spans="1:31" ht="27" customHeight="1" x14ac:dyDescent="0.15">
      <c r="A192" s="105">
        <v>1110402011</v>
      </c>
      <c r="B192" s="106" t="s">
        <v>7120</v>
      </c>
      <c r="C192" s="188" t="s">
        <v>7121</v>
      </c>
      <c r="D192" s="108" t="s">
        <v>7122</v>
      </c>
      <c r="E192" s="189" t="s">
        <v>7123</v>
      </c>
      <c r="F192" s="139" t="s">
        <v>7124</v>
      </c>
      <c r="G192" s="140" t="s">
        <v>7125</v>
      </c>
      <c r="H192" s="140" t="s">
        <v>7126</v>
      </c>
      <c r="I192" s="116" t="s">
        <v>49</v>
      </c>
      <c r="J192" s="154" t="s">
        <v>49</v>
      </c>
      <c r="K192" s="154" t="s">
        <v>49</v>
      </c>
      <c r="L192" s="154" t="s">
        <v>49</v>
      </c>
      <c r="M192" s="154" t="s">
        <v>49</v>
      </c>
      <c r="N192" s="143" t="s">
        <v>49</v>
      </c>
      <c r="O192" s="138" t="s">
        <v>49</v>
      </c>
      <c r="P192" s="105"/>
      <c r="Q192" s="137"/>
      <c r="R192" s="138"/>
      <c r="S192" s="105"/>
      <c r="T192" s="105"/>
      <c r="U192" s="105"/>
      <c r="V192" s="137"/>
      <c r="W192" s="138"/>
      <c r="X192" s="137"/>
      <c r="Y192" s="138"/>
      <c r="Z192" s="105"/>
      <c r="AA192" s="105">
        <v>20</v>
      </c>
      <c r="AB192" s="105"/>
      <c r="AC192" s="105"/>
      <c r="AD192" s="155">
        <v>44531</v>
      </c>
      <c r="AE192" s="108" t="s">
        <v>7127</v>
      </c>
    </row>
    <row r="193" spans="1:31" ht="27" customHeight="1" x14ac:dyDescent="0.15">
      <c r="A193" s="105">
        <v>1110402029</v>
      </c>
      <c r="B193" s="106" t="s">
        <v>7188</v>
      </c>
      <c r="C193" s="188" t="s">
        <v>7189</v>
      </c>
      <c r="D193" s="108" t="s">
        <v>7122</v>
      </c>
      <c r="E193" s="189" t="s">
        <v>7190</v>
      </c>
      <c r="F193" s="139">
        <v>3501115</v>
      </c>
      <c r="G193" s="140" t="s">
        <v>7191</v>
      </c>
      <c r="H193" s="140" t="s">
        <v>7192</v>
      </c>
      <c r="I193" s="116" t="s">
        <v>765</v>
      </c>
      <c r="J193" s="154" t="s">
        <v>765</v>
      </c>
      <c r="K193" s="154" t="s">
        <v>765</v>
      </c>
      <c r="L193" s="154" t="s">
        <v>765</v>
      </c>
      <c r="M193" s="154" t="s">
        <v>765</v>
      </c>
      <c r="N193" s="143" t="s">
        <v>765</v>
      </c>
      <c r="O193" s="138" t="s">
        <v>765</v>
      </c>
      <c r="P193" s="105"/>
      <c r="Q193" s="137"/>
      <c r="R193" s="138"/>
      <c r="S193" s="105"/>
      <c r="T193" s="105"/>
      <c r="U193" s="105"/>
      <c r="V193" s="137"/>
      <c r="W193" s="138"/>
      <c r="X193" s="137"/>
      <c r="Y193" s="138"/>
      <c r="Z193" s="105"/>
      <c r="AA193" s="105">
        <v>20</v>
      </c>
      <c r="AB193" s="105"/>
      <c r="AC193" s="105"/>
      <c r="AD193" s="155">
        <v>44562</v>
      </c>
      <c r="AE193" s="108" t="s">
        <v>7193</v>
      </c>
    </row>
    <row r="194" spans="1:31" ht="27" customHeight="1" x14ac:dyDescent="0.15">
      <c r="A194" s="105">
        <v>1110402045</v>
      </c>
      <c r="B194" s="106" t="s">
        <v>7283</v>
      </c>
      <c r="C194" s="188" t="s">
        <v>7284</v>
      </c>
      <c r="D194" s="108" t="s">
        <v>7122</v>
      </c>
      <c r="E194" s="189" t="s">
        <v>7285</v>
      </c>
      <c r="F194" s="139" t="s">
        <v>7286</v>
      </c>
      <c r="G194" s="140" t="s">
        <v>7287</v>
      </c>
      <c r="H194" s="140" t="s">
        <v>7288</v>
      </c>
      <c r="I194" s="116"/>
      <c r="J194" s="154"/>
      <c r="K194" s="154"/>
      <c r="L194" s="154" t="s">
        <v>765</v>
      </c>
      <c r="M194" s="154" t="s">
        <v>765</v>
      </c>
      <c r="N194" s="143" t="s">
        <v>765</v>
      </c>
      <c r="O194" s="138" t="s">
        <v>765</v>
      </c>
      <c r="P194" s="105"/>
      <c r="Q194" s="137"/>
      <c r="R194" s="138"/>
      <c r="S194" s="105"/>
      <c r="T194" s="105"/>
      <c r="U194" s="105"/>
      <c r="V194" s="137"/>
      <c r="W194" s="138"/>
      <c r="X194" s="137">
        <v>20</v>
      </c>
      <c r="Y194" s="138"/>
      <c r="Z194" s="105"/>
      <c r="AA194" s="105"/>
      <c r="AB194" s="105"/>
      <c r="AC194" s="105"/>
      <c r="AD194" s="155">
        <v>44621</v>
      </c>
      <c r="AE194" s="108" t="s">
        <v>7289</v>
      </c>
    </row>
    <row r="195" spans="1:31" ht="27" customHeight="1" x14ac:dyDescent="0.15">
      <c r="A195" s="105">
        <v>1110402060</v>
      </c>
      <c r="B195" s="130" t="s">
        <v>7408</v>
      </c>
      <c r="C195" s="188" t="s">
        <v>7409</v>
      </c>
      <c r="D195" s="108" t="s">
        <v>3847</v>
      </c>
      <c r="E195" s="189" t="s">
        <v>7410</v>
      </c>
      <c r="F195" s="139" t="s">
        <v>7411</v>
      </c>
      <c r="G195" s="140" t="s">
        <v>7412</v>
      </c>
      <c r="H195" s="140" t="s">
        <v>7412</v>
      </c>
      <c r="I195" s="141" t="s">
        <v>765</v>
      </c>
      <c r="J195" s="142" t="s">
        <v>765</v>
      </c>
      <c r="K195" s="142" t="s">
        <v>765</v>
      </c>
      <c r="L195" s="142" t="s">
        <v>4839</v>
      </c>
      <c r="M195" s="142" t="s">
        <v>4839</v>
      </c>
      <c r="N195" s="143" t="s">
        <v>4839</v>
      </c>
      <c r="O195" s="138" t="s">
        <v>4839</v>
      </c>
      <c r="P195" s="105"/>
      <c r="Q195" s="137"/>
      <c r="R195" s="138"/>
      <c r="S195" s="105"/>
      <c r="T195" s="105">
        <v>25</v>
      </c>
      <c r="U195" s="105"/>
      <c r="V195" s="137"/>
      <c r="W195" s="138"/>
      <c r="X195" s="137"/>
      <c r="Y195" s="138"/>
      <c r="Z195" s="105"/>
      <c r="AA195" s="105"/>
      <c r="AB195" s="105"/>
      <c r="AC195" s="105"/>
      <c r="AD195" s="155">
        <v>44652</v>
      </c>
      <c r="AE195" s="108" t="s">
        <v>7413</v>
      </c>
    </row>
    <row r="196" spans="1:31" ht="27" customHeight="1" x14ac:dyDescent="0.15">
      <c r="A196" s="105">
        <v>1110402078</v>
      </c>
      <c r="B196" s="106" t="s">
        <v>7188</v>
      </c>
      <c r="C196" s="188" t="s">
        <v>7591</v>
      </c>
      <c r="D196" s="108" t="s">
        <v>7122</v>
      </c>
      <c r="E196" s="189" t="s">
        <v>7592</v>
      </c>
      <c r="F196" s="139" t="s">
        <v>7593</v>
      </c>
      <c r="G196" s="140" t="s">
        <v>7594</v>
      </c>
      <c r="H196" s="140" t="s">
        <v>7595</v>
      </c>
      <c r="I196" s="116" t="s">
        <v>765</v>
      </c>
      <c r="J196" s="154" t="s">
        <v>765</v>
      </c>
      <c r="K196" s="154" t="s">
        <v>765</v>
      </c>
      <c r="L196" s="154" t="s">
        <v>765</v>
      </c>
      <c r="M196" s="154" t="s">
        <v>765</v>
      </c>
      <c r="N196" s="143" t="s">
        <v>765</v>
      </c>
      <c r="O196" s="138" t="s">
        <v>765</v>
      </c>
      <c r="P196" s="105"/>
      <c r="Q196" s="137"/>
      <c r="R196" s="138"/>
      <c r="S196" s="105"/>
      <c r="T196" s="105"/>
      <c r="U196" s="105"/>
      <c r="V196" s="137"/>
      <c r="W196" s="138"/>
      <c r="X196" s="137"/>
      <c r="Y196" s="138"/>
      <c r="Z196" s="105"/>
      <c r="AA196" s="105">
        <v>20</v>
      </c>
      <c r="AB196" s="105"/>
      <c r="AC196" s="105"/>
      <c r="AD196" s="155">
        <v>44713</v>
      </c>
      <c r="AE196" s="108" t="s">
        <v>7596</v>
      </c>
    </row>
    <row r="197" spans="1:31" ht="27" customHeight="1" x14ac:dyDescent="0.15">
      <c r="A197" s="105">
        <v>1110402086</v>
      </c>
      <c r="B197" s="106" t="s">
        <v>7670</v>
      </c>
      <c r="C197" s="188" t="s">
        <v>7667</v>
      </c>
      <c r="D197" s="108" t="s">
        <v>7122</v>
      </c>
      <c r="E197" s="189" t="s">
        <v>7671</v>
      </c>
      <c r="F197" s="139">
        <v>3501123</v>
      </c>
      <c r="G197" s="140" t="s">
        <v>7668</v>
      </c>
      <c r="H197" s="140"/>
      <c r="I197" s="116" t="s">
        <v>765</v>
      </c>
      <c r="J197" s="154" t="s">
        <v>765</v>
      </c>
      <c r="K197" s="154" t="s">
        <v>765</v>
      </c>
      <c r="L197" s="154" t="s">
        <v>765</v>
      </c>
      <c r="M197" s="154" t="s">
        <v>765</v>
      </c>
      <c r="N197" s="143" t="s">
        <v>765</v>
      </c>
      <c r="O197" s="138" t="s">
        <v>765</v>
      </c>
      <c r="P197" s="105"/>
      <c r="Q197" s="137"/>
      <c r="R197" s="138"/>
      <c r="S197" s="105"/>
      <c r="T197" s="105"/>
      <c r="U197" s="105"/>
      <c r="V197" s="137"/>
      <c r="W197" s="138"/>
      <c r="X197" s="137">
        <v>20</v>
      </c>
      <c r="Y197" s="138"/>
      <c r="Z197" s="105"/>
      <c r="AA197" s="105"/>
      <c r="AB197" s="105"/>
      <c r="AC197" s="105"/>
      <c r="AD197" s="155">
        <v>44743</v>
      </c>
      <c r="AE197" s="108" t="s">
        <v>7669</v>
      </c>
    </row>
    <row r="198" spans="1:31" ht="27" customHeight="1" x14ac:dyDescent="0.15">
      <c r="A198" s="76">
        <v>1110402086</v>
      </c>
      <c r="B198" s="165" t="s">
        <v>8704</v>
      </c>
      <c r="C198" s="199" t="s">
        <v>8698</v>
      </c>
      <c r="D198" s="166" t="s">
        <v>8692</v>
      </c>
      <c r="E198" s="193" t="s">
        <v>8699</v>
      </c>
      <c r="F198" s="167" t="s">
        <v>8700</v>
      </c>
      <c r="G198" s="168" t="s">
        <v>8701</v>
      </c>
      <c r="H198" s="168" t="s">
        <v>8702</v>
      </c>
      <c r="I198" s="178" t="s">
        <v>765</v>
      </c>
      <c r="J198" s="170" t="s">
        <v>765</v>
      </c>
      <c r="K198" s="170" t="s">
        <v>765</v>
      </c>
      <c r="L198" s="170" t="s">
        <v>765</v>
      </c>
      <c r="M198" s="170" t="s">
        <v>765</v>
      </c>
      <c r="N198" s="148" t="s">
        <v>8696</v>
      </c>
      <c r="O198" s="92" t="s">
        <v>765</v>
      </c>
      <c r="P198" s="76"/>
      <c r="Q198" s="70"/>
      <c r="R198" s="92"/>
      <c r="S198" s="76"/>
      <c r="T198" s="76"/>
      <c r="U198" s="76"/>
      <c r="V198" s="70"/>
      <c r="W198" s="92"/>
      <c r="X198" s="70"/>
      <c r="Y198" s="92"/>
      <c r="Z198" s="76"/>
      <c r="AA198" s="76"/>
      <c r="AB198" s="76" t="s">
        <v>8696</v>
      </c>
      <c r="AC198" s="76"/>
      <c r="AD198" s="146">
        <v>45200</v>
      </c>
      <c r="AE198" s="166" t="s">
        <v>8703</v>
      </c>
    </row>
    <row r="199" spans="1:31" ht="27" customHeight="1" x14ac:dyDescent="0.15">
      <c r="A199" s="105">
        <v>1110402110</v>
      </c>
      <c r="B199" s="106" t="s">
        <v>8035</v>
      </c>
      <c r="C199" s="188" t="s">
        <v>8030</v>
      </c>
      <c r="D199" s="108" t="s">
        <v>7122</v>
      </c>
      <c r="E199" s="189" t="s">
        <v>8031</v>
      </c>
      <c r="F199" s="139">
        <v>3500041</v>
      </c>
      <c r="G199" s="140" t="s">
        <v>8032</v>
      </c>
      <c r="H199" s="140" t="s">
        <v>8033</v>
      </c>
      <c r="I199" s="116"/>
      <c r="J199" s="154"/>
      <c r="K199" s="154"/>
      <c r="L199" s="154"/>
      <c r="M199" s="154" t="s">
        <v>765</v>
      </c>
      <c r="N199" s="143" t="s">
        <v>765</v>
      </c>
      <c r="O199" s="138"/>
      <c r="P199" s="105"/>
      <c r="Q199" s="137"/>
      <c r="R199" s="138"/>
      <c r="S199" s="105"/>
      <c r="T199" s="105"/>
      <c r="U199" s="105"/>
      <c r="V199" s="137"/>
      <c r="W199" s="138"/>
      <c r="X199" s="137"/>
      <c r="Y199" s="138"/>
      <c r="Z199" s="105"/>
      <c r="AA199" s="105">
        <v>20</v>
      </c>
      <c r="AB199" s="105"/>
      <c r="AC199" s="105"/>
      <c r="AD199" s="155">
        <v>44927</v>
      </c>
      <c r="AE199" s="108" t="s">
        <v>8034</v>
      </c>
    </row>
    <row r="200" spans="1:31" ht="27" customHeight="1" x14ac:dyDescent="0.15">
      <c r="A200" s="105">
        <v>1110402136</v>
      </c>
      <c r="B200" s="106" t="s">
        <v>8128</v>
      </c>
      <c r="C200" s="189" t="s">
        <v>8130</v>
      </c>
      <c r="D200" s="108" t="s">
        <v>8119</v>
      </c>
      <c r="E200" s="189" t="s">
        <v>8131</v>
      </c>
      <c r="F200" s="139" t="s">
        <v>3017</v>
      </c>
      <c r="G200" s="140" t="s">
        <v>8120</v>
      </c>
      <c r="H200" s="140" t="s">
        <v>8121</v>
      </c>
      <c r="I200" s="116" t="s">
        <v>765</v>
      </c>
      <c r="J200" s="154" t="s">
        <v>765</v>
      </c>
      <c r="K200" s="154" t="s">
        <v>765</v>
      </c>
      <c r="L200" s="154" t="s">
        <v>765</v>
      </c>
      <c r="M200" s="154" t="s">
        <v>765</v>
      </c>
      <c r="N200" s="143" t="s">
        <v>765</v>
      </c>
      <c r="O200" s="138" t="s">
        <v>765</v>
      </c>
      <c r="P200" s="105"/>
      <c r="Q200" s="137"/>
      <c r="R200" s="138"/>
      <c r="S200" s="105"/>
      <c r="T200" s="105"/>
      <c r="U200" s="105"/>
      <c r="V200" s="137"/>
      <c r="W200" s="138"/>
      <c r="X200" s="137">
        <v>20</v>
      </c>
      <c r="Y200" s="138"/>
      <c r="Z200" s="105"/>
      <c r="AA200" s="105"/>
      <c r="AB200" s="105"/>
      <c r="AC200" s="105"/>
      <c r="AD200" s="155">
        <v>44986</v>
      </c>
      <c r="AE200" s="108" t="s">
        <v>8122</v>
      </c>
    </row>
    <row r="201" spans="1:31" ht="27" customHeight="1" x14ac:dyDescent="0.15">
      <c r="A201" s="105">
        <v>1110402144</v>
      </c>
      <c r="B201" s="106" t="s">
        <v>8129</v>
      </c>
      <c r="C201" s="188" t="s">
        <v>8123</v>
      </c>
      <c r="D201" s="108" t="s">
        <v>8119</v>
      </c>
      <c r="E201" s="189" t="s">
        <v>8132</v>
      </c>
      <c r="F201" s="139" t="s">
        <v>8124</v>
      </c>
      <c r="G201" s="140" t="s">
        <v>8125</v>
      </c>
      <c r="H201" s="140" t="s">
        <v>8126</v>
      </c>
      <c r="I201" s="116" t="s">
        <v>765</v>
      </c>
      <c r="J201" s="154" t="s">
        <v>765</v>
      </c>
      <c r="K201" s="154" t="s">
        <v>765</v>
      </c>
      <c r="L201" s="154" t="s">
        <v>765</v>
      </c>
      <c r="M201" s="154" t="s">
        <v>765</v>
      </c>
      <c r="N201" s="143" t="s">
        <v>765</v>
      </c>
      <c r="O201" s="138" t="s">
        <v>765</v>
      </c>
      <c r="P201" s="105"/>
      <c r="Q201" s="137"/>
      <c r="R201" s="138"/>
      <c r="S201" s="105"/>
      <c r="T201" s="105"/>
      <c r="U201" s="105"/>
      <c r="V201" s="137"/>
      <c r="W201" s="138"/>
      <c r="X201" s="137"/>
      <c r="Y201" s="138"/>
      <c r="Z201" s="105">
        <v>15</v>
      </c>
      <c r="AA201" s="105"/>
      <c r="AB201" s="105"/>
      <c r="AC201" s="105"/>
      <c r="AD201" s="155">
        <v>44986</v>
      </c>
      <c r="AE201" s="108" t="s">
        <v>8127</v>
      </c>
    </row>
    <row r="202" spans="1:31" ht="27" customHeight="1" x14ac:dyDescent="0.15">
      <c r="A202" s="105">
        <v>1110402169</v>
      </c>
      <c r="B202" s="106" t="s">
        <v>11723</v>
      </c>
      <c r="C202" s="188" t="s">
        <v>8282</v>
      </c>
      <c r="D202" s="108" t="s">
        <v>8175</v>
      </c>
      <c r="E202" s="189" t="s">
        <v>8283</v>
      </c>
      <c r="F202" s="139" t="s">
        <v>8284</v>
      </c>
      <c r="G202" s="140" t="s">
        <v>8285</v>
      </c>
      <c r="H202" s="140" t="s">
        <v>8286</v>
      </c>
      <c r="I202" s="195"/>
      <c r="J202" s="196"/>
      <c r="K202" s="196" t="s">
        <v>4839</v>
      </c>
      <c r="L202" s="196" t="s">
        <v>4839</v>
      </c>
      <c r="M202" s="142" t="s">
        <v>765</v>
      </c>
      <c r="N202" s="143" t="s">
        <v>765</v>
      </c>
      <c r="O202" s="138" t="s">
        <v>765</v>
      </c>
      <c r="P202" s="105"/>
      <c r="Q202" s="137"/>
      <c r="R202" s="138"/>
      <c r="S202" s="105"/>
      <c r="T202" s="105"/>
      <c r="U202" s="105"/>
      <c r="V202" s="137"/>
      <c r="W202" s="138"/>
      <c r="X202" s="137"/>
      <c r="Y202" s="138"/>
      <c r="Z202" s="105"/>
      <c r="AA202" s="105">
        <v>20</v>
      </c>
      <c r="AB202" s="105"/>
      <c r="AC202" s="105"/>
      <c r="AD202" s="155">
        <v>45047</v>
      </c>
      <c r="AE202" s="108" t="s">
        <v>8287</v>
      </c>
    </row>
    <row r="203" spans="1:31" s="65" customFormat="1" ht="27" customHeight="1" x14ac:dyDescent="0.15">
      <c r="A203" s="105">
        <v>1110402177</v>
      </c>
      <c r="B203" s="130" t="s">
        <v>11982</v>
      </c>
      <c r="C203" s="188" t="s">
        <v>8276</v>
      </c>
      <c r="D203" s="108" t="s">
        <v>8175</v>
      </c>
      <c r="E203" s="189" t="s">
        <v>8277</v>
      </c>
      <c r="F203" s="139" t="s">
        <v>8278</v>
      </c>
      <c r="G203" s="140" t="s">
        <v>8279</v>
      </c>
      <c r="H203" s="140" t="s">
        <v>8280</v>
      </c>
      <c r="I203" s="141" t="s">
        <v>4839</v>
      </c>
      <c r="J203" s="142" t="s">
        <v>765</v>
      </c>
      <c r="K203" s="142" t="s">
        <v>765</v>
      </c>
      <c r="L203" s="142" t="s">
        <v>765</v>
      </c>
      <c r="M203" s="142" t="s">
        <v>765</v>
      </c>
      <c r="N203" s="143" t="s">
        <v>765</v>
      </c>
      <c r="O203" s="138" t="s">
        <v>765</v>
      </c>
      <c r="P203" s="105"/>
      <c r="Q203" s="137"/>
      <c r="R203" s="138"/>
      <c r="S203" s="105"/>
      <c r="T203" s="105"/>
      <c r="U203" s="105"/>
      <c r="V203" s="137"/>
      <c r="W203" s="138"/>
      <c r="X203" s="137"/>
      <c r="Y203" s="138"/>
      <c r="Z203" s="105"/>
      <c r="AA203" s="105"/>
      <c r="AB203" s="105" t="s">
        <v>765</v>
      </c>
      <c r="AC203" s="105"/>
      <c r="AD203" s="155">
        <v>45047</v>
      </c>
      <c r="AE203" s="108" t="s">
        <v>8281</v>
      </c>
    </row>
    <row r="204" spans="1:31" ht="27" customHeight="1" x14ac:dyDescent="0.15">
      <c r="A204" s="105">
        <v>1110402193</v>
      </c>
      <c r="B204" s="130" t="s">
        <v>11724</v>
      </c>
      <c r="C204" s="188" t="s">
        <v>8370</v>
      </c>
      <c r="D204" s="108" t="s">
        <v>8175</v>
      </c>
      <c r="E204" s="189" t="s">
        <v>8371</v>
      </c>
      <c r="F204" s="139" t="s">
        <v>8372</v>
      </c>
      <c r="G204" s="140" t="s">
        <v>8373</v>
      </c>
      <c r="H204" s="140" t="s">
        <v>8374</v>
      </c>
      <c r="I204" s="141"/>
      <c r="J204" s="142"/>
      <c r="K204" s="142"/>
      <c r="L204" s="142"/>
      <c r="M204" s="142"/>
      <c r="N204" s="143" t="s">
        <v>4839</v>
      </c>
      <c r="O204" s="138"/>
      <c r="P204" s="105"/>
      <c r="Q204" s="137"/>
      <c r="R204" s="138"/>
      <c r="S204" s="105"/>
      <c r="T204" s="105"/>
      <c r="U204" s="105"/>
      <c r="V204" s="137">
        <v>20</v>
      </c>
      <c r="W204" s="138"/>
      <c r="X204" s="137"/>
      <c r="Y204" s="138"/>
      <c r="Z204" s="105"/>
      <c r="AA204" s="105"/>
      <c r="AB204" s="105"/>
      <c r="AC204" s="105"/>
      <c r="AD204" s="155">
        <v>45078</v>
      </c>
      <c r="AE204" s="108" t="s">
        <v>8375</v>
      </c>
    </row>
    <row r="205" spans="1:31" ht="27" customHeight="1" x14ac:dyDescent="0.15">
      <c r="A205" s="76">
        <v>1110402201</v>
      </c>
      <c r="B205" s="165" t="s">
        <v>11725</v>
      </c>
      <c r="C205" s="199" t="s">
        <v>8691</v>
      </c>
      <c r="D205" s="166" t="s">
        <v>8692</v>
      </c>
      <c r="E205" s="193" t="s">
        <v>8693</v>
      </c>
      <c r="F205" s="167" t="s">
        <v>8694</v>
      </c>
      <c r="G205" s="168" t="s">
        <v>8695</v>
      </c>
      <c r="H205" s="168"/>
      <c r="I205" s="178" t="s">
        <v>8696</v>
      </c>
      <c r="J205" s="170" t="s">
        <v>765</v>
      </c>
      <c r="K205" s="170" t="s">
        <v>765</v>
      </c>
      <c r="L205" s="170" t="s">
        <v>765</v>
      </c>
      <c r="M205" s="170" t="s">
        <v>765</v>
      </c>
      <c r="N205" s="148" t="s">
        <v>765</v>
      </c>
      <c r="O205" s="92"/>
      <c r="P205" s="76"/>
      <c r="Q205" s="70"/>
      <c r="R205" s="92"/>
      <c r="S205" s="76"/>
      <c r="T205" s="76">
        <v>20</v>
      </c>
      <c r="U205" s="76"/>
      <c r="V205" s="70"/>
      <c r="W205" s="92"/>
      <c r="X205" s="70"/>
      <c r="Y205" s="92"/>
      <c r="Z205" s="76"/>
      <c r="AA205" s="76"/>
      <c r="AB205" s="76"/>
      <c r="AC205" s="76"/>
      <c r="AD205" s="146">
        <v>45139</v>
      </c>
      <c r="AE205" s="166" t="s">
        <v>8697</v>
      </c>
    </row>
    <row r="206" spans="1:31" ht="27" customHeight="1" x14ac:dyDescent="0.15">
      <c r="A206" s="105">
        <v>1110402235</v>
      </c>
      <c r="B206" s="130" t="s">
        <v>11726</v>
      </c>
      <c r="C206" s="188" t="s">
        <v>8581</v>
      </c>
      <c r="D206" s="108" t="s">
        <v>8175</v>
      </c>
      <c r="E206" s="189" t="s">
        <v>8582</v>
      </c>
      <c r="F206" s="139" t="s">
        <v>6412</v>
      </c>
      <c r="G206" s="140" t="s">
        <v>8583</v>
      </c>
      <c r="H206" s="140" t="s">
        <v>8584</v>
      </c>
      <c r="I206" s="141"/>
      <c r="J206" s="142"/>
      <c r="K206" s="142"/>
      <c r="L206" s="142"/>
      <c r="M206" s="142"/>
      <c r="N206" s="143" t="s">
        <v>4839</v>
      </c>
      <c r="O206" s="138"/>
      <c r="P206" s="105"/>
      <c r="Q206" s="137"/>
      <c r="R206" s="138"/>
      <c r="S206" s="105"/>
      <c r="T206" s="105"/>
      <c r="U206" s="105"/>
      <c r="V206" s="137">
        <v>20</v>
      </c>
      <c r="W206" s="138"/>
      <c r="X206" s="137"/>
      <c r="Y206" s="138"/>
      <c r="Z206" s="105"/>
      <c r="AA206" s="105"/>
      <c r="AB206" s="105"/>
      <c r="AC206" s="105"/>
      <c r="AD206" s="155">
        <v>45170</v>
      </c>
      <c r="AE206" s="108" t="s">
        <v>8585</v>
      </c>
    </row>
    <row r="207" spans="1:31" ht="27" customHeight="1" x14ac:dyDescent="0.15">
      <c r="A207" s="105">
        <v>1110402391</v>
      </c>
      <c r="B207" s="130" t="s">
        <v>11727</v>
      </c>
      <c r="C207" s="188" t="s">
        <v>9859</v>
      </c>
      <c r="D207" s="108" t="s">
        <v>9860</v>
      </c>
      <c r="E207" s="189" t="s">
        <v>9861</v>
      </c>
      <c r="F207" s="139" t="s">
        <v>9862</v>
      </c>
      <c r="G207" s="140" t="s">
        <v>9863</v>
      </c>
      <c r="H207" s="140" t="s">
        <v>9864</v>
      </c>
      <c r="I207" s="141" t="s">
        <v>765</v>
      </c>
      <c r="J207" s="142" t="s">
        <v>765</v>
      </c>
      <c r="K207" s="142" t="s">
        <v>765</v>
      </c>
      <c r="L207" s="142" t="s">
        <v>765</v>
      </c>
      <c r="M207" s="142"/>
      <c r="N207" s="143"/>
      <c r="O207" s="138"/>
      <c r="P207" s="105"/>
      <c r="Q207" s="137"/>
      <c r="R207" s="138"/>
      <c r="S207" s="105"/>
      <c r="T207" s="105">
        <v>25</v>
      </c>
      <c r="U207" s="105"/>
      <c r="V207" s="137"/>
      <c r="W207" s="138"/>
      <c r="X207" s="137"/>
      <c r="Y207" s="138"/>
      <c r="Z207" s="105"/>
      <c r="AA207" s="105"/>
      <c r="AB207" s="105"/>
      <c r="AC207" s="105"/>
      <c r="AD207" s="155">
        <v>45323</v>
      </c>
      <c r="AE207" s="108" t="s">
        <v>9865</v>
      </c>
    </row>
    <row r="208" spans="1:31" ht="27" customHeight="1" x14ac:dyDescent="0.15">
      <c r="A208" s="105">
        <v>1110402409</v>
      </c>
      <c r="B208" s="130" t="s">
        <v>11940</v>
      </c>
      <c r="C208" s="188" t="s">
        <v>9866</v>
      </c>
      <c r="D208" s="108" t="s">
        <v>9860</v>
      </c>
      <c r="E208" s="189" t="s">
        <v>9867</v>
      </c>
      <c r="F208" s="139" t="s">
        <v>7041</v>
      </c>
      <c r="G208" s="140" t="s">
        <v>9868</v>
      </c>
      <c r="H208" s="140" t="s">
        <v>9869</v>
      </c>
      <c r="I208" s="141" t="s">
        <v>765</v>
      </c>
      <c r="J208" s="142" t="s">
        <v>765</v>
      </c>
      <c r="K208" s="142" t="s">
        <v>765</v>
      </c>
      <c r="L208" s="142" t="s">
        <v>765</v>
      </c>
      <c r="M208" s="142" t="s">
        <v>765</v>
      </c>
      <c r="N208" s="143" t="s">
        <v>765</v>
      </c>
      <c r="O208" s="138" t="s">
        <v>765</v>
      </c>
      <c r="P208" s="105"/>
      <c r="Q208" s="137"/>
      <c r="R208" s="138"/>
      <c r="S208" s="105"/>
      <c r="T208" s="105"/>
      <c r="U208" s="105"/>
      <c r="V208" s="137"/>
      <c r="W208" s="138"/>
      <c r="X208" s="137"/>
      <c r="Y208" s="138"/>
      <c r="Z208" s="105">
        <v>20</v>
      </c>
      <c r="AA208" s="105"/>
      <c r="AB208" s="105"/>
      <c r="AC208" s="105"/>
      <c r="AD208" s="155">
        <v>45689</v>
      </c>
      <c r="AE208" s="108" t="s">
        <v>9870</v>
      </c>
    </row>
    <row r="209" spans="1:31" ht="27" customHeight="1" x14ac:dyDescent="0.15">
      <c r="A209" s="105">
        <v>1110402417</v>
      </c>
      <c r="B209" s="130" t="s">
        <v>11728</v>
      </c>
      <c r="C209" s="188" t="s">
        <v>9915</v>
      </c>
      <c r="D209" s="108" t="s">
        <v>9916</v>
      </c>
      <c r="E209" s="189" t="s">
        <v>9917</v>
      </c>
      <c r="F209" s="139" t="s">
        <v>3017</v>
      </c>
      <c r="G209" s="140" t="s">
        <v>9918</v>
      </c>
      <c r="H209" s="140" t="s">
        <v>9919</v>
      </c>
      <c r="I209" s="141" t="s">
        <v>765</v>
      </c>
      <c r="J209" s="142" t="s">
        <v>765</v>
      </c>
      <c r="K209" s="142" t="s">
        <v>765</v>
      </c>
      <c r="L209" s="142" t="s">
        <v>765</v>
      </c>
      <c r="M209" s="142" t="s">
        <v>765</v>
      </c>
      <c r="N209" s="143" t="s">
        <v>765</v>
      </c>
      <c r="O209" s="138" t="s">
        <v>765</v>
      </c>
      <c r="P209" s="105"/>
      <c r="Q209" s="137"/>
      <c r="R209" s="138"/>
      <c r="S209" s="105"/>
      <c r="T209" s="105"/>
      <c r="U209" s="105"/>
      <c r="V209" s="137">
        <v>20</v>
      </c>
      <c r="W209" s="138"/>
      <c r="X209" s="137"/>
      <c r="Y209" s="138"/>
      <c r="Z209" s="105"/>
      <c r="AA209" s="105"/>
      <c r="AB209" s="105"/>
      <c r="AC209" s="105"/>
      <c r="AD209" s="155">
        <v>45717</v>
      </c>
      <c r="AE209" s="108" t="s">
        <v>9920</v>
      </c>
    </row>
    <row r="210" spans="1:31" ht="27" customHeight="1" x14ac:dyDescent="0.15">
      <c r="A210" s="203">
        <v>1110402466</v>
      </c>
      <c r="B210" s="204" t="s">
        <v>11729</v>
      </c>
      <c r="C210" s="162" t="s">
        <v>10049</v>
      </c>
      <c r="D210" s="162" t="s">
        <v>10050</v>
      </c>
      <c r="E210" s="162" t="s">
        <v>10051</v>
      </c>
      <c r="F210" s="205" t="s">
        <v>10052</v>
      </c>
      <c r="G210" s="168" t="s">
        <v>10312</v>
      </c>
      <c r="H210" s="206" t="s">
        <v>10053</v>
      </c>
      <c r="I210" s="207" t="s">
        <v>765</v>
      </c>
      <c r="J210" s="208" t="s">
        <v>765</v>
      </c>
      <c r="K210" s="208" t="s">
        <v>765</v>
      </c>
      <c r="L210" s="208" t="s">
        <v>765</v>
      </c>
      <c r="M210" s="208" t="s">
        <v>765</v>
      </c>
      <c r="N210" s="208" t="s">
        <v>765</v>
      </c>
      <c r="O210" s="208" t="s">
        <v>765</v>
      </c>
      <c r="P210" s="175"/>
      <c r="Q210" s="209"/>
      <c r="R210" s="210"/>
      <c r="S210" s="175"/>
      <c r="T210" s="175"/>
      <c r="U210" s="175"/>
      <c r="V210" s="209"/>
      <c r="W210" s="210"/>
      <c r="X210" s="209"/>
      <c r="Y210" s="210"/>
      <c r="Z210" s="175"/>
      <c r="AA210" s="175">
        <v>20</v>
      </c>
      <c r="AB210" s="175"/>
      <c r="AC210" s="175"/>
      <c r="AD210" s="211">
        <v>45748</v>
      </c>
      <c r="AE210" s="162" t="s">
        <v>10054</v>
      </c>
    </row>
    <row r="211" spans="1:31" ht="27" customHeight="1" x14ac:dyDescent="0.15">
      <c r="A211" s="203">
        <v>1110402474</v>
      </c>
      <c r="B211" s="204" t="s">
        <v>11730</v>
      </c>
      <c r="C211" s="162" t="s">
        <v>10055</v>
      </c>
      <c r="D211" s="162" t="s">
        <v>10050</v>
      </c>
      <c r="E211" s="162" t="s">
        <v>10056</v>
      </c>
      <c r="F211" s="205" t="s">
        <v>7286</v>
      </c>
      <c r="G211" s="206" t="s">
        <v>10057</v>
      </c>
      <c r="H211" s="206" t="s">
        <v>10058</v>
      </c>
      <c r="I211" s="207" t="s">
        <v>765</v>
      </c>
      <c r="J211" s="208"/>
      <c r="K211" s="208" t="s">
        <v>765</v>
      </c>
      <c r="L211" s="208" t="s">
        <v>765</v>
      </c>
      <c r="M211" s="208" t="s">
        <v>765</v>
      </c>
      <c r="N211" s="208" t="s">
        <v>765</v>
      </c>
      <c r="O211" s="208"/>
      <c r="P211" s="175"/>
      <c r="Q211" s="209"/>
      <c r="R211" s="210"/>
      <c r="S211" s="175"/>
      <c r="T211" s="175"/>
      <c r="U211" s="175"/>
      <c r="V211" s="209"/>
      <c r="W211" s="210"/>
      <c r="X211" s="209"/>
      <c r="Y211" s="210"/>
      <c r="Z211" s="175"/>
      <c r="AA211" s="175">
        <v>20</v>
      </c>
      <c r="AB211" s="175"/>
      <c r="AC211" s="175"/>
      <c r="AD211" s="211">
        <v>45748</v>
      </c>
      <c r="AE211" s="162" t="s">
        <v>10059</v>
      </c>
    </row>
    <row r="212" spans="1:31" ht="27" customHeight="1" x14ac:dyDescent="0.15">
      <c r="A212" s="203">
        <v>1110402482</v>
      </c>
      <c r="B212" s="204" t="s">
        <v>11941</v>
      </c>
      <c r="C212" s="162" t="s">
        <v>10212</v>
      </c>
      <c r="D212" s="162" t="s">
        <v>10213</v>
      </c>
      <c r="E212" s="162" t="s">
        <v>10214</v>
      </c>
      <c r="F212" s="205" t="s">
        <v>3492</v>
      </c>
      <c r="G212" s="206" t="s">
        <v>3493</v>
      </c>
      <c r="H212" s="206" t="s">
        <v>3494</v>
      </c>
      <c r="I212" s="207" t="s">
        <v>765</v>
      </c>
      <c r="J212" s="208" t="s">
        <v>765</v>
      </c>
      <c r="K212" s="208" t="s">
        <v>765</v>
      </c>
      <c r="L212" s="208" t="s">
        <v>765</v>
      </c>
      <c r="M212" s="208" t="s">
        <v>765</v>
      </c>
      <c r="N212" s="208" t="s">
        <v>765</v>
      </c>
      <c r="O212" s="208" t="s">
        <v>765</v>
      </c>
      <c r="P212" s="175"/>
      <c r="Q212" s="209"/>
      <c r="R212" s="210"/>
      <c r="S212" s="175"/>
      <c r="T212" s="175"/>
      <c r="U212" s="175"/>
      <c r="V212" s="209"/>
      <c r="W212" s="210"/>
      <c r="X212" s="209"/>
      <c r="Y212" s="210"/>
      <c r="Z212" s="175">
        <v>20</v>
      </c>
      <c r="AA212" s="175"/>
      <c r="AB212" s="175"/>
      <c r="AC212" s="175"/>
      <c r="AD212" s="211">
        <v>45778</v>
      </c>
      <c r="AE212" s="162" t="s">
        <v>10215</v>
      </c>
    </row>
    <row r="213" spans="1:31" ht="27" customHeight="1" x14ac:dyDescent="0.15">
      <c r="A213" s="203">
        <v>1110402490</v>
      </c>
      <c r="B213" s="204" t="s">
        <v>11731</v>
      </c>
      <c r="C213" s="162" t="s">
        <v>10216</v>
      </c>
      <c r="D213" s="162" t="s">
        <v>10213</v>
      </c>
      <c r="E213" s="162" t="s">
        <v>10217</v>
      </c>
      <c r="F213" s="205" t="s">
        <v>10218</v>
      </c>
      <c r="G213" s="206" t="s">
        <v>10219</v>
      </c>
      <c r="H213" s="206" t="s">
        <v>2289</v>
      </c>
      <c r="I213" s="207" t="s">
        <v>765</v>
      </c>
      <c r="J213" s="208" t="s">
        <v>765</v>
      </c>
      <c r="K213" s="208" t="s">
        <v>765</v>
      </c>
      <c r="L213" s="208" t="s">
        <v>765</v>
      </c>
      <c r="M213" s="208" t="s">
        <v>765</v>
      </c>
      <c r="N213" s="208" t="s">
        <v>765</v>
      </c>
      <c r="O213" s="208" t="s">
        <v>765</v>
      </c>
      <c r="P213" s="175"/>
      <c r="Q213" s="209"/>
      <c r="R213" s="210"/>
      <c r="S213" s="175"/>
      <c r="T213" s="175"/>
      <c r="U213" s="175"/>
      <c r="V213" s="209"/>
      <c r="W213" s="210"/>
      <c r="X213" s="209"/>
      <c r="Y213" s="210"/>
      <c r="Z213" s="175"/>
      <c r="AA213" s="175">
        <v>20</v>
      </c>
      <c r="AB213" s="175"/>
      <c r="AC213" s="175"/>
      <c r="AD213" s="211">
        <v>45778</v>
      </c>
      <c r="AE213" s="162" t="s">
        <v>10220</v>
      </c>
    </row>
    <row r="214" spans="1:31" ht="27" customHeight="1" x14ac:dyDescent="0.15">
      <c r="A214" s="203">
        <v>1110402516</v>
      </c>
      <c r="B214" s="204" t="s">
        <v>11732</v>
      </c>
      <c r="C214" s="162" t="s">
        <v>10301</v>
      </c>
      <c r="D214" s="162" t="s">
        <v>10302</v>
      </c>
      <c r="E214" s="162" t="s">
        <v>10303</v>
      </c>
      <c r="F214" s="205" t="s">
        <v>10052</v>
      </c>
      <c r="G214" s="206" t="s">
        <v>10304</v>
      </c>
      <c r="H214" s="206" t="s">
        <v>10305</v>
      </c>
      <c r="I214" s="207" t="s">
        <v>765</v>
      </c>
      <c r="J214" s="208" t="s">
        <v>765</v>
      </c>
      <c r="K214" s="208" t="s">
        <v>765</v>
      </c>
      <c r="L214" s="208" t="s">
        <v>765</v>
      </c>
      <c r="M214" s="208" t="s">
        <v>765</v>
      </c>
      <c r="N214" s="208" t="s">
        <v>765</v>
      </c>
      <c r="O214" s="208" t="s">
        <v>765</v>
      </c>
      <c r="P214" s="175"/>
      <c r="Q214" s="209"/>
      <c r="R214" s="210"/>
      <c r="S214" s="175"/>
      <c r="T214" s="175"/>
      <c r="U214" s="175"/>
      <c r="V214" s="209"/>
      <c r="W214" s="210"/>
      <c r="X214" s="209"/>
      <c r="Y214" s="210"/>
      <c r="Z214" s="175"/>
      <c r="AA214" s="175">
        <v>20</v>
      </c>
      <c r="AB214" s="175"/>
      <c r="AC214" s="175"/>
      <c r="AD214" s="211">
        <v>45809</v>
      </c>
      <c r="AE214" s="162" t="s">
        <v>10306</v>
      </c>
    </row>
    <row r="215" spans="1:31" ht="27" customHeight="1" x14ac:dyDescent="0.15">
      <c r="A215" s="203">
        <v>1110402524</v>
      </c>
      <c r="B215" s="204" t="s">
        <v>11733</v>
      </c>
      <c r="C215" s="162" t="s">
        <v>10307</v>
      </c>
      <c r="D215" s="162" t="s">
        <v>10302</v>
      </c>
      <c r="E215" s="162" t="s">
        <v>10308</v>
      </c>
      <c r="F215" s="205" t="s">
        <v>2916</v>
      </c>
      <c r="G215" s="206" t="s">
        <v>10309</v>
      </c>
      <c r="H215" s="206" t="s">
        <v>10310</v>
      </c>
      <c r="I215" s="207"/>
      <c r="J215" s="208"/>
      <c r="K215" s="208"/>
      <c r="L215" s="208"/>
      <c r="M215" s="208" t="s">
        <v>765</v>
      </c>
      <c r="N215" s="208"/>
      <c r="O215" s="208"/>
      <c r="P215" s="175"/>
      <c r="Q215" s="209"/>
      <c r="R215" s="210"/>
      <c r="S215" s="175"/>
      <c r="T215" s="175"/>
      <c r="U215" s="175"/>
      <c r="V215" s="209"/>
      <c r="W215" s="210"/>
      <c r="X215" s="209"/>
      <c r="Y215" s="210"/>
      <c r="Z215" s="175"/>
      <c r="AA215" s="175">
        <v>20</v>
      </c>
      <c r="AB215" s="175"/>
      <c r="AC215" s="175"/>
      <c r="AD215" s="211">
        <v>45809</v>
      </c>
      <c r="AE215" s="162" t="s">
        <v>10311</v>
      </c>
    </row>
    <row r="216" spans="1:31" ht="27" customHeight="1" x14ac:dyDescent="0.15">
      <c r="A216" s="203">
        <v>1110402532</v>
      </c>
      <c r="B216" s="204" t="s">
        <v>11734</v>
      </c>
      <c r="C216" s="162" t="s">
        <v>10392</v>
      </c>
      <c r="D216" s="162" t="s">
        <v>10393</v>
      </c>
      <c r="E216" s="162" t="s">
        <v>10394</v>
      </c>
      <c r="F216" s="205" t="s">
        <v>7286</v>
      </c>
      <c r="G216" s="206" t="s">
        <v>7287</v>
      </c>
      <c r="H216" s="206" t="s">
        <v>7288</v>
      </c>
      <c r="I216" s="207"/>
      <c r="J216" s="208"/>
      <c r="K216" s="208"/>
      <c r="L216" s="208" t="s">
        <v>765</v>
      </c>
      <c r="M216" s="208"/>
      <c r="N216" s="208" t="s">
        <v>765</v>
      </c>
      <c r="O216" s="208"/>
      <c r="P216" s="175"/>
      <c r="Q216" s="209"/>
      <c r="R216" s="210"/>
      <c r="S216" s="175"/>
      <c r="T216" s="175"/>
      <c r="U216" s="175"/>
      <c r="V216" s="209"/>
      <c r="W216" s="210"/>
      <c r="X216" s="209">
        <v>20</v>
      </c>
      <c r="Y216" s="210"/>
      <c r="Z216" s="175"/>
      <c r="AA216" s="175"/>
      <c r="AB216" s="175"/>
      <c r="AC216" s="175"/>
      <c r="AD216" s="211">
        <v>45839</v>
      </c>
      <c r="AE216" s="162" t="s">
        <v>10395</v>
      </c>
    </row>
    <row r="217" spans="1:31" ht="27" customHeight="1" x14ac:dyDescent="0.15">
      <c r="A217" s="203">
        <v>1110402540</v>
      </c>
      <c r="B217" s="204" t="s">
        <v>11736</v>
      </c>
      <c r="C217" s="162" t="s">
        <v>10396</v>
      </c>
      <c r="D217" s="162" t="s">
        <v>10393</v>
      </c>
      <c r="E217" s="162" t="s">
        <v>10397</v>
      </c>
      <c r="F217" s="205" t="s">
        <v>3017</v>
      </c>
      <c r="G217" s="206" t="s">
        <v>10398</v>
      </c>
      <c r="H217" s="206" t="s">
        <v>10399</v>
      </c>
      <c r="I217" s="207"/>
      <c r="J217" s="208"/>
      <c r="K217" s="208"/>
      <c r="L217" s="208"/>
      <c r="M217" s="208"/>
      <c r="N217" s="208" t="s">
        <v>765</v>
      </c>
      <c r="O217" s="208"/>
      <c r="P217" s="175"/>
      <c r="Q217" s="209"/>
      <c r="R217" s="210"/>
      <c r="S217" s="175"/>
      <c r="T217" s="175"/>
      <c r="U217" s="175"/>
      <c r="V217" s="209"/>
      <c r="W217" s="210"/>
      <c r="X217" s="209">
        <v>20</v>
      </c>
      <c r="Y217" s="210"/>
      <c r="Z217" s="175"/>
      <c r="AA217" s="175"/>
      <c r="AB217" s="175"/>
      <c r="AC217" s="175"/>
      <c r="AD217" s="211">
        <v>45839</v>
      </c>
      <c r="AE217" s="162" t="s">
        <v>10400</v>
      </c>
    </row>
    <row r="218" spans="1:31" ht="27" customHeight="1" x14ac:dyDescent="0.15">
      <c r="A218" s="203">
        <v>1110402557</v>
      </c>
      <c r="B218" s="204" t="s">
        <v>11737</v>
      </c>
      <c r="C218" s="162" t="s">
        <v>10469</v>
      </c>
      <c r="D218" s="162" t="s">
        <v>10470</v>
      </c>
      <c r="E218" s="162" t="s">
        <v>10471</v>
      </c>
      <c r="F218" s="205" t="s">
        <v>2915</v>
      </c>
      <c r="G218" s="206" t="s">
        <v>10472</v>
      </c>
      <c r="H218" s="206"/>
      <c r="I218" s="207" t="s">
        <v>765</v>
      </c>
      <c r="J218" s="208" t="s">
        <v>765</v>
      </c>
      <c r="K218" s="208" t="s">
        <v>765</v>
      </c>
      <c r="L218" s="208" t="s">
        <v>765</v>
      </c>
      <c r="M218" s="208" t="s">
        <v>765</v>
      </c>
      <c r="N218" s="208" t="s">
        <v>765</v>
      </c>
      <c r="O218" s="208" t="s">
        <v>765</v>
      </c>
      <c r="P218" s="175"/>
      <c r="Q218" s="209"/>
      <c r="R218" s="210"/>
      <c r="S218" s="175"/>
      <c r="T218" s="175"/>
      <c r="U218" s="175"/>
      <c r="V218" s="209"/>
      <c r="W218" s="210"/>
      <c r="X218" s="209"/>
      <c r="Y218" s="210"/>
      <c r="Z218" s="175"/>
      <c r="AA218" s="175">
        <v>20</v>
      </c>
      <c r="AB218" s="175"/>
      <c r="AC218" s="175"/>
      <c r="AD218" s="211">
        <v>45870</v>
      </c>
      <c r="AE218" s="162" t="s">
        <v>10473</v>
      </c>
    </row>
    <row r="219" spans="1:31" ht="27" customHeight="1" x14ac:dyDescent="0.15">
      <c r="A219" s="203">
        <v>1110402581</v>
      </c>
      <c r="B219" s="204" t="s">
        <v>11738</v>
      </c>
      <c r="C219" s="162" t="s">
        <v>10668</v>
      </c>
      <c r="D219" s="162" t="s">
        <v>10669</v>
      </c>
      <c r="E219" s="162" t="s">
        <v>10670</v>
      </c>
      <c r="F219" s="205" t="s">
        <v>3017</v>
      </c>
      <c r="G219" s="206" t="s">
        <v>10671</v>
      </c>
      <c r="H219" s="206" t="s">
        <v>10672</v>
      </c>
      <c r="I219" s="207" t="s">
        <v>765</v>
      </c>
      <c r="J219" s="208" t="s">
        <v>765</v>
      </c>
      <c r="K219" s="208" t="s">
        <v>765</v>
      </c>
      <c r="L219" s="208" t="s">
        <v>765</v>
      </c>
      <c r="M219" s="208" t="s">
        <v>765</v>
      </c>
      <c r="N219" s="208" t="s">
        <v>765</v>
      </c>
      <c r="O219" s="208" t="s">
        <v>765</v>
      </c>
      <c r="P219" s="175"/>
      <c r="Q219" s="209"/>
      <c r="R219" s="210"/>
      <c r="S219" s="175"/>
      <c r="T219" s="175"/>
      <c r="U219" s="175"/>
      <c r="V219" s="209"/>
      <c r="W219" s="210"/>
      <c r="X219" s="209"/>
      <c r="Y219" s="210"/>
      <c r="Z219" s="175"/>
      <c r="AA219" s="175">
        <v>20</v>
      </c>
      <c r="AB219" s="175"/>
      <c r="AC219" s="175"/>
      <c r="AD219" s="211">
        <v>45901</v>
      </c>
      <c r="AE219" s="162" t="s">
        <v>10673</v>
      </c>
    </row>
    <row r="220" spans="1:31" ht="27" customHeight="1" x14ac:dyDescent="0.15">
      <c r="A220" s="203">
        <v>1110402599</v>
      </c>
      <c r="B220" s="204" t="s">
        <v>12045</v>
      </c>
      <c r="C220" s="162" t="s">
        <v>10674</v>
      </c>
      <c r="D220" s="162" t="s">
        <v>10669</v>
      </c>
      <c r="E220" s="162" t="s">
        <v>10675</v>
      </c>
      <c r="F220" s="205" t="s">
        <v>10676</v>
      </c>
      <c r="G220" s="206" t="s">
        <v>10677</v>
      </c>
      <c r="H220" s="206"/>
      <c r="I220" s="207"/>
      <c r="J220" s="208"/>
      <c r="K220" s="208"/>
      <c r="L220" s="208"/>
      <c r="M220" s="208" t="s">
        <v>49</v>
      </c>
      <c r="N220" s="208" t="s">
        <v>765</v>
      </c>
      <c r="O220" s="208"/>
      <c r="P220" s="175"/>
      <c r="Q220" s="209"/>
      <c r="R220" s="210"/>
      <c r="S220" s="175"/>
      <c r="T220" s="175"/>
      <c r="U220" s="175"/>
      <c r="V220" s="209"/>
      <c r="W220" s="210"/>
      <c r="X220" s="209"/>
      <c r="Y220" s="210"/>
      <c r="Z220" s="175"/>
      <c r="AA220" s="175">
        <v>20</v>
      </c>
      <c r="AB220" s="175"/>
      <c r="AC220" s="175"/>
      <c r="AD220" s="211">
        <v>45901</v>
      </c>
      <c r="AE220" s="162" t="s">
        <v>10678</v>
      </c>
    </row>
    <row r="221" spans="1:31" ht="27" customHeight="1" x14ac:dyDescent="0.15">
      <c r="A221" s="203">
        <v>1110402607</v>
      </c>
      <c r="B221" s="204" t="s">
        <v>11735</v>
      </c>
      <c r="C221" s="162" t="s">
        <v>10744</v>
      </c>
      <c r="D221" s="162" t="s">
        <v>10740</v>
      </c>
      <c r="E221" s="162" t="s">
        <v>10745</v>
      </c>
      <c r="F221" s="205" t="s">
        <v>7041</v>
      </c>
      <c r="G221" s="206" t="s">
        <v>10746</v>
      </c>
      <c r="H221" s="206" t="s">
        <v>10747</v>
      </c>
      <c r="I221" s="207"/>
      <c r="J221" s="208"/>
      <c r="K221" s="208"/>
      <c r="L221" s="208"/>
      <c r="M221" s="208" t="s">
        <v>765</v>
      </c>
      <c r="N221" s="208" t="s">
        <v>765</v>
      </c>
      <c r="O221" s="208"/>
      <c r="P221" s="175"/>
      <c r="Q221" s="209"/>
      <c r="R221" s="210"/>
      <c r="S221" s="175"/>
      <c r="T221" s="175"/>
      <c r="U221" s="175"/>
      <c r="V221" s="209"/>
      <c r="W221" s="210"/>
      <c r="X221" s="209"/>
      <c r="Y221" s="210"/>
      <c r="Z221" s="175"/>
      <c r="AA221" s="175"/>
      <c r="AB221" s="175" t="s">
        <v>765</v>
      </c>
      <c r="AC221" s="175"/>
      <c r="AD221" s="211">
        <v>45931</v>
      </c>
      <c r="AE221" s="162" t="s">
        <v>10748</v>
      </c>
    </row>
    <row r="222" spans="1:31" ht="27" customHeight="1" x14ac:dyDescent="0.15">
      <c r="A222" s="203">
        <v>1110402615</v>
      </c>
      <c r="B222" s="204" t="s">
        <v>11735</v>
      </c>
      <c r="C222" s="162" t="s">
        <v>10749</v>
      </c>
      <c r="D222" s="162" t="s">
        <v>10740</v>
      </c>
      <c r="E222" s="162" t="s">
        <v>10745</v>
      </c>
      <c r="F222" s="205" t="s">
        <v>7041</v>
      </c>
      <c r="G222" s="206" t="s">
        <v>10746</v>
      </c>
      <c r="H222" s="206" t="s">
        <v>10747</v>
      </c>
      <c r="I222" s="207"/>
      <c r="J222" s="208"/>
      <c r="K222" s="208"/>
      <c r="L222" s="208"/>
      <c r="M222" s="208" t="s">
        <v>765</v>
      </c>
      <c r="N222" s="208" t="s">
        <v>765</v>
      </c>
      <c r="O222" s="208"/>
      <c r="P222" s="175"/>
      <c r="Q222" s="209"/>
      <c r="R222" s="210"/>
      <c r="S222" s="175"/>
      <c r="T222" s="175"/>
      <c r="U222" s="175"/>
      <c r="V222" s="209"/>
      <c r="W222" s="210"/>
      <c r="X222" s="209"/>
      <c r="Y222" s="210"/>
      <c r="Z222" s="175"/>
      <c r="AA222" s="175"/>
      <c r="AB222" s="175"/>
      <c r="AC222" s="175">
        <v>10</v>
      </c>
      <c r="AD222" s="211">
        <v>45931</v>
      </c>
      <c r="AE222" s="162" t="s">
        <v>10758</v>
      </c>
    </row>
    <row r="223" spans="1:31" ht="27" customHeight="1" x14ac:dyDescent="0.15">
      <c r="A223" s="203">
        <v>1110402623</v>
      </c>
      <c r="B223" s="204" t="s">
        <v>11658</v>
      </c>
      <c r="C223" s="162" t="s">
        <v>10750</v>
      </c>
      <c r="D223" s="162" t="s">
        <v>10740</v>
      </c>
      <c r="E223" s="162" t="s">
        <v>10751</v>
      </c>
      <c r="F223" s="205" t="s">
        <v>10752</v>
      </c>
      <c r="G223" s="206" t="s">
        <v>8032</v>
      </c>
      <c r="H223" s="206" t="s">
        <v>8033</v>
      </c>
      <c r="I223" s="207"/>
      <c r="J223" s="208"/>
      <c r="K223" s="208"/>
      <c r="L223" s="208"/>
      <c r="M223" s="208" t="s">
        <v>765</v>
      </c>
      <c r="N223" s="208" t="s">
        <v>765</v>
      </c>
      <c r="O223" s="208"/>
      <c r="P223" s="175"/>
      <c r="Q223" s="209"/>
      <c r="R223" s="210"/>
      <c r="S223" s="175"/>
      <c r="T223" s="175"/>
      <c r="U223" s="175"/>
      <c r="V223" s="209"/>
      <c r="W223" s="210"/>
      <c r="X223" s="209"/>
      <c r="Y223" s="210"/>
      <c r="Z223" s="175"/>
      <c r="AA223" s="175"/>
      <c r="AB223" s="175"/>
      <c r="AC223" s="175">
        <v>10</v>
      </c>
      <c r="AD223" s="211">
        <v>45931</v>
      </c>
      <c r="AE223" s="162" t="s">
        <v>10759</v>
      </c>
    </row>
    <row r="224" spans="1:31" s="65" customFormat="1" ht="27" customHeight="1" x14ac:dyDescent="0.15">
      <c r="A224" s="203">
        <v>1110402631</v>
      </c>
      <c r="B224" s="204" t="s">
        <v>12046</v>
      </c>
      <c r="C224" s="162" t="s">
        <v>10753</v>
      </c>
      <c r="D224" s="162" t="s">
        <v>10740</v>
      </c>
      <c r="E224" s="162" t="s">
        <v>10754</v>
      </c>
      <c r="F224" s="205" t="s">
        <v>10755</v>
      </c>
      <c r="G224" s="206" t="s">
        <v>10756</v>
      </c>
      <c r="H224" s="206"/>
      <c r="I224" s="207" t="s">
        <v>765</v>
      </c>
      <c r="J224" s="208" t="s">
        <v>765</v>
      </c>
      <c r="K224" s="208" t="s">
        <v>765</v>
      </c>
      <c r="L224" s="208" t="s">
        <v>765</v>
      </c>
      <c r="M224" s="208" t="s">
        <v>765</v>
      </c>
      <c r="N224" s="208" t="s">
        <v>765</v>
      </c>
      <c r="O224" s="208" t="s">
        <v>765</v>
      </c>
      <c r="P224" s="175"/>
      <c r="Q224" s="209"/>
      <c r="R224" s="210"/>
      <c r="S224" s="175"/>
      <c r="T224" s="175">
        <v>7</v>
      </c>
      <c r="U224" s="175"/>
      <c r="V224" s="209"/>
      <c r="W224" s="210"/>
      <c r="X224" s="209"/>
      <c r="Y224" s="210"/>
      <c r="Z224" s="175"/>
      <c r="AA224" s="175"/>
      <c r="AB224" s="175"/>
      <c r="AC224" s="175"/>
      <c r="AD224" s="211">
        <v>45931</v>
      </c>
      <c r="AE224" s="162" t="s">
        <v>10757</v>
      </c>
    </row>
    <row r="225" spans="1:31" s="65" customFormat="1" ht="27" customHeight="1" x14ac:dyDescent="0.15">
      <c r="A225" s="203">
        <v>1110402649</v>
      </c>
      <c r="B225" s="204" t="s">
        <v>11739</v>
      </c>
      <c r="C225" s="162" t="s">
        <v>10941</v>
      </c>
      <c r="D225" s="162" t="s">
        <v>10933</v>
      </c>
      <c r="E225" s="162" t="s">
        <v>10942</v>
      </c>
      <c r="F225" s="205" t="s">
        <v>7041</v>
      </c>
      <c r="G225" s="206" t="s">
        <v>10943</v>
      </c>
      <c r="H225" s="206" t="s">
        <v>10944</v>
      </c>
      <c r="I225" s="207" t="s">
        <v>765</v>
      </c>
      <c r="J225" s="208" t="s">
        <v>765</v>
      </c>
      <c r="K225" s="208" t="s">
        <v>765</v>
      </c>
      <c r="L225" s="208" t="s">
        <v>765</v>
      </c>
      <c r="M225" s="208" t="s">
        <v>765</v>
      </c>
      <c r="N225" s="208" t="s">
        <v>765</v>
      </c>
      <c r="O225" s="208" t="s">
        <v>765</v>
      </c>
      <c r="P225" s="175"/>
      <c r="Q225" s="209"/>
      <c r="R225" s="210"/>
      <c r="S225" s="175"/>
      <c r="T225" s="175"/>
      <c r="U225" s="175"/>
      <c r="V225" s="209"/>
      <c r="W225" s="210"/>
      <c r="X225" s="209">
        <v>10</v>
      </c>
      <c r="Y225" s="210"/>
      <c r="Z225" s="175"/>
      <c r="AA225" s="175"/>
      <c r="AB225" s="175"/>
      <c r="AC225" s="175"/>
      <c r="AD225" s="211">
        <v>45992</v>
      </c>
      <c r="AE225" s="162" t="s">
        <v>10945</v>
      </c>
    </row>
    <row r="226" spans="1:31" s="65" customFormat="1" ht="27" customHeight="1" x14ac:dyDescent="0.15">
      <c r="A226" s="203">
        <v>1110402664</v>
      </c>
      <c r="B226" s="204" t="s">
        <v>11741</v>
      </c>
      <c r="C226" s="162" t="s">
        <v>11096</v>
      </c>
      <c r="D226" s="162" t="s">
        <v>11090</v>
      </c>
      <c r="E226" s="162" t="s">
        <v>11097</v>
      </c>
      <c r="F226" s="205" t="s">
        <v>11098</v>
      </c>
      <c r="G226" s="206" t="s">
        <v>11099</v>
      </c>
      <c r="H226" s="206" t="s">
        <v>11100</v>
      </c>
      <c r="I226" s="207" t="s">
        <v>10982</v>
      </c>
      <c r="J226" s="208"/>
      <c r="K226" s="208" t="s">
        <v>10982</v>
      </c>
      <c r="L226" s="208"/>
      <c r="M226" s="208" t="s">
        <v>10982</v>
      </c>
      <c r="N226" s="208" t="s">
        <v>10982</v>
      </c>
      <c r="O226" s="208" t="s">
        <v>10982</v>
      </c>
      <c r="P226" s="175"/>
      <c r="Q226" s="209"/>
      <c r="R226" s="210"/>
      <c r="S226" s="175"/>
      <c r="T226" s="175"/>
      <c r="U226" s="175"/>
      <c r="V226" s="209"/>
      <c r="W226" s="210"/>
      <c r="X226" s="209"/>
      <c r="Y226" s="210"/>
      <c r="Z226" s="175"/>
      <c r="AA226" s="175">
        <v>20</v>
      </c>
      <c r="AB226" s="175"/>
      <c r="AC226" s="175"/>
      <c r="AD226" s="211">
        <v>46054</v>
      </c>
      <c r="AE226" s="162" t="s">
        <v>11101</v>
      </c>
    </row>
    <row r="227" spans="1:31" s="65" customFormat="1" ht="27" customHeight="1" x14ac:dyDescent="0.15">
      <c r="A227" s="203" t="s">
        <v>11306</v>
      </c>
      <c r="B227" s="204" t="s">
        <v>11742</v>
      </c>
      <c r="C227" s="162" t="s">
        <v>11312</v>
      </c>
      <c r="D227" s="162" t="s">
        <v>9860</v>
      </c>
      <c r="E227" s="162" t="s">
        <v>11313</v>
      </c>
      <c r="F227" s="205" t="s">
        <v>11307</v>
      </c>
      <c r="G227" s="206" t="s">
        <v>11308</v>
      </c>
      <c r="H227" s="206" t="s">
        <v>11309</v>
      </c>
      <c r="I227" s="207"/>
      <c r="J227" s="208"/>
      <c r="K227" s="208"/>
      <c r="L227" s="208"/>
      <c r="M227" s="208"/>
      <c r="N227" s="208" t="s">
        <v>11304</v>
      </c>
      <c r="O227" s="208"/>
      <c r="P227" s="175"/>
      <c r="Q227" s="209"/>
      <c r="R227" s="210"/>
      <c r="S227" s="175"/>
      <c r="T227" s="175"/>
      <c r="U227" s="175"/>
      <c r="V227" s="209">
        <v>20</v>
      </c>
      <c r="W227" s="210"/>
      <c r="X227" s="209"/>
      <c r="Y227" s="210"/>
      <c r="Z227" s="175"/>
      <c r="AA227" s="175"/>
      <c r="AB227" s="175"/>
      <c r="AC227" s="175"/>
      <c r="AD227" s="129">
        <v>46113</v>
      </c>
      <c r="AE227" s="162"/>
    </row>
    <row r="228" spans="1:31" s="65" customFormat="1" ht="27" customHeight="1" x14ac:dyDescent="0.15">
      <c r="A228" s="203">
        <v>1110402698</v>
      </c>
      <c r="B228" s="204" t="s">
        <v>11743</v>
      </c>
      <c r="C228" s="162" t="s">
        <v>11314</v>
      </c>
      <c r="D228" s="162" t="s">
        <v>9860</v>
      </c>
      <c r="E228" s="162" t="s">
        <v>11315</v>
      </c>
      <c r="F228" s="205" t="s">
        <v>11310</v>
      </c>
      <c r="G228" s="206" t="s">
        <v>11311</v>
      </c>
      <c r="H228" s="206"/>
      <c r="I228" s="207" t="s">
        <v>11304</v>
      </c>
      <c r="J228" s="208" t="s">
        <v>11304</v>
      </c>
      <c r="K228" s="208" t="s">
        <v>11304</v>
      </c>
      <c r="L228" s="208" t="s">
        <v>11304</v>
      </c>
      <c r="M228" s="208" t="s">
        <v>11304</v>
      </c>
      <c r="N228" s="208" t="s">
        <v>11304</v>
      </c>
      <c r="O228" s="208" t="s">
        <v>11304</v>
      </c>
      <c r="P228" s="175"/>
      <c r="Q228" s="209"/>
      <c r="R228" s="210"/>
      <c r="S228" s="175"/>
      <c r="T228" s="175"/>
      <c r="U228" s="175"/>
      <c r="V228" s="209"/>
      <c r="W228" s="210"/>
      <c r="X228" s="209"/>
      <c r="Y228" s="210"/>
      <c r="Z228" s="175">
        <v>20</v>
      </c>
      <c r="AA228" s="175"/>
      <c r="AB228" s="175"/>
      <c r="AC228" s="175"/>
      <c r="AD228" s="129">
        <v>46113</v>
      </c>
      <c r="AE228" s="162"/>
    </row>
    <row r="229" spans="1:31" s="65" customFormat="1" ht="27" customHeight="1" x14ac:dyDescent="0.15">
      <c r="A229" s="203">
        <v>1110402706</v>
      </c>
      <c r="B229" s="204" t="s">
        <v>11744</v>
      </c>
      <c r="C229" s="162" t="s">
        <v>11536</v>
      </c>
      <c r="D229" s="162" t="s">
        <v>9860</v>
      </c>
      <c r="E229" s="162" t="s">
        <v>11537</v>
      </c>
      <c r="F229" s="205" t="s">
        <v>3724</v>
      </c>
      <c r="G229" s="206" t="s">
        <v>11534</v>
      </c>
      <c r="H229" s="206"/>
      <c r="I229" s="207"/>
      <c r="J229" s="208"/>
      <c r="K229" s="208"/>
      <c r="L229" s="208"/>
      <c r="M229" s="208" t="s">
        <v>49</v>
      </c>
      <c r="N229" s="208" t="s">
        <v>49</v>
      </c>
      <c r="O229" s="208"/>
      <c r="P229" s="175"/>
      <c r="Q229" s="209"/>
      <c r="R229" s="210"/>
      <c r="S229" s="175"/>
      <c r="T229" s="175"/>
      <c r="U229" s="175"/>
      <c r="V229" s="209"/>
      <c r="W229" s="210"/>
      <c r="X229" s="209"/>
      <c r="Y229" s="210"/>
      <c r="Z229" s="175"/>
      <c r="AA229" s="175">
        <v>20</v>
      </c>
      <c r="AB229" s="175"/>
      <c r="AC229" s="175"/>
      <c r="AD229" s="129">
        <v>46143</v>
      </c>
      <c r="AE229" s="162" t="s">
        <v>11535</v>
      </c>
    </row>
    <row r="230" spans="1:31" s="65" customFormat="1" ht="27" customHeight="1" x14ac:dyDescent="0.15">
      <c r="A230" s="105">
        <v>1110533351</v>
      </c>
      <c r="B230" s="130" t="s">
        <v>757</v>
      </c>
      <c r="C230" s="108" t="s">
        <v>576</v>
      </c>
      <c r="D230" s="108" t="s">
        <v>2102</v>
      </c>
      <c r="E230" s="108" t="s">
        <v>132</v>
      </c>
      <c r="F230" s="131">
        <v>3490217</v>
      </c>
      <c r="G230" s="132" t="s">
        <v>607</v>
      </c>
      <c r="H230" s="132" t="s">
        <v>624</v>
      </c>
      <c r="I230" s="133"/>
      <c r="J230" s="134"/>
      <c r="K230" s="134"/>
      <c r="L230" s="134"/>
      <c r="M230" s="134" t="s">
        <v>280</v>
      </c>
      <c r="N230" s="135"/>
      <c r="O230" s="136"/>
      <c r="P230" s="105">
        <v>60</v>
      </c>
      <c r="Q230" s="152" t="s">
        <v>2610</v>
      </c>
      <c r="R230" s="138">
        <v>11</v>
      </c>
      <c r="S230" s="132"/>
      <c r="T230" s="105">
        <v>60</v>
      </c>
      <c r="U230" s="132"/>
      <c r="V230" s="152"/>
      <c r="W230" s="136"/>
      <c r="X230" s="152"/>
      <c r="Y230" s="136"/>
      <c r="Z230" s="132"/>
      <c r="AA230" s="132"/>
      <c r="AB230" s="132"/>
      <c r="AC230" s="132"/>
      <c r="AD230" s="155">
        <v>39539</v>
      </c>
      <c r="AE230" s="108" t="s">
        <v>2680</v>
      </c>
    </row>
    <row r="231" spans="1:31" s="65" customFormat="1" ht="27" customHeight="1" x14ac:dyDescent="0.15">
      <c r="A231" s="105">
        <v>1110566666</v>
      </c>
      <c r="B231" s="130" t="s">
        <v>759</v>
      </c>
      <c r="C231" s="108" t="s">
        <v>4301</v>
      </c>
      <c r="D231" s="108" t="s">
        <v>1010</v>
      </c>
      <c r="E231" s="108" t="s">
        <v>1009</v>
      </c>
      <c r="F231" s="131">
        <v>3460106</v>
      </c>
      <c r="G231" s="132" t="s">
        <v>608</v>
      </c>
      <c r="H231" s="132" t="s">
        <v>608</v>
      </c>
      <c r="I231" s="116" t="s">
        <v>4302</v>
      </c>
      <c r="J231" s="154" t="s">
        <v>4302</v>
      </c>
      <c r="K231" s="154" t="s">
        <v>4302</v>
      </c>
      <c r="L231" s="154" t="s">
        <v>4302</v>
      </c>
      <c r="M231" s="154" t="s">
        <v>4302</v>
      </c>
      <c r="N231" s="143" t="s">
        <v>4302</v>
      </c>
      <c r="O231" s="138"/>
      <c r="P231" s="105"/>
      <c r="Q231" s="137"/>
      <c r="R231" s="138"/>
      <c r="S231" s="105"/>
      <c r="T231" s="105">
        <v>20</v>
      </c>
      <c r="U231" s="105"/>
      <c r="V231" s="137"/>
      <c r="W231" s="138"/>
      <c r="X231" s="137"/>
      <c r="Y231" s="138"/>
      <c r="Z231" s="105"/>
      <c r="AA231" s="105">
        <v>12</v>
      </c>
      <c r="AB231" s="105"/>
      <c r="AC231" s="105"/>
      <c r="AD231" s="118">
        <v>39083</v>
      </c>
      <c r="AE231" s="108" t="s">
        <v>281</v>
      </c>
    </row>
    <row r="232" spans="1:31" s="65" customFormat="1" ht="27" customHeight="1" x14ac:dyDescent="0.15">
      <c r="A232" s="105">
        <v>1110566716</v>
      </c>
      <c r="B232" s="130" t="s">
        <v>1599</v>
      </c>
      <c r="C232" s="108" t="s">
        <v>4775</v>
      </c>
      <c r="D232" s="108" t="s">
        <v>2102</v>
      </c>
      <c r="E232" s="108" t="s">
        <v>1600</v>
      </c>
      <c r="F232" s="131">
        <v>3490203</v>
      </c>
      <c r="G232" s="132" t="s">
        <v>4776</v>
      </c>
      <c r="H232" s="132" t="s">
        <v>4776</v>
      </c>
      <c r="I232" s="116" t="s">
        <v>4774</v>
      </c>
      <c r="J232" s="154"/>
      <c r="K232" s="154"/>
      <c r="L232" s="154"/>
      <c r="M232" s="154" t="s">
        <v>4774</v>
      </c>
      <c r="N232" s="143"/>
      <c r="O232" s="138" t="s">
        <v>4774</v>
      </c>
      <c r="P232" s="132"/>
      <c r="Q232" s="152"/>
      <c r="R232" s="136"/>
      <c r="S232" s="132"/>
      <c r="T232" s="132">
        <v>20</v>
      </c>
      <c r="U232" s="132"/>
      <c r="V232" s="152"/>
      <c r="W232" s="138"/>
      <c r="X232" s="152"/>
      <c r="Y232" s="136"/>
      <c r="Z232" s="132"/>
      <c r="AA232" s="105"/>
      <c r="AB232" s="105"/>
      <c r="AC232" s="105"/>
      <c r="AD232" s="155">
        <v>40909</v>
      </c>
      <c r="AE232" s="108" t="s">
        <v>2688</v>
      </c>
    </row>
    <row r="233" spans="1:31" s="65" customFormat="1" ht="27" customHeight="1" x14ac:dyDescent="0.15">
      <c r="A233" s="132">
        <v>1110566724</v>
      </c>
      <c r="B233" s="213" t="s">
        <v>2105</v>
      </c>
      <c r="C233" s="214" t="s">
        <v>2104</v>
      </c>
      <c r="D233" s="108" t="s">
        <v>2102</v>
      </c>
      <c r="E233" s="108" t="s">
        <v>2067</v>
      </c>
      <c r="F233" s="131" t="s">
        <v>2068</v>
      </c>
      <c r="G233" s="132" t="s">
        <v>2069</v>
      </c>
      <c r="H233" s="132" t="s">
        <v>2069</v>
      </c>
      <c r="I233" s="116" t="s">
        <v>2070</v>
      </c>
      <c r="J233" s="154"/>
      <c r="K233" s="154"/>
      <c r="L233" s="154"/>
      <c r="M233" s="154" t="s">
        <v>2070</v>
      </c>
      <c r="N233" s="143"/>
      <c r="O233" s="138"/>
      <c r="P233" s="132"/>
      <c r="Q233" s="152"/>
      <c r="R233" s="136"/>
      <c r="S233" s="132"/>
      <c r="T233" s="132"/>
      <c r="U233" s="132"/>
      <c r="V233" s="152"/>
      <c r="W233" s="138"/>
      <c r="X233" s="152"/>
      <c r="Y233" s="136"/>
      <c r="Z233" s="132"/>
      <c r="AA233" s="105">
        <v>20</v>
      </c>
      <c r="AB233" s="105"/>
      <c r="AC233" s="105"/>
      <c r="AD233" s="155">
        <v>41000</v>
      </c>
      <c r="AE233" s="108" t="s">
        <v>1784</v>
      </c>
    </row>
    <row r="234" spans="1:31" s="65" customFormat="1" ht="27" customHeight="1" x14ac:dyDescent="0.15">
      <c r="A234" s="132">
        <v>1110566732</v>
      </c>
      <c r="B234" s="213" t="s">
        <v>2105</v>
      </c>
      <c r="C234" s="214" t="s">
        <v>2103</v>
      </c>
      <c r="D234" s="108" t="s">
        <v>2102</v>
      </c>
      <c r="E234" s="108" t="s">
        <v>2066</v>
      </c>
      <c r="F234" s="131" t="s">
        <v>2071</v>
      </c>
      <c r="G234" s="132" t="s">
        <v>2072</v>
      </c>
      <c r="H234" s="132" t="s">
        <v>2072</v>
      </c>
      <c r="I234" s="116" t="s">
        <v>2073</v>
      </c>
      <c r="J234" s="154"/>
      <c r="K234" s="154"/>
      <c r="L234" s="154"/>
      <c r="M234" s="154" t="s">
        <v>2073</v>
      </c>
      <c r="N234" s="143"/>
      <c r="O234" s="138"/>
      <c r="P234" s="132"/>
      <c r="Q234" s="152"/>
      <c r="R234" s="136"/>
      <c r="S234" s="132"/>
      <c r="T234" s="132"/>
      <c r="U234" s="132"/>
      <c r="V234" s="152"/>
      <c r="W234" s="138"/>
      <c r="X234" s="152"/>
      <c r="Y234" s="136"/>
      <c r="Z234" s="132"/>
      <c r="AA234" s="105">
        <v>20</v>
      </c>
      <c r="AB234" s="105"/>
      <c r="AC234" s="105"/>
      <c r="AD234" s="155">
        <v>41000</v>
      </c>
      <c r="AE234" s="108" t="s">
        <v>1701</v>
      </c>
    </row>
    <row r="235" spans="1:31" s="65" customFormat="1" ht="27" customHeight="1" x14ac:dyDescent="0.15">
      <c r="A235" s="105">
        <v>1110566740</v>
      </c>
      <c r="B235" s="130" t="s">
        <v>1639</v>
      </c>
      <c r="C235" s="108" t="s">
        <v>2484</v>
      </c>
      <c r="D235" s="108" t="s">
        <v>70</v>
      </c>
      <c r="E235" s="108" t="s">
        <v>1641</v>
      </c>
      <c r="F235" s="131">
        <v>3450804</v>
      </c>
      <c r="G235" s="132" t="s">
        <v>1640</v>
      </c>
      <c r="H235" s="132" t="s">
        <v>1640</v>
      </c>
      <c r="I235" s="116"/>
      <c r="J235" s="154"/>
      <c r="K235" s="154"/>
      <c r="L235" s="154"/>
      <c r="M235" s="154" t="s">
        <v>49</v>
      </c>
      <c r="N235" s="143"/>
      <c r="O235" s="138"/>
      <c r="P235" s="132"/>
      <c r="Q235" s="152"/>
      <c r="R235" s="136"/>
      <c r="S235" s="132"/>
      <c r="T235" s="132"/>
      <c r="U235" s="132"/>
      <c r="V235" s="152"/>
      <c r="W235" s="138"/>
      <c r="X235" s="152"/>
      <c r="Y235" s="136"/>
      <c r="Z235" s="132"/>
      <c r="AA235" s="105">
        <v>20</v>
      </c>
      <c r="AB235" s="105"/>
      <c r="AC235" s="105"/>
      <c r="AD235" s="155">
        <v>40940</v>
      </c>
      <c r="AE235" s="108" t="s">
        <v>1642</v>
      </c>
    </row>
    <row r="236" spans="1:31" s="65" customFormat="1" ht="27" customHeight="1" x14ac:dyDescent="0.15">
      <c r="A236" s="105">
        <v>1110566757</v>
      </c>
      <c r="B236" s="130" t="s">
        <v>1706</v>
      </c>
      <c r="C236" s="108" t="s">
        <v>1705</v>
      </c>
      <c r="D236" s="108" t="s">
        <v>2102</v>
      </c>
      <c r="E236" s="108" t="s">
        <v>1704</v>
      </c>
      <c r="F236" s="131">
        <v>3490205</v>
      </c>
      <c r="G236" s="132" t="s">
        <v>1703</v>
      </c>
      <c r="H236" s="132" t="s">
        <v>2057</v>
      </c>
      <c r="I236" s="133"/>
      <c r="J236" s="134"/>
      <c r="K236" s="134"/>
      <c r="L236" s="134"/>
      <c r="M236" s="134" t="s">
        <v>1702</v>
      </c>
      <c r="N236" s="135"/>
      <c r="O236" s="136"/>
      <c r="P236" s="105"/>
      <c r="Q236" s="137"/>
      <c r="R236" s="138"/>
      <c r="S236" s="105"/>
      <c r="T236" s="105">
        <v>20</v>
      </c>
      <c r="U236" s="105"/>
      <c r="V236" s="137"/>
      <c r="W236" s="138"/>
      <c r="X236" s="137"/>
      <c r="Y236" s="138"/>
      <c r="Z236" s="105"/>
      <c r="AA236" s="105"/>
      <c r="AB236" s="105"/>
      <c r="AC236" s="105"/>
      <c r="AD236" s="118">
        <v>41000</v>
      </c>
      <c r="AE236" s="108" t="s">
        <v>1701</v>
      </c>
    </row>
    <row r="237" spans="1:31" s="65" customFormat="1" ht="27" customHeight="1" x14ac:dyDescent="0.15">
      <c r="A237" s="105">
        <v>1110566765</v>
      </c>
      <c r="B237" s="130" t="s">
        <v>2215</v>
      </c>
      <c r="C237" s="108" t="s">
        <v>3843</v>
      </c>
      <c r="D237" s="215" t="s">
        <v>2102</v>
      </c>
      <c r="E237" s="215" t="s">
        <v>3844</v>
      </c>
      <c r="F237" s="216" t="s">
        <v>5075</v>
      </c>
      <c r="G237" s="152" t="s">
        <v>5076</v>
      </c>
      <c r="H237" s="132" t="s">
        <v>5077</v>
      </c>
      <c r="I237" s="183"/>
      <c r="J237" s="134"/>
      <c r="K237" s="134"/>
      <c r="L237" s="134"/>
      <c r="M237" s="134" t="s">
        <v>5078</v>
      </c>
      <c r="N237" s="135" t="s">
        <v>5078</v>
      </c>
      <c r="O237" s="136"/>
      <c r="P237" s="105"/>
      <c r="Q237" s="137"/>
      <c r="R237" s="138"/>
      <c r="S237" s="105"/>
      <c r="T237" s="105"/>
      <c r="U237" s="105"/>
      <c r="V237" s="137"/>
      <c r="W237" s="138"/>
      <c r="X237" s="137"/>
      <c r="Y237" s="138"/>
      <c r="Z237" s="105"/>
      <c r="AA237" s="105">
        <v>40</v>
      </c>
      <c r="AB237" s="105"/>
      <c r="AC237" s="105"/>
      <c r="AD237" s="118">
        <v>41395</v>
      </c>
      <c r="AE237" s="108" t="s">
        <v>3845</v>
      </c>
    </row>
    <row r="238" spans="1:31" s="65" customFormat="1" ht="27" customHeight="1" x14ac:dyDescent="0.15">
      <c r="A238" s="105">
        <v>1110566823</v>
      </c>
      <c r="B238" s="130" t="s">
        <v>1639</v>
      </c>
      <c r="C238" s="108" t="s">
        <v>2483</v>
      </c>
      <c r="D238" s="108" t="s">
        <v>70</v>
      </c>
      <c r="E238" s="215" t="s">
        <v>2485</v>
      </c>
      <c r="F238" s="216" t="s">
        <v>4968</v>
      </c>
      <c r="G238" s="152" t="s">
        <v>4969</v>
      </c>
      <c r="H238" s="132" t="s">
        <v>4969</v>
      </c>
      <c r="I238" s="183"/>
      <c r="J238" s="134"/>
      <c r="K238" s="134"/>
      <c r="L238" s="134"/>
      <c r="M238" s="134" t="s">
        <v>4970</v>
      </c>
      <c r="N238" s="135"/>
      <c r="O238" s="136"/>
      <c r="P238" s="105"/>
      <c r="Q238" s="137"/>
      <c r="R238" s="138"/>
      <c r="S238" s="105"/>
      <c r="T238" s="105"/>
      <c r="U238" s="105"/>
      <c r="V238" s="137"/>
      <c r="W238" s="138"/>
      <c r="X238" s="137"/>
      <c r="Y238" s="138"/>
      <c r="Z238" s="105">
        <v>10</v>
      </c>
      <c r="AA238" s="105">
        <v>10</v>
      </c>
      <c r="AB238" s="105"/>
      <c r="AC238" s="105"/>
      <c r="AD238" s="118">
        <v>41760</v>
      </c>
      <c r="AE238" s="108" t="s">
        <v>2489</v>
      </c>
    </row>
    <row r="239" spans="1:31" s="65" customFormat="1" ht="27" customHeight="1" x14ac:dyDescent="0.15">
      <c r="A239" s="105">
        <v>1110566849</v>
      </c>
      <c r="B239" s="130" t="s">
        <v>4321</v>
      </c>
      <c r="C239" s="108" t="s">
        <v>4322</v>
      </c>
      <c r="D239" s="108" t="s">
        <v>70</v>
      </c>
      <c r="E239" s="108" t="s">
        <v>6763</v>
      </c>
      <c r="F239" s="131">
        <v>3450817</v>
      </c>
      <c r="G239" s="132" t="s">
        <v>947</v>
      </c>
      <c r="H239" s="132" t="s">
        <v>6764</v>
      </c>
      <c r="I239" s="116" t="s">
        <v>49</v>
      </c>
      <c r="J239" s="154" t="s">
        <v>49</v>
      </c>
      <c r="K239" s="154" t="s">
        <v>49</v>
      </c>
      <c r="L239" s="154" t="s">
        <v>49</v>
      </c>
      <c r="M239" s="154" t="s">
        <v>49</v>
      </c>
      <c r="N239" s="143"/>
      <c r="O239" s="138"/>
      <c r="P239" s="132"/>
      <c r="Q239" s="152"/>
      <c r="R239" s="136"/>
      <c r="S239" s="132"/>
      <c r="T239" s="132">
        <v>32</v>
      </c>
      <c r="U239" s="132"/>
      <c r="V239" s="152"/>
      <c r="W239" s="138"/>
      <c r="X239" s="152"/>
      <c r="Y239" s="136"/>
      <c r="Z239" s="132"/>
      <c r="AA239" s="105">
        <v>20</v>
      </c>
      <c r="AB239" s="105"/>
      <c r="AC239" s="105"/>
      <c r="AD239" s="144">
        <v>43191</v>
      </c>
      <c r="AE239" s="108" t="s">
        <v>976</v>
      </c>
    </row>
    <row r="240" spans="1:31" s="65" customFormat="1" ht="27" customHeight="1" x14ac:dyDescent="0.15">
      <c r="A240" s="105">
        <v>1110566872</v>
      </c>
      <c r="B240" s="130" t="s">
        <v>4978</v>
      </c>
      <c r="C240" s="108" t="s">
        <v>4975</v>
      </c>
      <c r="D240" s="108" t="s">
        <v>70</v>
      </c>
      <c r="E240" s="108" t="s">
        <v>4440</v>
      </c>
      <c r="F240" s="131" t="s">
        <v>4976</v>
      </c>
      <c r="G240" s="132" t="s">
        <v>4977</v>
      </c>
      <c r="H240" s="132" t="s">
        <v>4977</v>
      </c>
      <c r="I240" s="133"/>
      <c r="J240" s="134"/>
      <c r="K240" s="134"/>
      <c r="L240" s="134"/>
      <c r="M240" s="134"/>
      <c r="N240" s="135" t="s">
        <v>49</v>
      </c>
      <c r="O240" s="136"/>
      <c r="P240" s="105"/>
      <c r="Q240" s="137"/>
      <c r="R240" s="138"/>
      <c r="S240" s="105"/>
      <c r="T240" s="105"/>
      <c r="U240" s="105"/>
      <c r="V240" s="137"/>
      <c r="W240" s="138"/>
      <c r="X240" s="137"/>
      <c r="Y240" s="138"/>
      <c r="Z240" s="105"/>
      <c r="AA240" s="105">
        <v>30</v>
      </c>
      <c r="AB240" s="105"/>
      <c r="AC240" s="105"/>
      <c r="AD240" s="118">
        <v>43556</v>
      </c>
      <c r="AE240" s="108" t="s">
        <v>4442</v>
      </c>
    </row>
    <row r="241" spans="1:31" s="65" customFormat="1" ht="27" customHeight="1" x14ac:dyDescent="0.15">
      <c r="A241" s="105">
        <v>1110566880</v>
      </c>
      <c r="B241" s="130" t="s">
        <v>4978</v>
      </c>
      <c r="C241" s="108" t="s">
        <v>4979</v>
      </c>
      <c r="D241" s="108" t="s">
        <v>70</v>
      </c>
      <c r="E241" s="108" t="s">
        <v>4627</v>
      </c>
      <c r="F241" s="131" t="s">
        <v>4980</v>
      </c>
      <c r="G241" s="132" t="s">
        <v>4981</v>
      </c>
      <c r="H241" s="132" t="s">
        <v>4982</v>
      </c>
      <c r="I241" s="133"/>
      <c r="J241" s="134"/>
      <c r="K241" s="134"/>
      <c r="L241" s="134"/>
      <c r="M241" s="134"/>
      <c r="N241" s="135" t="s">
        <v>4983</v>
      </c>
      <c r="O241" s="136"/>
      <c r="P241" s="105"/>
      <c r="Q241" s="137"/>
      <c r="R241" s="138"/>
      <c r="S241" s="105"/>
      <c r="T241" s="105"/>
      <c r="U241" s="105"/>
      <c r="V241" s="137"/>
      <c r="W241" s="138"/>
      <c r="X241" s="137"/>
      <c r="Y241" s="138"/>
      <c r="Z241" s="105"/>
      <c r="AA241" s="105"/>
      <c r="AB241" s="105" t="s">
        <v>4983</v>
      </c>
      <c r="AC241" s="105"/>
      <c r="AD241" s="118">
        <v>43556</v>
      </c>
      <c r="AE241" s="108" t="s">
        <v>4628</v>
      </c>
    </row>
    <row r="242" spans="1:31" s="65" customFormat="1" ht="27" customHeight="1" x14ac:dyDescent="0.15">
      <c r="A242" s="105">
        <v>1110566898</v>
      </c>
      <c r="B242" s="130" t="s">
        <v>4978</v>
      </c>
      <c r="C242" s="130" t="s">
        <v>9035</v>
      </c>
      <c r="D242" s="108" t="s">
        <v>70</v>
      </c>
      <c r="E242" s="130" t="s">
        <v>5067</v>
      </c>
      <c r="F242" s="131">
        <v>3450821</v>
      </c>
      <c r="G242" s="132" t="s">
        <v>9036</v>
      </c>
      <c r="H242" s="132" t="s">
        <v>9037</v>
      </c>
      <c r="I242" s="133"/>
      <c r="J242" s="134"/>
      <c r="K242" s="134"/>
      <c r="L242" s="134"/>
      <c r="M242" s="134"/>
      <c r="N242" s="135" t="s">
        <v>765</v>
      </c>
      <c r="O242" s="136"/>
      <c r="P242" s="105"/>
      <c r="Q242" s="137"/>
      <c r="R242" s="138"/>
      <c r="S242" s="105"/>
      <c r="T242" s="105"/>
      <c r="U242" s="105"/>
      <c r="V242" s="137">
        <v>12</v>
      </c>
      <c r="W242" s="138"/>
      <c r="X242" s="137">
        <v>22</v>
      </c>
      <c r="Y242" s="138"/>
      <c r="Z242" s="105"/>
      <c r="AA242" s="105"/>
      <c r="AB242" s="105"/>
      <c r="AC242" s="105"/>
      <c r="AD242" s="118">
        <v>43556</v>
      </c>
      <c r="AE242" s="108" t="s">
        <v>9038</v>
      </c>
    </row>
    <row r="243" spans="1:31" s="218" customFormat="1" ht="27" customHeight="1" x14ac:dyDescent="0.15">
      <c r="A243" s="105">
        <v>1110566898</v>
      </c>
      <c r="B243" s="130" t="s">
        <v>4978</v>
      </c>
      <c r="C243" s="108" t="s">
        <v>10967</v>
      </c>
      <c r="D243" s="108" t="s">
        <v>100</v>
      </c>
      <c r="E243" s="108" t="s">
        <v>10968</v>
      </c>
      <c r="F243" s="131" t="s">
        <v>10969</v>
      </c>
      <c r="G243" s="132" t="s">
        <v>10970</v>
      </c>
      <c r="H243" s="132"/>
      <c r="I243" s="133"/>
      <c r="J243" s="134"/>
      <c r="K243" s="134"/>
      <c r="L243" s="134"/>
      <c r="M243" s="134" t="s">
        <v>6457</v>
      </c>
      <c r="N243" s="135" t="s">
        <v>6457</v>
      </c>
      <c r="O243" s="136" t="s">
        <v>6457</v>
      </c>
      <c r="P243" s="105"/>
      <c r="Q243" s="137"/>
      <c r="R243" s="138"/>
      <c r="S243" s="105"/>
      <c r="T243" s="105"/>
      <c r="U243" s="105"/>
      <c r="V243" s="137"/>
      <c r="W243" s="138"/>
      <c r="X243" s="137"/>
      <c r="Y243" s="138"/>
      <c r="Z243" s="105"/>
      <c r="AA243" s="105"/>
      <c r="AB243" s="105"/>
      <c r="AC243" s="105">
        <v>10</v>
      </c>
      <c r="AD243" s="118">
        <v>46023</v>
      </c>
      <c r="AE243" s="217" t="s">
        <v>10971</v>
      </c>
    </row>
    <row r="244" spans="1:31" s="65" customFormat="1" ht="27" customHeight="1" x14ac:dyDescent="0.15">
      <c r="A244" s="132">
        <v>1110566914</v>
      </c>
      <c r="B244" s="130" t="s">
        <v>6223</v>
      </c>
      <c r="C244" s="108" t="s">
        <v>6224</v>
      </c>
      <c r="D244" s="108" t="s">
        <v>70</v>
      </c>
      <c r="E244" s="108" t="s">
        <v>6225</v>
      </c>
      <c r="F244" s="131" t="s">
        <v>6226</v>
      </c>
      <c r="G244" s="132" t="s">
        <v>6379</v>
      </c>
      <c r="H244" s="132"/>
      <c r="I244" s="116"/>
      <c r="J244" s="154"/>
      <c r="K244" s="154"/>
      <c r="L244" s="154"/>
      <c r="M244" s="154" t="s">
        <v>49</v>
      </c>
      <c r="N244" s="143" t="s">
        <v>49</v>
      </c>
      <c r="O244" s="138"/>
      <c r="P244" s="105"/>
      <c r="Q244" s="137"/>
      <c r="R244" s="138"/>
      <c r="S244" s="105"/>
      <c r="T244" s="105">
        <v>10</v>
      </c>
      <c r="U244" s="105"/>
      <c r="V244" s="137"/>
      <c r="W244" s="138"/>
      <c r="X244" s="137"/>
      <c r="Y244" s="138"/>
      <c r="Z244" s="105"/>
      <c r="AA244" s="105"/>
      <c r="AB244" s="105"/>
      <c r="AC244" s="105"/>
      <c r="AD244" s="118">
        <v>44044</v>
      </c>
      <c r="AE244" s="108" t="s">
        <v>6227</v>
      </c>
    </row>
    <row r="245" spans="1:31" s="65" customFormat="1" ht="27" customHeight="1" x14ac:dyDescent="0.15">
      <c r="A245" s="150">
        <v>1110600168</v>
      </c>
      <c r="B245" s="106" t="s">
        <v>1268</v>
      </c>
      <c r="C245" s="107" t="s">
        <v>1269</v>
      </c>
      <c r="D245" s="215" t="s">
        <v>1270</v>
      </c>
      <c r="E245" s="215" t="s">
        <v>1271</v>
      </c>
      <c r="F245" s="219">
        <v>3440051</v>
      </c>
      <c r="G245" s="152" t="s">
        <v>1272</v>
      </c>
      <c r="H245" s="132" t="s">
        <v>1273</v>
      </c>
      <c r="I245" s="181"/>
      <c r="J245" s="154"/>
      <c r="K245" s="154"/>
      <c r="L245" s="154"/>
      <c r="M245" s="154" t="s">
        <v>49</v>
      </c>
      <c r="N245" s="143"/>
      <c r="O245" s="138"/>
      <c r="P245" s="132"/>
      <c r="Q245" s="152"/>
      <c r="R245" s="136"/>
      <c r="S245" s="132"/>
      <c r="T245" s="132">
        <v>40</v>
      </c>
      <c r="U245" s="132"/>
      <c r="V245" s="152"/>
      <c r="W245" s="138"/>
      <c r="X245" s="152"/>
      <c r="Y245" s="136"/>
      <c r="Z245" s="132"/>
      <c r="AA245" s="105"/>
      <c r="AB245" s="105"/>
      <c r="AC245" s="105"/>
      <c r="AD245" s="144">
        <v>40634</v>
      </c>
      <c r="AE245" s="108" t="s">
        <v>1274</v>
      </c>
    </row>
    <row r="246" spans="1:31" ht="27" customHeight="1" x14ac:dyDescent="0.15">
      <c r="A246" s="132">
        <v>1110600333</v>
      </c>
      <c r="B246" s="130" t="s">
        <v>760</v>
      </c>
      <c r="C246" s="108" t="s">
        <v>282</v>
      </c>
      <c r="D246" s="108" t="s">
        <v>71</v>
      </c>
      <c r="E246" s="108" t="s">
        <v>134</v>
      </c>
      <c r="F246" s="131">
        <v>3440031</v>
      </c>
      <c r="G246" s="132" t="s">
        <v>609</v>
      </c>
      <c r="H246" s="132" t="s">
        <v>2058</v>
      </c>
      <c r="I246" s="116" t="s">
        <v>49</v>
      </c>
      <c r="J246" s="154" t="s">
        <v>49</v>
      </c>
      <c r="K246" s="154" t="s">
        <v>49</v>
      </c>
      <c r="L246" s="154" t="s">
        <v>49</v>
      </c>
      <c r="M246" s="154" t="s">
        <v>49</v>
      </c>
      <c r="N246" s="143" t="s">
        <v>49</v>
      </c>
      <c r="O246" s="138" t="s">
        <v>49</v>
      </c>
      <c r="P246" s="105"/>
      <c r="Q246" s="137"/>
      <c r="R246" s="138"/>
      <c r="S246" s="105"/>
      <c r="T246" s="105">
        <v>27</v>
      </c>
      <c r="U246" s="105"/>
      <c r="V246" s="137"/>
      <c r="W246" s="138"/>
      <c r="X246" s="137"/>
      <c r="Y246" s="138"/>
      <c r="Z246" s="105"/>
      <c r="AA246" s="105"/>
      <c r="AB246" s="105"/>
      <c r="AC246" s="105"/>
      <c r="AD246" s="118">
        <v>39173</v>
      </c>
      <c r="AE246" s="108" t="s">
        <v>283</v>
      </c>
    </row>
    <row r="247" spans="1:31" ht="27" customHeight="1" x14ac:dyDescent="0.15">
      <c r="A247" s="132">
        <v>1110600655</v>
      </c>
      <c r="B247" s="130" t="s">
        <v>1081</v>
      </c>
      <c r="C247" s="108" t="s">
        <v>8597</v>
      </c>
      <c r="D247" s="108" t="s">
        <v>71</v>
      </c>
      <c r="E247" s="108" t="s">
        <v>1082</v>
      </c>
      <c r="F247" s="131">
        <v>3440046</v>
      </c>
      <c r="G247" s="132" t="s">
        <v>8598</v>
      </c>
      <c r="H247" s="132" t="s">
        <v>8599</v>
      </c>
      <c r="I247" s="116"/>
      <c r="J247" s="154"/>
      <c r="K247" s="154"/>
      <c r="L247" s="154"/>
      <c r="M247" s="154" t="s">
        <v>765</v>
      </c>
      <c r="N247" s="143"/>
      <c r="O247" s="138"/>
      <c r="P247" s="105"/>
      <c r="Q247" s="137"/>
      <c r="R247" s="138"/>
      <c r="S247" s="105"/>
      <c r="T247" s="105">
        <v>28</v>
      </c>
      <c r="U247" s="105"/>
      <c r="V247" s="137"/>
      <c r="W247" s="138"/>
      <c r="X247" s="137"/>
      <c r="Y247" s="138"/>
      <c r="Z247" s="105"/>
      <c r="AA247" s="105"/>
      <c r="AB247" s="105"/>
      <c r="AC247" s="105"/>
      <c r="AD247" s="118">
        <v>40483</v>
      </c>
      <c r="AE247" s="108" t="s">
        <v>1083</v>
      </c>
    </row>
    <row r="248" spans="1:31" ht="27" customHeight="1" x14ac:dyDescent="0.15">
      <c r="A248" s="132">
        <v>1110600689</v>
      </c>
      <c r="B248" s="130" t="s">
        <v>4920</v>
      </c>
      <c r="C248" s="108" t="s">
        <v>4849</v>
      </c>
      <c r="D248" s="108" t="s">
        <v>71</v>
      </c>
      <c r="E248" s="108" t="s">
        <v>4921</v>
      </c>
      <c r="F248" s="131">
        <v>3440059</v>
      </c>
      <c r="G248" s="132" t="s">
        <v>4922</v>
      </c>
      <c r="H248" s="132" t="s">
        <v>4922</v>
      </c>
      <c r="I248" s="116"/>
      <c r="J248" s="154"/>
      <c r="K248" s="154"/>
      <c r="L248" s="154"/>
      <c r="M248" s="134" t="s">
        <v>49</v>
      </c>
      <c r="N248" s="143"/>
      <c r="O248" s="138"/>
      <c r="P248" s="105"/>
      <c r="Q248" s="137"/>
      <c r="R248" s="138"/>
      <c r="S248" s="105"/>
      <c r="T248" s="105">
        <v>20</v>
      </c>
      <c r="U248" s="105"/>
      <c r="V248" s="137"/>
      <c r="W248" s="138"/>
      <c r="X248" s="137"/>
      <c r="Y248" s="138"/>
      <c r="Z248" s="105"/>
      <c r="AA248" s="105"/>
      <c r="AB248" s="105"/>
      <c r="AC248" s="105"/>
      <c r="AD248" s="118">
        <v>40544</v>
      </c>
      <c r="AE248" s="108" t="s">
        <v>4923</v>
      </c>
    </row>
    <row r="249" spans="1:31" ht="27" customHeight="1" x14ac:dyDescent="0.15">
      <c r="A249" s="105">
        <v>1110600721</v>
      </c>
      <c r="B249" s="106" t="s">
        <v>2179</v>
      </c>
      <c r="C249" s="107" t="s">
        <v>1205</v>
      </c>
      <c r="D249" s="108" t="s">
        <v>71</v>
      </c>
      <c r="E249" s="108" t="s">
        <v>1204</v>
      </c>
      <c r="F249" s="139">
        <v>3440116</v>
      </c>
      <c r="G249" s="140" t="s">
        <v>1203</v>
      </c>
      <c r="H249" s="140" t="s">
        <v>1202</v>
      </c>
      <c r="I249" s="141" t="s">
        <v>1196</v>
      </c>
      <c r="J249" s="142" t="s">
        <v>1196</v>
      </c>
      <c r="K249" s="142" t="s">
        <v>1196</v>
      </c>
      <c r="L249" s="142" t="s">
        <v>1196</v>
      </c>
      <c r="M249" s="142" t="s">
        <v>1196</v>
      </c>
      <c r="N249" s="143"/>
      <c r="O249" s="138"/>
      <c r="P249" s="105"/>
      <c r="Q249" s="137"/>
      <c r="R249" s="138"/>
      <c r="S249" s="105"/>
      <c r="T249" s="105">
        <v>17</v>
      </c>
      <c r="U249" s="105"/>
      <c r="V249" s="116"/>
      <c r="W249" s="117"/>
      <c r="X249" s="116"/>
      <c r="Y249" s="138"/>
      <c r="Z249" s="105"/>
      <c r="AA249" s="105">
        <v>23</v>
      </c>
      <c r="AB249" s="105"/>
      <c r="AC249" s="105"/>
      <c r="AD249" s="144">
        <v>40634</v>
      </c>
      <c r="AE249" s="108" t="s">
        <v>1201</v>
      </c>
    </row>
    <row r="250" spans="1:31" ht="27" customHeight="1" x14ac:dyDescent="0.15">
      <c r="A250" s="105">
        <v>1110600739</v>
      </c>
      <c r="B250" s="106" t="s">
        <v>3373</v>
      </c>
      <c r="C250" s="107" t="s">
        <v>3374</v>
      </c>
      <c r="D250" s="108" t="s">
        <v>71</v>
      </c>
      <c r="E250" s="108" t="s">
        <v>1207</v>
      </c>
      <c r="F250" s="139">
        <v>3440005</v>
      </c>
      <c r="G250" s="140" t="s">
        <v>3375</v>
      </c>
      <c r="H250" s="140" t="s">
        <v>3375</v>
      </c>
      <c r="I250" s="141"/>
      <c r="J250" s="142"/>
      <c r="K250" s="142"/>
      <c r="L250" s="142"/>
      <c r="M250" s="142" t="s">
        <v>3376</v>
      </c>
      <c r="N250" s="143"/>
      <c r="O250" s="138"/>
      <c r="P250" s="105"/>
      <c r="Q250" s="137"/>
      <c r="R250" s="138"/>
      <c r="S250" s="105"/>
      <c r="T250" s="105"/>
      <c r="U250" s="105"/>
      <c r="V250" s="116"/>
      <c r="W250" s="117"/>
      <c r="X250" s="116"/>
      <c r="Y250" s="138"/>
      <c r="Z250" s="105"/>
      <c r="AA250" s="105">
        <v>24</v>
      </c>
      <c r="AB250" s="105"/>
      <c r="AC250" s="105"/>
      <c r="AD250" s="144">
        <v>40634</v>
      </c>
      <c r="AE250" s="108" t="s">
        <v>1206</v>
      </c>
    </row>
    <row r="251" spans="1:31" ht="27" customHeight="1" x14ac:dyDescent="0.15">
      <c r="A251" s="105">
        <v>1110600747</v>
      </c>
      <c r="B251" s="130" t="s">
        <v>1275</v>
      </c>
      <c r="C251" s="107" t="s">
        <v>4250</v>
      </c>
      <c r="D251" s="108" t="s">
        <v>71</v>
      </c>
      <c r="E251" s="108" t="s">
        <v>2219</v>
      </c>
      <c r="F251" s="139">
        <v>3440064</v>
      </c>
      <c r="G251" s="140" t="s">
        <v>4251</v>
      </c>
      <c r="H251" s="140" t="s">
        <v>4252</v>
      </c>
      <c r="I251" s="141"/>
      <c r="J251" s="142"/>
      <c r="K251" s="142"/>
      <c r="L251" s="142"/>
      <c r="M251" s="142" t="s">
        <v>4253</v>
      </c>
      <c r="N251" s="143" t="s">
        <v>4253</v>
      </c>
      <c r="O251" s="138" t="s">
        <v>4253</v>
      </c>
      <c r="P251" s="105"/>
      <c r="Q251" s="137"/>
      <c r="R251" s="138"/>
      <c r="S251" s="105"/>
      <c r="T251" s="105">
        <v>20</v>
      </c>
      <c r="U251" s="105"/>
      <c r="V251" s="116"/>
      <c r="W251" s="117"/>
      <c r="X251" s="116"/>
      <c r="Y251" s="138"/>
      <c r="Z251" s="105"/>
      <c r="AA251" s="105"/>
      <c r="AB251" s="105"/>
      <c r="AC251" s="105"/>
      <c r="AD251" s="144">
        <v>40634</v>
      </c>
      <c r="AE251" s="108" t="s">
        <v>1276</v>
      </c>
    </row>
    <row r="252" spans="1:31" ht="27" customHeight="1" x14ac:dyDescent="0.15">
      <c r="A252" s="105">
        <v>1110600770</v>
      </c>
      <c r="B252" s="130" t="s">
        <v>1367</v>
      </c>
      <c r="C252" s="107" t="s">
        <v>1368</v>
      </c>
      <c r="D252" s="108" t="s">
        <v>71</v>
      </c>
      <c r="E252" s="108" t="s">
        <v>1369</v>
      </c>
      <c r="F252" s="139">
        <v>3440004</v>
      </c>
      <c r="G252" s="140" t="s">
        <v>1416</v>
      </c>
      <c r="H252" s="140" t="s">
        <v>1416</v>
      </c>
      <c r="I252" s="141" t="s">
        <v>1352</v>
      </c>
      <c r="J252" s="142" t="s">
        <v>1352</v>
      </c>
      <c r="K252" s="142" t="s">
        <v>1352</v>
      </c>
      <c r="L252" s="142" t="s">
        <v>1352</v>
      </c>
      <c r="M252" s="142" t="s">
        <v>49</v>
      </c>
      <c r="N252" s="143"/>
      <c r="O252" s="138"/>
      <c r="P252" s="105"/>
      <c r="Q252" s="137"/>
      <c r="R252" s="138"/>
      <c r="S252" s="105"/>
      <c r="T252" s="105"/>
      <c r="U252" s="105"/>
      <c r="V252" s="116"/>
      <c r="W252" s="117"/>
      <c r="X252" s="116"/>
      <c r="Y252" s="138"/>
      <c r="Z252" s="105"/>
      <c r="AA252" s="105">
        <v>30</v>
      </c>
      <c r="AB252" s="105"/>
      <c r="AC252" s="105"/>
      <c r="AD252" s="144">
        <v>40634</v>
      </c>
      <c r="AE252" s="108" t="s">
        <v>1392</v>
      </c>
    </row>
    <row r="253" spans="1:31" ht="27" customHeight="1" x14ac:dyDescent="0.15">
      <c r="A253" s="105">
        <v>1110600788</v>
      </c>
      <c r="B253" s="130" t="s">
        <v>1367</v>
      </c>
      <c r="C253" s="107" t="s">
        <v>1370</v>
      </c>
      <c r="D253" s="108" t="s">
        <v>71</v>
      </c>
      <c r="E253" s="108" t="s">
        <v>1371</v>
      </c>
      <c r="F253" s="139">
        <v>3440035</v>
      </c>
      <c r="G253" s="140" t="s">
        <v>1372</v>
      </c>
      <c r="H253" s="140" t="s">
        <v>1372</v>
      </c>
      <c r="I253" s="141" t="s">
        <v>1352</v>
      </c>
      <c r="J253" s="142" t="s">
        <v>1352</v>
      </c>
      <c r="K253" s="142" t="s">
        <v>1352</v>
      </c>
      <c r="L253" s="142" t="s">
        <v>1352</v>
      </c>
      <c r="M253" s="142" t="s">
        <v>49</v>
      </c>
      <c r="N253" s="143"/>
      <c r="O253" s="138"/>
      <c r="P253" s="105"/>
      <c r="Q253" s="137"/>
      <c r="R253" s="138"/>
      <c r="S253" s="105"/>
      <c r="T253" s="105"/>
      <c r="U253" s="105"/>
      <c r="V253" s="116"/>
      <c r="W253" s="117"/>
      <c r="X253" s="116"/>
      <c r="Y253" s="138"/>
      <c r="Z253" s="105"/>
      <c r="AA253" s="105">
        <v>30</v>
      </c>
      <c r="AB253" s="105"/>
      <c r="AC253" s="105"/>
      <c r="AD253" s="144">
        <v>40634</v>
      </c>
      <c r="AE253" s="108" t="s">
        <v>1393</v>
      </c>
    </row>
    <row r="254" spans="1:31" s="65" customFormat="1" ht="27" customHeight="1" x14ac:dyDescent="0.15">
      <c r="A254" s="105">
        <v>1110600838</v>
      </c>
      <c r="B254" s="130" t="s">
        <v>1643</v>
      </c>
      <c r="C254" s="107" t="s">
        <v>1644</v>
      </c>
      <c r="D254" s="108" t="s">
        <v>71</v>
      </c>
      <c r="E254" s="108" t="s">
        <v>1645</v>
      </c>
      <c r="F254" s="139">
        <v>3440004</v>
      </c>
      <c r="G254" s="140" t="s">
        <v>1646</v>
      </c>
      <c r="H254" s="140" t="s">
        <v>1646</v>
      </c>
      <c r="I254" s="141"/>
      <c r="J254" s="142"/>
      <c r="K254" s="142"/>
      <c r="L254" s="142"/>
      <c r="M254" s="142" t="s">
        <v>49</v>
      </c>
      <c r="N254" s="143"/>
      <c r="O254" s="138"/>
      <c r="P254" s="105"/>
      <c r="Q254" s="137"/>
      <c r="R254" s="138"/>
      <c r="S254" s="105"/>
      <c r="T254" s="105">
        <v>20</v>
      </c>
      <c r="U254" s="105"/>
      <c r="V254" s="116"/>
      <c r="W254" s="117"/>
      <c r="X254" s="116"/>
      <c r="Y254" s="138"/>
      <c r="Z254" s="105"/>
      <c r="AA254" s="105"/>
      <c r="AB254" s="105"/>
      <c r="AC254" s="105"/>
      <c r="AD254" s="144">
        <v>40940</v>
      </c>
      <c r="AE254" s="108" t="s">
        <v>1647</v>
      </c>
    </row>
    <row r="255" spans="1:31" s="65" customFormat="1" ht="27" customHeight="1" x14ac:dyDescent="0.15">
      <c r="A255" s="105">
        <v>1110600846</v>
      </c>
      <c r="B255" s="130" t="s">
        <v>1648</v>
      </c>
      <c r="C255" s="107" t="s">
        <v>1649</v>
      </c>
      <c r="D255" s="108" t="s">
        <v>71</v>
      </c>
      <c r="E255" s="108" t="s">
        <v>5374</v>
      </c>
      <c r="F255" s="139">
        <v>3440002</v>
      </c>
      <c r="G255" s="140" t="s">
        <v>5375</v>
      </c>
      <c r="H255" s="140" t="s">
        <v>5376</v>
      </c>
      <c r="I255" s="141"/>
      <c r="J255" s="142"/>
      <c r="K255" s="142"/>
      <c r="L255" s="142"/>
      <c r="M255" s="142" t="s">
        <v>5377</v>
      </c>
      <c r="N255" s="143"/>
      <c r="O255" s="138"/>
      <c r="P255" s="105"/>
      <c r="Q255" s="137"/>
      <c r="R255" s="138"/>
      <c r="S255" s="105"/>
      <c r="T255" s="105">
        <v>20</v>
      </c>
      <c r="U255" s="105"/>
      <c r="V255" s="116"/>
      <c r="W255" s="117"/>
      <c r="X255" s="116"/>
      <c r="Y255" s="138"/>
      <c r="Z255" s="105"/>
      <c r="AA255" s="105"/>
      <c r="AB255" s="105"/>
      <c r="AC255" s="105"/>
      <c r="AD255" s="144">
        <v>40940</v>
      </c>
      <c r="AE255" s="108" t="s">
        <v>1650</v>
      </c>
    </row>
    <row r="256" spans="1:31" s="65" customFormat="1" ht="27" customHeight="1" x14ac:dyDescent="0.15">
      <c r="A256" s="105">
        <v>1110600853</v>
      </c>
      <c r="B256" s="130" t="s">
        <v>1712</v>
      </c>
      <c r="C256" s="108" t="s">
        <v>1711</v>
      </c>
      <c r="D256" s="108" t="s">
        <v>71</v>
      </c>
      <c r="E256" s="108" t="s">
        <v>1710</v>
      </c>
      <c r="F256" s="131">
        <v>3440002</v>
      </c>
      <c r="G256" s="132" t="s">
        <v>1709</v>
      </c>
      <c r="H256" s="132" t="s">
        <v>1709</v>
      </c>
      <c r="I256" s="133"/>
      <c r="J256" s="134"/>
      <c r="K256" s="134"/>
      <c r="L256" s="134"/>
      <c r="M256" s="134" t="s">
        <v>1708</v>
      </c>
      <c r="N256" s="135"/>
      <c r="O256" s="136"/>
      <c r="P256" s="105"/>
      <c r="Q256" s="137"/>
      <c r="R256" s="138"/>
      <c r="S256" s="105"/>
      <c r="T256" s="105">
        <v>20</v>
      </c>
      <c r="U256" s="105"/>
      <c r="V256" s="137"/>
      <c r="W256" s="138"/>
      <c r="X256" s="137"/>
      <c r="Y256" s="138"/>
      <c r="Z256" s="105"/>
      <c r="AA256" s="105"/>
      <c r="AB256" s="105"/>
      <c r="AC256" s="105"/>
      <c r="AD256" s="118">
        <v>41000</v>
      </c>
      <c r="AE256" s="108" t="s">
        <v>1707</v>
      </c>
    </row>
    <row r="257" spans="1:31" s="65" customFormat="1" ht="27" customHeight="1" x14ac:dyDescent="0.15">
      <c r="A257" s="105">
        <v>1110600895</v>
      </c>
      <c r="B257" s="130" t="s">
        <v>1275</v>
      </c>
      <c r="C257" s="108" t="s">
        <v>2239</v>
      </c>
      <c r="D257" s="108" t="s">
        <v>71</v>
      </c>
      <c r="E257" s="108" t="s">
        <v>6183</v>
      </c>
      <c r="F257" s="131" t="s">
        <v>6184</v>
      </c>
      <c r="G257" s="132" t="s">
        <v>9117</v>
      </c>
      <c r="H257" s="132" t="s">
        <v>9118</v>
      </c>
      <c r="I257" s="133"/>
      <c r="J257" s="134"/>
      <c r="K257" s="134"/>
      <c r="L257" s="134"/>
      <c r="M257" s="134" t="s">
        <v>49</v>
      </c>
      <c r="N257" s="135"/>
      <c r="O257" s="136"/>
      <c r="P257" s="105"/>
      <c r="Q257" s="137"/>
      <c r="R257" s="138"/>
      <c r="S257" s="105"/>
      <c r="T257" s="105">
        <v>20</v>
      </c>
      <c r="U257" s="105"/>
      <c r="V257" s="137"/>
      <c r="W257" s="138"/>
      <c r="X257" s="137"/>
      <c r="Y257" s="138"/>
      <c r="Z257" s="105"/>
      <c r="AA257" s="105"/>
      <c r="AB257" s="105"/>
      <c r="AC257" s="105"/>
      <c r="AD257" s="118">
        <v>41518</v>
      </c>
      <c r="AE257" s="108" t="s">
        <v>6185</v>
      </c>
    </row>
    <row r="258" spans="1:31" ht="27" customHeight="1" x14ac:dyDescent="0.15">
      <c r="A258" s="105">
        <v>1110600911</v>
      </c>
      <c r="B258" s="106" t="s">
        <v>3426</v>
      </c>
      <c r="C258" s="107" t="s">
        <v>2341</v>
      </c>
      <c r="D258" s="108" t="s">
        <v>71</v>
      </c>
      <c r="E258" s="108" t="s">
        <v>6969</v>
      </c>
      <c r="F258" s="139" t="s">
        <v>2240</v>
      </c>
      <c r="G258" s="140" t="s">
        <v>2343</v>
      </c>
      <c r="H258" s="140" t="s">
        <v>2344</v>
      </c>
      <c r="I258" s="141"/>
      <c r="J258" s="142"/>
      <c r="K258" s="142"/>
      <c r="L258" s="142"/>
      <c r="M258" s="142" t="s">
        <v>49</v>
      </c>
      <c r="N258" s="143" t="s">
        <v>49</v>
      </c>
      <c r="O258" s="138"/>
      <c r="P258" s="105"/>
      <c r="Q258" s="137"/>
      <c r="R258" s="138"/>
      <c r="S258" s="105"/>
      <c r="T258" s="105">
        <v>20</v>
      </c>
      <c r="U258" s="105"/>
      <c r="V258" s="137"/>
      <c r="W258" s="138"/>
      <c r="X258" s="137"/>
      <c r="Y258" s="138"/>
      <c r="Z258" s="105"/>
      <c r="AA258" s="105"/>
      <c r="AB258" s="105"/>
      <c r="AC258" s="105"/>
      <c r="AD258" s="144">
        <v>41671</v>
      </c>
      <c r="AE258" s="108" t="s">
        <v>6970</v>
      </c>
    </row>
    <row r="259" spans="1:31" s="65" customFormat="1" ht="27" customHeight="1" x14ac:dyDescent="0.15">
      <c r="A259" s="105">
        <v>1110600929</v>
      </c>
      <c r="B259" s="130" t="s">
        <v>2409</v>
      </c>
      <c r="C259" s="108" t="s">
        <v>2410</v>
      </c>
      <c r="D259" s="108" t="s">
        <v>71</v>
      </c>
      <c r="E259" s="108" t="s">
        <v>2411</v>
      </c>
      <c r="F259" s="131" t="s">
        <v>2412</v>
      </c>
      <c r="G259" s="132" t="s">
        <v>2446</v>
      </c>
      <c r="H259" s="132" t="s">
        <v>2413</v>
      </c>
      <c r="I259" s="133"/>
      <c r="J259" s="134"/>
      <c r="K259" s="134"/>
      <c r="L259" s="134"/>
      <c r="M259" s="134"/>
      <c r="N259" s="135" t="s">
        <v>2414</v>
      </c>
      <c r="O259" s="136"/>
      <c r="P259" s="105"/>
      <c r="Q259" s="137"/>
      <c r="R259" s="138"/>
      <c r="S259" s="105"/>
      <c r="T259" s="105"/>
      <c r="U259" s="105"/>
      <c r="V259" s="137"/>
      <c r="W259" s="138"/>
      <c r="X259" s="152"/>
      <c r="Y259" s="138"/>
      <c r="Z259" s="105"/>
      <c r="AA259" s="105">
        <v>20</v>
      </c>
      <c r="AB259" s="105"/>
      <c r="AC259" s="105"/>
      <c r="AD259" s="118">
        <v>41730</v>
      </c>
      <c r="AE259" s="108" t="s">
        <v>2415</v>
      </c>
    </row>
    <row r="260" spans="1:31" ht="27" customHeight="1" x14ac:dyDescent="0.15">
      <c r="A260" s="150">
        <v>1110600952</v>
      </c>
      <c r="B260" s="106" t="s">
        <v>2545</v>
      </c>
      <c r="C260" s="107" t="s">
        <v>2546</v>
      </c>
      <c r="D260" s="157" t="s">
        <v>71</v>
      </c>
      <c r="E260" s="108" t="s">
        <v>2547</v>
      </c>
      <c r="F260" s="139" t="s">
        <v>2548</v>
      </c>
      <c r="G260" s="132" t="s">
        <v>2549</v>
      </c>
      <c r="H260" s="132" t="s">
        <v>2549</v>
      </c>
      <c r="I260" s="133" t="s">
        <v>2550</v>
      </c>
      <c r="J260" s="154" t="s">
        <v>2550</v>
      </c>
      <c r="K260" s="154" t="s">
        <v>2550</v>
      </c>
      <c r="L260" s="154" t="s">
        <v>2550</v>
      </c>
      <c r="M260" s="154" t="s">
        <v>2550</v>
      </c>
      <c r="N260" s="143" t="s">
        <v>2550</v>
      </c>
      <c r="O260" s="138" t="s">
        <v>2550</v>
      </c>
      <c r="P260" s="105"/>
      <c r="Q260" s="137"/>
      <c r="R260" s="138"/>
      <c r="S260" s="150"/>
      <c r="T260" s="150"/>
      <c r="U260" s="105"/>
      <c r="V260" s="137"/>
      <c r="W260" s="138"/>
      <c r="X260" s="137"/>
      <c r="Y260" s="187"/>
      <c r="Z260" s="105"/>
      <c r="AA260" s="105">
        <v>21</v>
      </c>
      <c r="AB260" s="105"/>
      <c r="AC260" s="105"/>
      <c r="AD260" s="144">
        <v>41852</v>
      </c>
      <c r="AE260" s="108" t="s">
        <v>2551</v>
      </c>
    </row>
    <row r="261" spans="1:31" s="65" customFormat="1" ht="27" customHeight="1" x14ac:dyDescent="0.15">
      <c r="A261" s="132">
        <v>1110601026</v>
      </c>
      <c r="B261" s="130" t="s">
        <v>2855</v>
      </c>
      <c r="C261" s="108" t="s">
        <v>8133</v>
      </c>
      <c r="D261" s="108" t="s">
        <v>71</v>
      </c>
      <c r="E261" s="108" t="s">
        <v>10616</v>
      </c>
      <c r="F261" s="131" t="s">
        <v>10617</v>
      </c>
      <c r="G261" s="132" t="s">
        <v>10618</v>
      </c>
      <c r="H261" s="132" t="s">
        <v>10619</v>
      </c>
      <c r="I261" s="133"/>
      <c r="J261" s="134" t="s">
        <v>765</v>
      </c>
      <c r="K261" s="134" t="s">
        <v>765</v>
      </c>
      <c r="L261" s="134" t="s">
        <v>765</v>
      </c>
      <c r="M261" s="134" t="s">
        <v>765</v>
      </c>
      <c r="N261" s="135" t="s">
        <v>765</v>
      </c>
      <c r="O261" s="136" t="s">
        <v>765</v>
      </c>
      <c r="P261" s="105"/>
      <c r="Q261" s="152"/>
      <c r="R261" s="138"/>
      <c r="S261" s="132"/>
      <c r="T261" s="105"/>
      <c r="U261" s="132"/>
      <c r="V261" s="116"/>
      <c r="W261" s="117"/>
      <c r="X261" s="152"/>
      <c r="Y261" s="136"/>
      <c r="Z261" s="132">
        <v>20</v>
      </c>
      <c r="AA261" s="132"/>
      <c r="AB261" s="132"/>
      <c r="AC261" s="132"/>
      <c r="AD261" s="155">
        <v>42095</v>
      </c>
      <c r="AE261" s="108" t="s">
        <v>11183</v>
      </c>
    </row>
    <row r="262" spans="1:31" s="65" customFormat="1" ht="27" customHeight="1" x14ac:dyDescent="0.15">
      <c r="A262" s="105">
        <v>1110601224</v>
      </c>
      <c r="B262" s="130" t="s">
        <v>4805</v>
      </c>
      <c r="C262" s="108" t="s">
        <v>3957</v>
      </c>
      <c r="D262" s="108" t="s">
        <v>71</v>
      </c>
      <c r="E262" s="108" t="s">
        <v>3958</v>
      </c>
      <c r="F262" s="131">
        <v>3440051</v>
      </c>
      <c r="G262" s="132" t="s">
        <v>3959</v>
      </c>
      <c r="H262" s="132" t="s">
        <v>3960</v>
      </c>
      <c r="I262" s="133"/>
      <c r="J262" s="134"/>
      <c r="K262" s="134"/>
      <c r="L262" s="134"/>
      <c r="M262" s="134" t="s">
        <v>49</v>
      </c>
      <c r="N262" s="135"/>
      <c r="O262" s="136"/>
      <c r="P262" s="105"/>
      <c r="Q262" s="137"/>
      <c r="R262" s="138"/>
      <c r="S262" s="105"/>
      <c r="T262" s="105">
        <v>20</v>
      </c>
      <c r="U262" s="105"/>
      <c r="V262" s="116"/>
      <c r="W262" s="117"/>
      <c r="X262" s="116"/>
      <c r="Y262" s="138"/>
      <c r="Z262" s="105"/>
      <c r="AA262" s="105"/>
      <c r="AB262" s="105"/>
      <c r="AC262" s="105"/>
      <c r="AD262" s="118">
        <v>42917</v>
      </c>
      <c r="AE262" s="108" t="s">
        <v>3961</v>
      </c>
    </row>
    <row r="263" spans="1:31" s="65" customFormat="1" ht="27" customHeight="1" x14ac:dyDescent="0.15">
      <c r="A263" s="132">
        <v>1110601034</v>
      </c>
      <c r="B263" s="130" t="s">
        <v>2863</v>
      </c>
      <c r="C263" s="108" t="s">
        <v>2864</v>
      </c>
      <c r="D263" s="108" t="s">
        <v>71</v>
      </c>
      <c r="E263" s="108" t="s">
        <v>2865</v>
      </c>
      <c r="F263" s="131" t="s">
        <v>2856</v>
      </c>
      <c r="G263" s="132" t="s">
        <v>2866</v>
      </c>
      <c r="H263" s="132" t="s">
        <v>2867</v>
      </c>
      <c r="I263" s="133"/>
      <c r="J263" s="134" t="s">
        <v>2832</v>
      </c>
      <c r="K263" s="134" t="s">
        <v>2832</v>
      </c>
      <c r="L263" s="134" t="s">
        <v>2832</v>
      </c>
      <c r="M263" s="134" t="s">
        <v>2832</v>
      </c>
      <c r="N263" s="135" t="s">
        <v>2832</v>
      </c>
      <c r="O263" s="136" t="s">
        <v>2832</v>
      </c>
      <c r="P263" s="105"/>
      <c r="Q263" s="152"/>
      <c r="R263" s="138"/>
      <c r="S263" s="132"/>
      <c r="T263" s="105"/>
      <c r="U263" s="132"/>
      <c r="V263" s="116"/>
      <c r="W263" s="117"/>
      <c r="X263" s="152"/>
      <c r="Y263" s="136"/>
      <c r="Z263" s="132">
        <v>20</v>
      </c>
      <c r="AA263" s="132"/>
      <c r="AB263" s="132"/>
      <c r="AC263" s="132"/>
      <c r="AD263" s="155">
        <v>42095</v>
      </c>
      <c r="AE263" s="108" t="s">
        <v>2868</v>
      </c>
    </row>
    <row r="264" spans="1:31" s="65" customFormat="1" ht="27" customHeight="1" x14ac:dyDescent="0.15">
      <c r="A264" s="105">
        <v>1110601109</v>
      </c>
      <c r="B264" s="106" t="s">
        <v>3324</v>
      </c>
      <c r="C264" s="107" t="s">
        <v>3325</v>
      </c>
      <c r="D264" s="108" t="s">
        <v>71</v>
      </c>
      <c r="E264" s="108" t="s">
        <v>3326</v>
      </c>
      <c r="F264" s="139" t="s">
        <v>3327</v>
      </c>
      <c r="G264" s="140" t="s">
        <v>3328</v>
      </c>
      <c r="H264" s="140" t="s">
        <v>3329</v>
      </c>
      <c r="I264" s="141" t="s">
        <v>49</v>
      </c>
      <c r="J264" s="142"/>
      <c r="K264" s="142"/>
      <c r="L264" s="142"/>
      <c r="M264" s="142" t="s">
        <v>49</v>
      </c>
      <c r="N264" s="143"/>
      <c r="O264" s="138"/>
      <c r="P264" s="105"/>
      <c r="Q264" s="137"/>
      <c r="R264" s="138"/>
      <c r="S264" s="105"/>
      <c r="T264" s="105">
        <v>40</v>
      </c>
      <c r="U264" s="105"/>
      <c r="V264" s="137"/>
      <c r="W264" s="138"/>
      <c r="X264" s="137"/>
      <c r="Y264" s="138"/>
      <c r="Z264" s="105"/>
      <c r="AA264" s="105"/>
      <c r="AB264" s="105"/>
      <c r="AC264" s="105"/>
      <c r="AD264" s="144">
        <v>45078</v>
      </c>
      <c r="AE264" s="108" t="s">
        <v>3330</v>
      </c>
    </row>
    <row r="265" spans="1:31" ht="27" customHeight="1" x14ac:dyDescent="0.15">
      <c r="A265" s="105">
        <v>1110601174</v>
      </c>
      <c r="B265" s="130" t="s">
        <v>2311</v>
      </c>
      <c r="C265" s="108" t="s">
        <v>3534</v>
      </c>
      <c r="D265" s="108" t="s">
        <v>71</v>
      </c>
      <c r="E265" s="108" t="s">
        <v>3535</v>
      </c>
      <c r="F265" s="131" t="s">
        <v>3536</v>
      </c>
      <c r="G265" s="132" t="s">
        <v>3537</v>
      </c>
      <c r="H265" s="132" t="s">
        <v>3538</v>
      </c>
      <c r="I265" s="133"/>
      <c r="J265" s="134"/>
      <c r="K265" s="134"/>
      <c r="L265" s="134" t="s">
        <v>3539</v>
      </c>
      <c r="M265" s="134" t="s">
        <v>3539</v>
      </c>
      <c r="N265" s="135" t="s">
        <v>3539</v>
      </c>
      <c r="O265" s="136" t="s">
        <v>3539</v>
      </c>
      <c r="P265" s="105"/>
      <c r="Q265" s="137"/>
      <c r="R265" s="138"/>
      <c r="S265" s="105"/>
      <c r="T265" s="105"/>
      <c r="U265" s="105"/>
      <c r="V265" s="137"/>
      <c r="W265" s="138"/>
      <c r="X265" s="137">
        <v>20</v>
      </c>
      <c r="Y265" s="138"/>
      <c r="Z265" s="105"/>
      <c r="AA265" s="105"/>
      <c r="AB265" s="105"/>
      <c r="AC265" s="105"/>
      <c r="AD265" s="118">
        <v>42614</v>
      </c>
      <c r="AE265" s="108" t="s">
        <v>3540</v>
      </c>
    </row>
    <row r="266" spans="1:31" ht="27" customHeight="1" x14ac:dyDescent="0.15">
      <c r="A266" s="105">
        <v>1110601356</v>
      </c>
      <c r="B266" s="130" t="s">
        <v>2311</v>
      </c>
      <c r="C266" s="108" t="s">
        <v>4594</v>
      </c>
      <c r="D266" s="108" t="s">
        <v>71</v>
      </c>
      <c r="E266" s="108" t="s">
        <v>3535</v>
      </c>
      <c r="F266" s="131" t="s">
        <v>4595</v>
      </c>
      <c r="G266" s="132" t="s">
        <v>4596</v>
      </c>
      <c r="H266" s="132" t="s">
        <v>4597</v>
      </c>
      <c r="I266" s="133"/>
      <c r="J266" s="134"/>
      <c r="K266" s="134"/>
      <c r="L266" s="134" t="s">
        <v>4598</v>
      </c>
      <c r="M266" s="134" t="s">
        <v>4598</v>
      </c>
      <c r="N266" s="135" t="s">
        <v>4598</v>
      </c>
      <c r="O266" s="136" t="s">
        <v>4598</v>
      </c>
      <c r="P266" s="105"/>
      <c r="Q266" s="137"/>
      <c r="R266" s="138"/>
      <c r="S266" s="105"/>
      <c r="T266" s="105"/>
      <c r="U266" s="105"/>
      <c r="V266" s="137"/>
      <c r="W266" s="138"/>
      <c r="X266" s="137"/>
      <c r="Y266" s="138"/>
      <c r="Z266" s="105"/>
      <c r="AA266" s="105"/>
      <c r="AB266" s="105" t="s">
        <v>4598</v>
      </c>
      <c r="AC266" s="105"/>
      <c r="AD266" s="118">
        <v>43313</v>
      </c>
      <c r="AE266" s="108" t="s">
        <v>3540</v>
      </c>
    </row>
    <row r="267" spans="1:31" s="561" customFormat="1" ht="27" customHeight="1" x14ac:dyDescent="0.15">
      <c r="A267" s="569">
        <v>1110601174</v>
      </c>
      <c r="B267" s="544" t="s">
        <v>2311</v>
      </c>
      <c r="C267" s="545" t="s">
        <v>3534</v>
      </c>
      <c r="D267" s="545" t="s">
        <v>71</v>
      </c>
      <c r="E267" s="545" t="s">
        <v>3535</v>
      </c>
      <c r="F267" s="546" t="s">
        <v>2240</v>
      </c>
      <c r="G267" s="547" t="s">
        <v>3537</v>
      </c>
      <c r="H267" s="547" t="s">
        <v>3538</v>
      </c>
      <c r="I267" s="548"/>
      <c r="J267" s="549"/>
      <c r="K267" s="549"/>
      <c r="L267" s="549" t="s">
        <v>49</v>
      </c>
      <c r="M267" s="549" t="s">
        <v>49</v>
      </c>
      <c r="N267" s="550" t="s">
        <v>49</v>
      </c>
      <c r="O267" s="551" t="s">
        <v>49</v>
      </c>
      <c r="P267" s="569"/>
      <c r="Q267" s="582"/>
      <c r="R267" s="587"/>
      <c r="S267" s="569"/>
      <c r="T267" s="569"/>
      <c r="U267" s="569"/>
      <c r="V267" s="582"/>
      <c r="W267" s="587"/>
      <c r="X267" s="582"/>
      <c r="Y267" s="587"/>
      <c r="Z267" s="569"/>
      <c r="AA267" s="569"/>
      <c r="AB267" s="569"/>
      <c r="AC267" s="569" t="s">
        <v>49</v>
      </c>
      <c r="AD267" s="588">
        <v>46235</v>
      </c>
      <c r="AE267" s="545" t="s">
        <v>3540</v>
      </c>
    </row>
    <row r="268" spans="1:31" s="65" customFormat="1" ht="27" customHeight="1" x14ac:dyDescent="0.15">
      <c r="A268" s="105">
        <v>1110601422</v>
      </c>
      <c r="B268" s="106" t="s">
        <v>5147</v>
      </c>
      <c r="C268" s="107" t="s">
        <v>5148</v>
      </c>
      <c r="D268" s="108" t="s">
        <v>71</v>
      </c>
      <c r="E268" s="108" t="s">
        <v>5149</v>
      </c>
      <c r="F268" s="139" t="s">
        <v>2240</v>
      </c>
      <c r="G268" s="140" t="s">
        <v>5150</v>
      </c>
      <c r="H268" s="140" t="s">
        <v>5151</v>
      </c>
      <c r="I268" s="141"/>
      <c r="J268" s="142"/>
      <c r="K268" s="142"/>
      <c r="L268" s="142" t="s">
        <v>765</v>
      </c>
      <c r="M268" s="142" t="s">
        <v>765</v>
      </c>
      <c r="N268" s="143" t="s">
        <v>765</v>
      </c>
      <c r="O268" s="138"/>
      <c r="P268" s="105"/>
      <c r="Q268" s="137"/>
      <c r="R268" s="138"/>
      <c r="S268" s="105"/>
      <c r="T268" s="105"/>
      <c r="U268" s="105"/>
      <c r="V268" s="116"/>
      <c r="W268" s="117"/>
      <c r="X268" s="137">
        <v>20</v>
      </c>
      <c r="Y268" s="138"/>
      <c r="Z268" s="105"/>
      <c r="AA268" s="105"/>
      <c r="AB268" s="105"/>
      <c r="AC268" s="105"/>
      <c r="AD268" s="144">
        <v>43647</v>
      </c>
      <c r="AE268" s="108" t="s">
        <v>5152</v>
      </c>
    </row>
    <row r="269" spans="1:31" s="65" customFormat="1" ht="27" customHeight="1" x14ac:dyDescent="0.15">
      <c r="A269" s="105">
        <v>1110601471</v>
      </c>
      <c r="B269" s="106" t="s">
        <v>5264</v>
      </c>
      <c r="C269" s="107" t="s">
        <v>5265</v>
      </c>
      <c r="D269" s="108" t="s">
        <v>71</v>
      </c>
      <c r="E269" s="108" t="s">
        <v>5266</v>
      </c>
      <c r="F269" s="139" t="s">
        <v>5267</v>
      </c>
      <c r="G269" s="140" t="s">
        <v>5268</v>
      </c>
      <c r="H269" s="140" t="s">
        <v>5268</v>
      </c>
      <c r="I269" s="141"/>
      <c r="J269" s="142"/>
      <c r="K269" s="142"/>
      <c r="L269" s="142"/>
      <c r="M269" s="142" t="s">
        <v>765</v>
      </c>
      <c r="N269" s="143"/>
      <c r="O269" s="138"/>
      <c r="P269" s="105"/>
      <c r="Q269" s="137"/>
      <c r="R269" s="138"/>
      <c r="S269" s="105"/>
      <c r="T269" s="105"/>
      <c r="U269" s="105"/>
      <c r="V269" s="116"/>
      <c r="W269" s="117"/>
      <c r="X269" s="137">
        <v>20</v>
      </c>
      <c r="Y269" s="138"/>
      <c r="Z269" s="105"/>
      <c r="AA269" s="105"/>
      <c r="AB269" s="105"/>
      <c r="AC269" s="105"/>
      <c r="AD269" s="144">
        <v>43709</v>
      </c>
      <c r="AE269" s="108" t="s">
        <v>5269</v>
      </c>
    </row>
    <row r="270" spans="1:31" s="65" customFormat="1" ht="27" customHeight="1" x14ac:dyDescent="0.15">
      <c r="A270" s="105">
        <v>1110601471</v>
      </c>
      <c r="B270" s="106" t="s">
        <v>5264</v>
      </c>
      <c r="C270" s="107" t="s">
        <v>5265</v>
      </c>
      <c r="D270" s="108" t="s">
        <v>71</v>
      </c>
      <c r="E270" s="108" t="s">
        <v>5266</v>
      </c>
      <c r="F270" s="139" t="s">
        <v>5267</v>
      </c>
      <c r="G270" s="140" t="s">
        <v>5268</v>
      </c>
      <c r="H270" s="140" t="s">
        <v>5268</v>
      </c>
      <c r="I270" s="141"/>
      <c r="J270" s="142"/>
      <c r="K270" s="142"/>
      <c r="L270" s="142"/>
      <c r="M270" s="142" t="s">
        <v>765</v>
      </c>
      <c r="N270" s="143" t="s">
        <v>49</v>
      </c>
      <c r="O270" s="138"/>
      <c r="P270" s="105"/>
      <c r="Q270" s="137"/>
      <c r="R270" s="138"/>
      <c r="S270" s="105"/>
      <c r="T270" s="105"/>
      <c r="U270" s="105"/>
      <c r="V270" s="116"/>
      <c r="W270" s="117"/>
      <c r="X270" s="137"/>
      <c r="Y270" s="138"/>
      <c r="Z270" s="105"/>
      <c r="AA270" s="105"/>
      <c r="AB270" s="105" t="s">
        <v>4614</v>
      </c>
      <c r="AC270" s="105"/>
      <c r="AD270" s="144">
        <v>45748</v>
      </c>
      <c r="AE270" s="108" t="s">
        <v>5269</v>
      </c>
    </row>
    <row r="271" spans="1:31" ht="27" customHeight="1" x14ac:dyDescent="0.15">
      <c r="A271" s="105">
        <v>1110601489</v>
      </c>
      <c r="B271" s="130" t="s">
        <v>5312</v>
      </c>
      <c r="C271" s="108" t="s">
        <v>5272</v>
      </c>
      <c r="D271" s="108" t="s">
        <v>71</v>
      </c>
      <c r="E271" s="108" t="s">
        <v>6333</v>
      </c>
      <c r="F271" s="131">
        <v>3440061</v>
      </c>
      <c r="G271" s="132" t="s">
        <v>5273</v>
      </c>
      <c r="H271" s="132" t="s">
        <v>5273</v>
      </c>
      <c r="I271" s="133"/>
      <c r="J271" s="134"/>
      <c r="K271" s="134"/>
      <c r="L271" s="134"/>
      <c r="M271" s="134" t="s">
        <v>49</v>
      </c>
      <c r="N271" s="134" t="s">
        <v>49</v>
      </c>
      <c r="O271" s="136"/>
      <c r="P271" s="105"/>
      <c r="Q271" s="137"/>
      <c r="R271" s="138"/>
      <c r="S271" s="105"/>
      <c r="T271" s="105"/>
      <c r="U271" s="105"/>
      <c r="V271" s="137"/>
      <c r="W271" s="138"/>
      <c r="X271" s="137"/>
      <c r="Y271" s="138"/>
      <c r="Z271" s="105"/>
      <c r="AA271" s="105">
        <v>20</v>
      </c>
      <c r="AB271" s="105"/>
      <c r="AC271" s="105"/>
      <c r="AD271" s="144">
        <v>43709</v>
      </c>
      <c r="AE271" s="108" t="s">
        <v>5274</v>
      </c>
    </row>
    <row r="272" spans="1:31" ht="27" customHeight="1" x14ac:dyDescent="0.15">
      <c r="A272" s="132">
        <v>1110601182</v>
      </c>
      <c r="B272" s="130" t="s">
        <v>3024</v>
      </c>
      <c r="C272" s="108" t="s">
        <v>3801</v>
      </c>
      <c r="D272" s="108" t="s">
        <v>71</v>
      </c>
      <c r="E272" s="108" t="s">
        <v>3025</v>
      </c>
      <c r="F272" s="131" t="s">
        <v>3802</v>
      </c>
      <c r="G272" s="132" t="s">
        <v>3803</v>
      </c>
      <c r="H272" s="132" t="s">
        <v>3804</v>
      </c>
      <c r="I272" s="133"/>
      <c r="J272" s="134"/>
      <c r="K272" s="134"/>
      <c r="L272" s="134" t="s">
        <v>3805</v>
      </c>
      <c r="M272" s="134" t="s">
        <v>3805</v>
      </c>
      <c r="N272" s="135" t="s">
        <v>3805</v>
      </c>
      <c r="O272" s="136" t="s">
        <v>3805</v>
      </c>
      <c r="P272" s="105"/>
      <c r="Q272" s="152"/>
      <c r="R272" s="138"/>
      <c r="S272" s="132"/>
      <c r="T272" s="105"/>
      <c r="U272" s="132"/>
      <c r="V272" s="116"/>
      <c r="W272" s="117"/>
      <c r="X272" s="152">
        <v>20</v>
      </c>
      <c r="Y272" s="136"/>
      <c r="Z272" s="132"/>
      <c r="AA272" s="132"/>
      <c r="AB272" s="132"/>
      <c r="AC272" s="132"/>
      <c r="AD272" s="155">
        <v>42826</v>
      </c>
      <c r="AE272" s="108" t="s">
        <v>3026</v>
      </c>
    </row>
    <row r="273" spans="1:31" s="561" customFormat="1" ht="27" customHeight="1" x14ac:dyDescent="0.15">
      <c r="A273" s="547">
        <v>1110601182</v>
      </c>
      <c r="B273" s="544" t="s">
        <v>3024</v>
      </c>
      <c r="C273" s="545" t="s">
        <v>3801</v>
      </c>
      <c r="D273" s="545" t="s">
        <v>71</v>
      </c>
      <c r="E273" s="545" t="s">
        <v>12301</v>
      </c>
      <c r="F273" s="546" t="s">
        <v>2240</v>
      </c>
      <c r="G273" s="547" t="s">
        <v>3803</v>
      </c>
      <c r="H273" s="547" t="s">
        <v>3804</v>
      </c>
      <c r="I273" s="549" t="s">
        <v>49</v>
      </c>
      <c r="J273" s="549" t="s">
        <v>49</v>
      </c>
      <c r="K273" s="549" t="s">
        <v>49</v>
      </c>
      <c r="L273" s="549" t="s">
        <v>49</v>
      </c>
      <c r="M273" s="549" t="s">
        <v>49</v>
      </c>
      <c r="N273" s="550" t="s">
        <v>49</v>
      </c>
      <c r="O273" s="551" t="s">
        <v>49</v>
      </c>
      <c r="P273" s="569"/>
      <c r="Q273" s="552"/>
      <c r="R273" s="587"/>
      <c r="S273" s="547"/>
      <c r="T273" s="569"/>
      <c r="U273" s="547"/>
      <c r="V273" s="622"/>
      <c r="W273" s="623"/>
      <c r="X273" s="552"/>
      <c r="Y273" s="551"/>
      <c r="Z273" s="547"/>
      <c r="AA273" s="547" t="s">
        <v>49</v>
      </c>
      <c r="AB273" s="547"/>
      <c r="AC273" s="547"/>
      <c r="AD273" s="624">
        <v>46235</v>
      </c>
      <c r="AE273" s="545" t="s">
        <v>3026</v>
      </c>
    </row>
    <row r="274" spans="1:31" ht="27" customHeight="1" x14ac:dyDescent="0.15">
      <c r="A274" s="76">
        <v>1110601539</v>
      </c>
      <c r="B274" s="163" t="s">
        <v>5425</v>
      </c>
      <c r="C274" s="164" t="s">
        <v>5479</v>
      </c>
      <c r="D274" s="166" t="s">
        <v>71</v>
      </c>
      <c r="E274" s="166" t="s">
        <v>5480</v>
      </c>
      <c r="F274" s="167" t="s">
        <v>2240</v>
      </c>
      <c r="G274" s="168" t="s">
        <v>5481</v>
      </c>
      <c r="H274" s="168" t="s">
        <v>5482</v>
      </c>
      <c r="I274" s="178"/>
      <c r="J274" s="170" t="s">
        <v>49</v>
      </c>
      <c r="K274" s="170" t="s">
        <v>49</v>
      </c>
      <c r="L274" s="170" t="s">
        <v>49</v>
      </c>
      <c r="M274" s="170" t="s">
        <v>765</v>
      </c>
      <c r="N274" s="148" t="s">
        <v>765</v>
      </c>
      <c r="O274" s="92" t="s">
        <v>49</v>
      </c>
      <c r="P274" s="76"/>
      <c r="Q274" s="70"/>
      <c r="R274" s="92"/>
      <c r="S274" s="76"/>
      <c r="T274" s="76"/>
      <c r="U274" s="76"/>
      <c r="V274" s="103"/>
      <c r="W274" s="75"/>
      <c r="X274" s="70">
        <v>20</v>
      </c>
      <c r="Y274" s="92"/>
      <c r="Z274" s="76"/>
      <c r="AA274" s="76"/>
      <c r="AB274" s="76"/>
      <c r="AC274" s="76"/>
      <c r="AD274" s="145">
        <v>43800</v>
      </c>
      <c r="AE274" s="166" t="s">
        <v>5483</v>
      </c>
    </row>
    <row r="275" spans="1:31" ht="27" customHeight="1" x14ac:dyDescent="0.15">
      <c r="A275" s="105">
        <v>1110601539</v>
      </c>
      <c r="B275" s="106" t="s">
        <v>5425</v>
      </c>
      <c r="C275" s="107" t="s">
        <v>5479</v>
      </c>
      <c r="D275" s="108" t="s">
        <v>71</v>
      </c>
      <c r="E275" s="108" t="s">
        <v>5480</v>
      </c>
      <c r="F275" s="139" t="s">
        <v>2240</v>
      </c>
      <c r="G275" s="140" t="s">
        <v>5481</v>
      </c>
      <c r="H275" s="140" t="s">
        <v>5482</v>
      </c>
      <c r="I275" s="141"/>
      <c r="J275" s="142" t="s">
        <v>49</v>
      </c>
      <c r="K275" s="142" t="s">
        <v>49</v>
      </c>
      <c r="L275" s="142" t="s">
        <v>49</v>
      </c>
      <c r="M275" s="142" t="s">
        <v>765</v>
      </c>
      <c r="N275" s="143" t="s">
        <v>765</v>
      </c>
      <c r="O275" s="138" t="s">
        <v>49</v>
      </c>
      <c r="P275" s="105"/>
      <c r="Q275" s="137"/>
      <c r="R275" s="138"/>
      <c r="S275" s="105"/>
      <c r="T275" s="105"/>
      <c r="U275" s="105"/>
      <c r="V275" s="116"/>
      <c r="W275" s="117"/>
      <c r="X275" s="137"/>
      <c r="Y275" s="138"/>
      <c r="Z275" s="105"/>
      <c r="AA275" s="105"/>
      <c r="AB275" s="105" t="s">
        <v>4614</v>
      </c>
      <c r="AC275" s="105"/>
      <c r="AD275" s="118">
        <v>44378</v>
      </c>
      <c r="AE275" s="108" t="s">
        <v>5483</v>
      </c>
    </row>
    <row r="276" spans="1:31" ht="27" customHeight="1" x14ac:dyDescent="0.15">
      <c r="A276" s="105">
        <v>1110601547</v>
      </c>
      <c r="B276" s="106" t="s">
        <v>5465</v>
      </c>
      <c r="C276" s="107" t="s">
        <v>5466</v>
      </c>
      <c r="D276" s="108" t="s">
        <v>71</v>
      </c>
      <c r="E276" s="108" t="s">
        <v>5467</v>
      </c>
      <c r="F276" s="139" t="s">
        <v>5468</v>
      </c>
      <c r="G276" s="140" t="s">
        <v>5469</v>
      </c>
      <c r="H276" s="140" t="s">
        <v>5470</v>
      </c>
      <c r="I276" s="141"/>
      <c r="J276" s="142"/>
      <c r="K276" s="142"/>
      <c r="L276" s="142"/>
      <c r="M276" s="142" t="s">
        <v>765</v>
      </c>
      <c r="N276" s="143" t="s">
        <v>765</v>
      </c>
      <c r="O276" s="138" t="s">
        <v>5471</v>
      </c>
      <c r="P276" s="105"/>
      <c r="Q276" s="137"/>
      <c r="R276" s="138"/>
      <c r="S276" s="105"/>
      <c r="T276" s="105"/>
      <c r="U276" s="105"/>
      <c r="V276" s="116"/>
      <c r="W276" s="117"/>
      <c r="X276" s="137">
        <v>20</v>
      </c>
      <c r="Y276" s="138"/>
      <c r="Z276" s="105"/>
      <c r="AA276" s="105"/>
      <c r="AB276" s="105"/>
      <c r="AC276" s="105"/>
      <c r="AD276" s="144">
        <v>43800</v>
      </c>
      <c r="AE276" s="108" t="s">
        <v>5472</v>
      </c>
    </row>
    <row r="277" spans="1:31" s="65" customFormat="1" ht="27" customHeight="1" x14ac:dyDescent="0.15">
      <c r="A277" s="105">
        <v>1110601547</v>
      </c>
      <c r="B277" s="106" t="s">
        <v>5465</v>
      </c>
      <c r="C277" s="107" t="s">
        <v>5466</v>
      </c>
      <c r="D277" s="108" t="s">
        <v>71</v>
      </c>
      <c r="E277" s="108" t="s">
        <v>5467</v>
      </c>
      <c r="F277" s="139" t="s">
        <v>2240</v>
      </c>
      <c r="G277" s="140" t="s">
        <v>5469</v>
      </c>
      <c r="H277" s="140" t="s">
        <v>5470</v>
      </c>
      <c r="I277" s="141"/>
      <c r="J277" s="142"/>
      <c r="K277" s="142"/>
      <c r="L277" s="142"/>
      <c r="M277" s="142" t="s">
        <v>765</v>
      </c>
      <c r="N277" s="143" t="s">
        <v>765</v>
      </c>
      <c r="O277" s="138" t="s">
        <v>49</v>
      </c>
      <c r="P277" s="105"/>
      <c r="Q277" s="137"/>
      <c r="R277" s="138"/>
      <c r="S277" s="105"/>
      <c r="T277" s="105"/>
      <c r="U277" s="105"/>
      <c r="V277" s="116"/>
      <c r="W277" s="117"/>
      <c r="X277" s="137"/>
      <c r="Y277" s="138"/>
      <c r="Z277" s="105"/>
      <c r="AA277" s="105"/>
      <c r="AB277" s="105" t="s">
        <v>4614</v>
      </c>
      <c r="AC277" s="105"/>
      <c r="AD277" s="118">
        <v>44378</v>
      </c>
      <c r="AE277" s="108" t="s">
        <v>5472</v>
      </c>
    </row>
    <row r="278" spans="1:31" ht="27" customHeight="1" x14ac:dyDescent="0.15">
      <c r="A278" s="105">
        <v>1110601547</v>
      </c>
      <c r="B278" s="106" t="s">
        <v>5465</v>
      </c>
      <c r="C278" s="107" t="s">
        <v>5466</v>
      </c>
      <c r="D278" s="108" t="s">
        <v>71</v>
      </c>
      <c r="E278" s="108" t="s">
        <v>5467</v>
      </c>
      <c r="F278" s="139" t="s">
        <v>2240</v>
      </c>
      <c r="G278" s="140" t="s">
        <v>5469</v>
      </c>
      <c r="H278" s="140" t="s">
        <v>5470</v>
      </c>
      <c r="I278" s="141"/>
      <c r="J278" s="142"/>
      <c r="K278" s="142"/>
      <c r="L278" s="142"/>
      <c r="M278" s="142" t="s">
        <v>765</v>
      </c>
      <c r="N278" s="143" t="s">
        <v>765</v>
      </c>
      <c r="O278" s="138" t="s">
        <v>49</v>
      </c>
      <c r="P278" s="105"/>
      <c r="Q278" s="137"/>
      <c r="R278" s="138"/>
      <c r="S278" s="105"/>
      <c r="T278" s="105"/>
      <c r="U278" s="105"/>
      <c r="V278" s="116"/>
      <c r="W278" s="117"/>
      <c r="X278" s="137"/>
      <c r="Y278" s="138"/>
      <c r="Z278" s="105"/>
      <c r="AA278" s="105"/>
      <c r="AB278" s="105"/>
      <c r="AC278" s="105">
        <v>10</v>
      </c>
      <c r="AD278" s="144">
        <v>46082</v>
      </c>
      <c r="AE278" s="108" t="s">
        <v>5472</v>
      </c>
    </row>
    <row r="279" spans="1:31" s="65" customFormat="1" ht="27" customHeight="1" x14ac:dyDescent="0.15">
      <c r="A279" s="105">
        <v>1110601588</v>
      </c>
      <c r="B279" s="130" t="s">
        <v>6332</v>
      </c>
      <c r="C279" s="108" t="s">
        <v>6178</v>
      </c>
      <c r="D279" s="108" t="s">
        <v>71</v>
      </c>
      <c r="E279" s="108" t="s">
        <v>6179</v>
      </c>
      <c r="F279" s="131" t="s">
        <v>2342</v>
      </c>
      <c r="G279" s="132" t="s">
        <v>6180</v>
      </c>
      <c r="H279" s="132" t="s">
        <v>6181</v>
      </c>
      <c r="I279" s="133"/>
      <c r="J279" s="134"/>
      <c r="K279" s="134"/>
      <c r="L279" s="134"/>
      <c r="M279" s="134" t="s">
        <v>49</v>
      </c>
      <c r="N279" s="135" t="s">
        <v>49</v>
      </c>
      <c r="O279" s="136"/>
      <c r="P279" s="105"/>
      <c r="Q279" s="137"/>
      <c r="R279" s="138"/>
      <c r="S279" s="105"/>
      <c r="T279" s="105">
        <v>20</v>
      </c>
      <c r="U279" s="105"/>
      <c r="V279" s="116"/>
      <c r="W279" s="117"/>
      <c r="X279" s="116"/>
      <c r="Y279" s="138"/>
      <c r="Z279" s="105"/>
      <c r="AA279" s="105"/>
      <c r="AB279" s="105"/>
      <c r="AC279" s="105"/>
      <c r="AD279" s="118">
        <v>44013</v>
      </c>
      <c r="AE279" s="108" t="s">
        <v>6182</v>
      </c>
    </row>
    <row r="280" spans="1:31" ht="27" customHeight="1" x14ac:dyDescent="0.15">
      <c r="A280" s="105">
        <v>1110601604</v>
      </c>
      <c r="B280" s="130" t="s">
        <v>6261</v>
      </c>
      <c r="C280" s="108" t="s">
        <v>6262</v>
      </c>
      <c r="D280" s="108" t="s">
        <v>71</v>
      </c>
      <c r="E280" s="108" t="s">
        <v>6263</v>
      </c>
      <c r="F280" s="131" t="s">
        <v>3174</v>
      </c>
      <c r="G280" s="132" t="s">
        <v>6264</v>
      </c>
      <c r="H280" s="132" t="s">
        <v>6264</v>
      </c>
      <c r="I280" s="133"/>
      <c r="J280" s="134"/>
      <c r="K280" s="134"/>
      <c r="L280" s="134"/>
      <c r="M280" s="134" t="s">
        <v>49</v>
      </c>
      <c r="N280" s="135" t="s">
        <v>49</v>
      </c>
      <c r="O280" s="136"/>
      <c r="P280" s="105"/>
      <c r="Q280" s="137"/>
      <c r="R280" s="138"/>
      <c r="S280" s="105"/>
      <c r="T280" s="105"/>
      <c r="U280" s="105"/>
      <c r="V280" s="137">
        <v>20</v>
      </c>
      <c r="W280" s="138"/>
      <c r="X280" s="137"/>
      <c r="Y280" s="138"/>
      <c r="Z280" s="105"/>
      <c r="AA280" s="105"/>
      <c r="AB280" s="105"/>
      <c r="AC280" s="105"/>
      <c r="AD280" s="118">
        <v>44075</v>
      </c>
      <c r="AE280" s="108" t="s">
        <v>6265</v>
      </c>
    </row>
    <row r="281" spans="1:31" ht="27" customHeight="1" x14ac:dyDescent="0.15">
      <c r="A281" s="132">
        <v>1110601638</v>
      </c>
      <c r="B281" s="130" t="s">
        <v>6489</v>
      </c>
      <c r="C281" s="108" t="s">
        <v>6490</v>
      </c>
      <c r="D281" s="108" t="s">
        <v>71</v>
      </c>
      <c r="E281" s="108" t="s">
        <v>7886</v>
      </c>
      <c r="F281" s="131" t="s">
        <v>2240</v>
      </c>
      <c r="G281" s="132" t="s">
        <v>6491</v>
      </c>
      <c r="H281" s="132" t="s">
        <v>6492</v>
      </c>
      <c r="I281" s="133"/>
      <c r="J281" s="134"/>
      <c r="K281" s="134"/>
      <c r="L281" s="134"/>
      <c r="M281" s="134" t="s">
        <v>49</v>
      </c>
      <c r="N281" s="135" t="s">
        <v>49</v>
      </c>
      <c r="O281" s="136" t="s">
        <v>49</v>
      </c>
      <c r="P281" s="105"/>
      <c r="Q281" s="152"/>
      <c r="R281" s="138"/>
      <c r="S281" s="132"/>
      <c r="T281" s="105"/>
      <c r="U281" s="132"/>
      <c r="V281" s="116"/>
      <c r="W281" s="117"/>
      <c r="X281" s="152"/>
      <c r="Y281" s="136"/>
      <c r="Z281" s="132">
        <v>10</v>
      </c>
      <c r="AA281" s="132">
        <v>10</v>
      </c>
      <c r="AB281" s="132"/>
      <c r="AC281" s="132"/>
      <c r="AD281" s="118">
        <v>44197</v>
      </c>
      <c r="AE281" s="108" t="s">
        <v>7887</v>
      </c>
    </row>
    <row r="282" spans="1:31" ht="27" customHeight="1" x14ac:dyDescent="0.15">
      <c r="A282" s="105">
        <v>1110601653</v>
      </c>
      <c r="B282" s="130" t="s">
        <v>6620</v>
      </c>
      <c r="C282" s="108" t="s">
        <v>6621</v>
      </c>
      <c r="D282" s="108" t="s">
        <v>71</v>
      </c>
      <c r="E282" s="108" t="s">
        <v>6622</v>
      </c>
      <c r="F282" s="131" t="s">
        <v>3185</v>
      </c>
      <c r="G282" s="132" t="s">
        <v>6623</v>
      </c>
      <c r="H282" s="132" t="s">
        <v>6624</v>
      </c>
      <c r="I282" s="133"/>
      <c r="J282" s="134"/>
      <c r="K282" s="134"/>
      <c r="L282" s="134" t="s">
        <v>6433</v>
      </c>
      <c r="M282" s="134" t="s">
        <v>49</v>
      </c>
      <c r="N282" s="135" t="s">
        <v>49</v>
      </c>
      <c r="O282" s="136"/>
      <c r="P282" s="105"/>
      <c r="Q282" s="137"/>
      <c r="R282" s="138"/>
      <c r="S282" s="105"/>
      <c r="T282" s="105"/>
      <c r="U282" s="105"/>
      <c r="V282" s="116"/>
      <c r="W282" s="117"/>
      <c r="X282" s="116"/>
      <c r="Y282" s="138"/>
      <c r="Z282" s="105"/>
      <c r="AA282" s="105">
        <v>20</v>
      </c>
      <c r="AB282" s="105"/>
      <c r="AC282" s="105"/>
      <c r="AD282" s="118">
        <v>44287</v>
      </c>
      <c r="AE282" s="108" t="s">
        <v>6625</v>
      </c>
    </row>
    <row r="283" spans="1:31" s="65" customFormat="1" ht="27" customHeight="1" x14ac:dyDescent="0.15">
      <c r="A283" s="105">
        <v>1110601646</v>
      </c>
      <c r="B283" s="130" t="s">
        <v>6639</v>
      </c>
      <c r="C283" s="108" t="s">
        <v>6640</v>
      </c>
      <c r="D283" s="108" t="s">
        <v>71</v>
      </c>
      <c r="E283" s="108" t="s">
        <v>6641</v>
      </c>
      <c r="F283" s="131" t="s">
        <v>2240</v>
      </c>
      <c r="G283" s="132" t="s">
        <v>6642</v>
      </c>
      <c r="H283" s="132" t="s">
        <v>6642</v>
      </c>
      <c r="I283" s="133"/>
      <c r="J283" s="134"/>
      <c r="K283" s="134"/>
      <c r="L283" s="134"/>
      <c r="M283" s="134"/>
      <c r="N283" s="135" t="s">
        <v>49</v>
      </c>
      <c r="O283" s="136"/>
      <c r="P283" s="105"/>
      <c r="Q283" s="137"/>
      <c r="R283" s="138"/>
      <c r="S283" s="105"/>
      <c r="T283" s="105"/>
      <c r="U283" s="105"/>
      <c r="V283" s="116"/>
      <c r="W283" s="117"/>
      <c r="X283" s="116"/>
      <c r="Y283" s="138"/>
      <c r="Z283" s="105"/>
      <c r="AA283" s="105">
        <v>20</v>
      </c>
      <c r="AB283" s="105"/>
      <c r="AC283" s="105"/>
      <c r="AD283" s="118">
        <v>44287</v>
      </c>
      <c r="AE283" s="108" t="s">
        <v>6643</v>
      </c>
    </row>
    <row r="284" spans="1:31" s="65" customFormat="1" ht="27" customHeight="1" x14ac:dyDescent="0.15">
      <c r="A284" s="105">
        <v>1110601661</v>
      </c>
      <c r="B284" s="106" t="s">
        <v>6758</v>
      </c>
      <c r="C284" s="107" t="s">
        <v>6754</v>
      </c>
      <c r="D284" s="108" t="s">
        <v>71</v>
      </c>
      <c r="E284" s="108" t="s">
        <v>6755</v>
      </c>
      <c r="F284" s="139" t="s">
        <v>6756</v>
      </c>
      <c r="G284" s="140" t="s">
        <v>7457</v>
      </c>
      <c r="H284" s="140" t="s">
        <v>7916</v>
      </c>
      <c r="I284" s="141"/>
      <c r="J284" s="142"/>
      <c r="K284" s="142"/>
      <c r="L284" s="142"/>
      <c r="M284" s="142" t="s">
        <v>49</v>
      </c>
      <c r="N284" s="142" t="s">
        <v>49</v>
      </c>
      <c r="O284" s="138"/>
      <c r="P284" s="105"/>
      <c r="Q284" s="137"/>
      <c r="R284" s="138"/>
      <c r="S284" s="105"/>
      <c r="T284" s="105">
        <v>20</v>
      </c>
      <c r="U284" s="105"/>
      <c r="V284" s="137"/>
      <c r="W284" s="138"/>
      <c r="X284" s="137"/>
      <c r="Y284" s="138"/>
      <c r="Z284" s="105"/>
      <c r="AA284" s="105"/>
      <c r="AB284" s="105"/>
      <c r="AC284" s="105"/>
      <c r="AD284" s="144">
        <v>44317</v>
      </c>
      <c r="AE284" s="108" t="s">
        <v>6757</v>
      </c>
    </row>
    <row r="285" spans="1:31" s="65" customFormat="1" ht="27" customHeight="1" x14ac:dyDescent="0.15">
      <c r="A285" s="132">
        <v>1110601679</v>
      </c>
      <c r="B285" s="130" t="s">
        <v>6223</v>
      </c>
      <c r="C285" s="108" t="s">
        <v>6759</v>
      </c>
      <c r="D285" s="108" t="s">
        <v>71</v>
      </c>
      <c r="E285" s="108" t="s">
        <v>6760</v>
      </c>
      <c r="F285" s="131" t="s">
        <v>6761</v>
      </c>
      <c r="G285" s="132" t="s">
        <v>10468</v>
      </c>
      <c r="H285" s="132" t="s">
        <v>10467</v>
      </c>
      <c r="I285" s="116"/>
      <c r="J285" s="154"/>
      <c r="K285" s="154"/>
      <c r="L285" s="154"/>
      <c r="M285" s="154" t="s">
        <v>49</v>
      </c>
      <c r="N285" s="143" t="s">
        <v>49</v>
      </c>
      <c r="O285" s="138"/>
      <c r="P285" s="105"/>
      <c r="Q285" s="137"/>
      <c r="R285" s="138"/>
      <c r="S285" s="105"/>
      <c r="T285" s="105">
        <v>10</v>
      </c>
      <c r="U285" s="105"/>
      <c r="V285" s="137"/>
      <c r="W285" s="138"/>
      <c r="X285" s="137"/>
      <c r="Y285" s="138"/>
      <c r="Z285" s="105"/>
      <c r="AA285" s="105">
        <v>10</v>
      </c>
      <c r="AB285" s="105"/>
      <c r="AC285" s="105"/>
      <c r="AD285" s="144">
        <v>44317</v>
      </c>
      <c r="AE285" s="108" t="s">
        <v>6762</v>
      </c>
    </row>
    <row r="286" spans="1:31" ht="27" customHeight="1" x14ac:dyDescent="0.15">
      <c r="A286" s="132">
        <v>1110601711</v>
      </c>
      <c r="B286" s="130" t="s">
        <v>7152</v>
      </c>
      <c r="C286" s="108" t="s">
        <v>7153</v>
      </c>
      <c r="D286" s="108" t="s">
        <v>71</v>
      </c>
      <c r="E286" s="108" t="s">
        <v>7154</v>
      </c>
      <c r="F286" s="131" t="s">
        <v>6356</v>
      </c>
      <c r="G286" s="132" t="s">
        <v>7155</v>
      </c>
      <c r="H286" s="132"/>
      <c r="I286" s="133"/>
      <c r="J286" s="134"/>
      <c r="K286" s="134"/>
      <c r="L286" s="134"/>
      <c r="M286" s="134" t="s">
        <v>49</v>
      </c>
      <c r="N286" s="135" t="s">
        <v>49</v>
      </c>
      <c r="O286" s="136" t="s">
        <v>49</v>
      </c>
      <c r="P286" s="105"/>
      <c r="Q286" s="152"/>
      <c r="R286" s="138"/>
      <c r="S286" s="132"/>
      <c r="T286" s="105"/>
      <c r="U286" s="132"/>
      <c r="V286" s="116"/>
      <c r="W286" s="117"/>
      <c r="X286" s="152"/>
      <c r="Y286" s="136"/>
      <c r="Z286" s="132">
        <v>15</v>
      </c>
      <c r="AA286" s="132"/>
      <c r="AB286" s="132"/>
      <c r="AC286" s="132"/>
      <c r="AD286" s="118">
        <v>44531</v>
      </c>
      <c r="AE286" s="108" t="s">
        <v>7156</v>
      </c>
    </row>
    <row r="287" spans="1:31" s="65" customFormat="1" ht="27" customHeight="1" x14ac:dyDescent="0.15">
      <c r="A287" s="132">
        <v>1110601729</v>
      </c>
      <c r="B287" s="130" t="s">
        <v>7214</v>
      </c>
      <c r="C287" s="108" t="s">
        <v>7215</v>
      </c>
      <c r="D287" s="108" t="s">
        <v>71</v>
      </c>
      <c r="E287" s="108" t="s">
        <v>7216</v>
      </c>
      <c r="F287" s="131" t="s">
        <v>3185</v>
      </c>
      <c r="G287" s="132" t="s">
        <v>7217</v>
      </c>
      <c r="H287" s="132" t="s">
        <v>7218</v>
      </c>
      <c r="I287" s="133"/>
      <c r="J287" s="134"/>
      <c r="K287" s="134"/>
      <c r="L287" s="134"/>
      <c r="M287" s="134" t="s">
        <v>49</v>
      </c>
      <c r="N287" s="135" t="s">
        <v>49</v>
      </c>
      <c r="O287" s="136" t="s">
        <v>49</v>
      </c>
      <c r="P287" s="105"/>
      <c r="Q287" s="152"/>
      <c r="R287" s="138"/>
      <c r="S287" s="132"/>
      <c r="T287" s="105"/>
      <c r="U287" s="132"/>
      <c r="V287" s="116"/>
      <c r="W287" s="117"/>
      <c r="X287" s="152"/>
      <c r="Y287" s="136"/>
      <c r="Z287" s="132">
        <v>20</v>
      </c>
      <c r="AA287" s="132"/>
      <c r="AB287" s="132"/>
      <c r="AC287" s="132"/>
      <c r="AD287" s="144">
        <v>44562</v>
      </c>
      <c r="AE287" s="108" t="s">
        <v>7219</v>
      </c>
    </row>
    <row r="288" spans="1:31" s="65" customFormat="1" ht="27" customHeight="1" x14ac:dyDescent="0.15">
      <c r="A288" s="105">
        <v>1110601737</v>
      </c>
      <c r="B288" s="106" t="s">
        <v>7308</v>
      </c>
      <c r="C288" s="107" t="s">
        <v>4570</v>
      </c>
      <c r="D288" s="108" t="s">
        <v>71</v>
      </c>
      <c r="E288" s="108" t="s">
        <v>8815</v>
      </c>
      <c r="F288" s="139" t="s">
        <v>8816</v>
      </c>
      <c r="G288" s="140" t="s">
        <v>8817</v>
      </c>
      <c r="H288" s="140" t="s">
        <v>8818</v>
      </c>
      <c r="I288" s="141"/>
      <c r="J288" s="142"/>
      <c r="K288" s="142"/>
      <c r="L288" s="142"/>
      <c r="M288" s="142" t="s">
        <v>765</v>
      </c>
      <c r="N288" s="142" t="s">
        <v>765</v>
      </c>
      <c r="O288" s="143"/>
      <c r="P288" s="105"/>
      <c r="Q288" s="137"/>
      <c r="R288" s="138"/>
      <c r="S288" s="105"/>
      <c r="T288" s="105">
        <v>20</v>
      </c>
      <c r="U288" s="105"/>
      <c r="V288" s="137"/>
      <c r="W288" s="138"/>
      <c r="X288" s="137"/>
      <c r="Y288" s="138"/>
      <c r="Z288" s="105"/>
      <c r="AA288" s="105"/>
      <c r="AB288" s="105"/>
      <c r="AC288" s="105"/>
      <c r="AD288" s="118">
        <v>44621</v>
      </c>
      <c r="AE288" s="108" t="s">
        <v>8819</v>
      </c>
    </row>
    <row r="289" spans="1:31" s="540" customFormat="1" ht="27" customHeight="1" x14ac:dyDescent="0.15">
      <c r="A289" s="564">
        <v>1110601752</v>
      </c>
      <c r="B289" s="525" t="s">
        <v>7343</v>
      </c>
      <c r="C289" s="526" t="s">
        <v>9126</v>
      </c>
      <c r="D289" s="526" t="s">
        <v>71</v>
      </c>
      <c r="E289" s="526" t="s">
        <v>6907</v>
      </c>
      <c r="F289" s="527" t="s">
        <v>3185</v>
      </c>
      <c r="G289" s="528" t="s">
        <v>3186</v>
      </c>
      <c r="H289" s="528" t="s">
        <v>3187</v>
      </c>
      <c r="I289" s="529"/>
      <c r="J289" s="530"/>
      <c r="K289" s="530"/>
      <c r="L289" s="530"/>
      <c r="M289" s="530" t="s">
        <v>49</v>
      </c>
      <c r="N289" s="531" t="s">
        <v>49</v>
      </c>
      <c r="O289" s="532" t="s">
        <v>49</v>
      </c>
      <c r="P289" s="564"/>
      <c r="Q289" s="565"/>
      <c r="R289" s="566"/>
      <c r="S289" s="564"/>
      <c r="T289" s="564"/>
      <c r="U289" s="564"/>
      <c r="V289" s="607"/>
      <c r="W289" s="566"/>
      <c r="X289" s="582">
        <v>16</v>
      </c>
      <c r="Y289" s="566"/>
      <c r="Z289" s="564"/>
      <c r="AA289" s="564"/>
      <c r="AB289" s="564"/>
      <c r="AC289" s="564"/>
      <c r="AD289" s="626">
        <v>44652</v>
      </c>
      <c r="AE289" s="526" t="s">
        <v>3188</v>
      </c>
    </row>
    <row r="290" spans="1:31" s="65" customFormat="1" ht="27" customHeight="1" x14ac:dyDescent="0.15">
      <c r="A290" s="105">
        <v>1110601752</v>
      </c>
      <c r="B290" s="130" t="s">
        <v>7343</v>
      </c>
      <c r="C290" s="108" t="s">
        <v>9126</v>
      </c>
      <c r="D290" s="108" t="s">
        <v>71</v>
      </c>
      <c r="E290" s="108" t="s">
        <v>6907</v>
      </c>
      <c r="F290" s="131" t="s">
        <v>3185</v>
      </c>
      <c r="G290" s="132" t="s">
        <v>3186</v>
      </c>
      <c r="H290" s="132" t="s">
        <v>3187</v>
      </c>
      <c r="I290" s="133"/>
      <c r="J290" s="134"/>
      <c r="K290" s="134"/>
      <c r="L290" s="134"/>
      <c r="M290" s="134" t="s">
        <v>49</v>
      </c>
      <c r="N290" s="135" t="s">
        <v>49</v>
      </c>
      <c r="O290" s="136" t="s">
        <v>49</v>
      </c>
      <c r="P290" s="105"/>
      <c r="Q290" s="137"/>
      <c r="R290" s="138"/>
      <c r="S290" s="105"/>
      <c r="T290" s="105"/>
      <c r="U290" s="105"/>
      <c r="V290" s="137"/>
      <c r="W290" s="138"/>
      <c r="X290" s="137"/>
      <c r="Y290" s="138"/>
      <c r="Z290" s="105"/>
      <c r="AA290" s="105"/>
      <c r="AB290" s="105" t="s">
        <v>4614</v>
      </c>
      <c r="AC290" s="105"/>
      <c r="AD290" s="155">
        <v>44652</v>
      </c>
      <c r="AE290" s="108" t="s">
        <v>3188</v>
      </c>
    </row>
    <row r="291" spans="1:31" s="65" customFormat="1" ht="27" customHeight="1" x14ac:dyDescent="0.15">
      <c r="A291" s="132">
        <v>1110601794</v>
      </c>
      <c r="B291" s="130" t="s">
        <v>7705</v>
      </c>
      <c r="C291" s="108" t="s">
        <v>7706</v>
      </c>
      <c r="D291" s="108" t="s">
        <v>7531</v>
      </c>
      <c r="E291" s="108" t="s">
        <v>7707</v>
      </c>
      <c r="F291" s="131" t="s">
        <v>6356</v>
      </c>
      <c r="G291" s="132" t="s">
        <v>7708</v>
      </c>
      <c r="H291" s="132" t="s">
        <v>7709</v>
      </c>
      <c r="I291" s="133"/>
      <c r="J291" s="134"/>
      <c r="K291" s="134"/>
      <c r="L291" s="134"/>
      <c r="M291" s="134" t="s">
        <v>49</v>
      </c>
      <c r="N291" s="135" t="s">
        <v>49</v>
      </c>
      <c r="O291" s="136"/>
      <c r="P291" s="105"/>
      <c r="Q291" s="137"/>
      <c r="R291" s="138"/>
      <c r="S291" s="105"/>
      <c r="T291" s="105">
        <v>8</v>
      </c>
      <c r="U291" s="105"/>
      <c r="V291" s="116"/>
      <c r="W291" s="117"/>
      <c r="X291" s="116"/>
      <c r="Y291" s="138"/>
      <c r="Z291" s="105"/>
      <c r="AA291" s="105">
        <v>12</v>
      </c>
      <c r="AB291" s="105"/>
      <c r="AC291" s="105"/>
      <c r="AD291" s="118">
        <v>44774</v>
      </c>
      <c r="AE291" s="108" t="s">
        <v>7710</v>
      </c>
    </row>
    <row r="292" spans="1:31" s="65" customFormat="1" ht="27" customHeight="1" x14ac:dyDescent="0.15">
      <c r="A292" s="203">
        <v>1110601802</v>
      </c>
      <c r="B292" s="204" t="s">
        <v>7711</v>
      </c>
      <c r="C292" s="162" t="s">
        <v>8117</v>
      </c>
      <c r="D292" s="162" t="s">
        <v>7531</v>
      </c>
      <c r="E292" s="162" t="s">
        <v>7712</v>
      </c>
      <c r="F292" s="205" t="s">
        <v>7713</v>
      </c>
      <c r="G292" s="206" t="s">
        <v>7714</v>
      </c>
      <c r="H292" s="206" t="s">
        <v>7715</v>
      </c>
      <c r="I292" s="221"/>
      <c r="J292" s="222"/>
      <c r="K292" s="222"/>
      <c r="L292" s="222"/>
      <c r="M292" s="222" t="s">
        <v>6457</v>
      </c>
      <c r="N292" s="208"/>
      <c r="O292" s="210"/>
      <c r="P292" s="175"/>
      <c r="Q292" s="209"/>
      <c r="R292" s="210"/>
      <c r="S292" s="175"/>
      <c r="T292" s="175">
        <v>20</v>
      </c>
      <c r="U292" s="175"/>
      <c r="V292" s="209"/>
      <c r="W292" s="210"/>
      <c r="X292" s="209"/>
      <c r="Y292" s="210"/>
      <c r="Z292" s="175"/>
      <c r="AA292" s="175"/>
      <c r="AB292" s="175"/>
      <c r="AC292" s="175"/>
      <c r="AD292" s="211">
        <v>44774</v>
      </c>
      <c r="AE292" s="162" t="s">
        <v>7716</v>
      </c>
    </row>
    <row r="293" spans="1:31" ht="27" customHeight="1" x14ac:dyDescent="0.15">
      <c r="A293" s="203">
        <v>1110601828</v>
      </c>
      <c r="B293" s="204" t="s">
        <v>8036</v>
      </c>
      <c r="C293" s="162" t="s">
        <v>8037</v>
      </c>
      <c r="D293" s="162" t="s">
        <v>7531</v>
      </c>
      <c r="E293" s="162" t="s">
        <v>8038</v>
      </c>
      <c r="F293" s="205" t="s">
        <v>8039</v>
      </c>
      <c r="G293" s="206" t="s">
        <v>8040</v>
      </c>
      <c r="H293" s="206" t="s">
        <v>8041</v>
      </c>
      <c r="I293" s="221"/>
      <c r="J293" s="222"/>
      <c r="K293" s="222"/>
      <c r="L293" s="222"/>
      <c r="M293" s="222" t="s">
        <v>765</v>
      </c>
      <c r="N293" s="208" t="s">
        <v>765</v>
      </c>
      <c r="O293" s="138" t="s">
        <v>765</v>
      </c>
      <c r="P293" s="175"/>
      <c r="Q293" s="116"/>
      <c r="R293" s="210"/>
      <c r="S293" s="105"/>
      <c r="T293" s="105"/>
      <c r="U293" s="105"/>
      <c r="V293" s="137"/>
      <c r="W293" s="138"/>
      <c r="X293" s="137"/>
      <c r="Y293" s="138"/>
      <c r="Z293" s="105"/>
      <c r="AA293" s="105">
        <v>20</v>
      </c>
      <c r="AB293" s="105"/>
      <c r="AC293" s="175"/>
      <c r="AD293" s="211">
        <v>44927</v>
      </c>
      <c r="AE293" s="162" t="s">
        <v>8042</v>
      </c>
    </row>
    <row r="294" spans="1:31" ht="27" customHeight="1" x14ac:dyDescent="0.15">
      <c r="A294" s="105">
        <v>1110601851</v>
      </c>
      <c r="B294" s="106" t="s">
        <v>7490</v>
      </c>
      <c r="C294" s="107" t="s">
        <v>8207</v>
      </c>
      <c r="D294" s="108" t="s">
        <v>7531</v>
      </c>
      <c r="E294" s="108" t="s">
        <v>8208</v>
      </c>
      <c r="F294" s="139" t="s">
        <v>2240</v>
      </c>
      <c r="G294" s="139" t="s">
        <v>8209</v>
      </c>
      <c r="H294" s="139" t="s">
        <v>8210</v>
      </c>
      <c r="I294" s="141"/>
      <c r="J294" s="142"/>
      <c r="K294" s="142"/>
      <c r="L294" s="142"/>
      <c r="M294" s="142" t="s">
        <v>765</v>
      </c>
      <c r="N294" s="142" t="s">
        <v>765</v>
      </c>
      <c r="O294" s="223"/>
      <c r="P294" s="105"/>
      <c r="Q294" s="224"/>
      <c r="R294" s="138"/>
      <c r="S294" s="225"/>
      <c r="T294" s="225"/>
      <c r="U294" s="225"/>
      <c r="V294" s="224">
        <v>20</v>
      </c>
      <c r="W294" s="226"/>
      <c r="X294" s="224"/>
      <c r="Y294" s="226"/>
      <c r="Z294" s="225"/>
      <c r="AA294" s="225"/>
      <c r="AB294" s="225"/>
      <c r="AC294" s="105"/>
      <c r="AD294" s="118">
        <v>45017</v>
      </c>
      <c r="AE294" s="214" t="s">
        <v>8211</v>
      </c>
    </row>
    <row r="295" spans="1:31" s="65" customFormat="1" ht="27" customHeight="1" x14ac:dyDescent="0.15">
      <c r="A295" s="203">
        <v>1110601885</v>
      </c>
      <c r="B295" s="204" t="s">
        <v>8504</v>
      </c>
      <c r="C295" s="162" t="s">
        <v>8505</v>
      </c>
      <c r="D295" s="162" t="s">
        <v>7531</v>
      </c>
      <c r="E295" s="162" t="s">
        <v>8506</v>
      </c>
      <c r="F295" s="205" t="s">
        <v>2240</v>
      </c>
      <c r="G295" s="206" t="s">
        <v>8507</v>
      </c>
      <c r="H295" s="206"/>
      <c r="I295" s="221"/>
      <c r="J295" s="222"/>
      <c r="K295" s="222"/>
      <c r="L295" s="222"/>
      <c r="M295" s="222"/>
      <c r="N295" s="208" t="s">
        <v>765</v>
      </c>
      <c r="O295" s="210"/>
      <c r="P295" s="175"/>
      <c r="Q295" s="209"/>
      <c r="R295" s="210"/>
      <c r="S295" s="175"/>
      <c r="T295" s="175"/>
      <c r="U295" s="175"/>
      <c r="V295" s="209"/>
      <c r="W295" s="210"/>
      <c r="X295" s="209"/>
      <c r="Y295" s="210"/>
      <c r="Z295" s="175"/>
      <c r="AA295" s="175">
        <v>20</v>
      </c>
      <c r="AB295" s="175"/>
      <c r="AC295" s="175"/>
      <c r="AD295" s="211">
        <v>45139</v>
      </c>
      <c r="AE295" s="162" t="s">
        <v>8508</v>
      </c>
    </row>
    <row r="296" spans="1:31" ht="27" customHeight="1" x14ac:dyDescent="0.15">
      <c r="A296" s="105">
        <v>1110601901</v>
      </c>
      <c r="B296" s="106" t="s">
        <v>8805</v>
      </c>
      <c r="C296" s="107" t="s">
        <v>8806</v>
      </c>
      <c r="D296" s="108" t="s">
        <v>71</v>
      </c>
      <c r="E296" s="108" t="s">
        <v>8807</v>
      </c>
      <c r="F296" s="139" t="s">
        <v>7309</v>
      </c>
      <c r="G296" s="140" t="s">
        <v>8808</v>
      </c>
      <c r="H296" s="140" t="s">
        <v>8808</v>
      </c>
      <c r="I296" s="141"/>
      <c r="J296" s="142"/>
      <c r="K296" s="142"/>
      <c r="L296" s="142"/>
      <c r="M296" s="142" t="s">
        <v>765</v>
      </c>
      <c r="N296" s="143" t="s">
        <v>765</v>
      </c>
      <c r="O296" s="138"/>
      <c r="P296" s="105"/>
      <c r="Q296" s="137"/>
      <c r="R296" s="138"/>
      <c r="S296" s="105"/>
      <c r="T296" s="105">
        <v>20</v>
      </c>
      <c r="U296" s="105"/>
      <c r="V296" s="137"/>
      <c r="W296" s="138"/>
      <c r="X296" s="137"/>
      <c r="Y296" s="138"/>
      <c r="Z296" s="105"/>
      <c r="AA296" s="105"/>
      <c r="AB296" s="105"/>
      <c r="AC296" s="105"/>
      <c r="AD296" s="118">
        <v>45261</v>
      </c>
      <c r="AE296" s="108" t="s">
        <v>8809</v>
      </c>
    </row>
    <row r="297" spans="1:31" ht="27" customHeight="1" x14ac:dyDescent="0.15">
      <c r="A297" s="76">
        <v>1110601919</v>
      </c>
      <c r="B297" s="163" t="s">
        <v>8744</v>
      </c>
      <c r="C297" s="164" t="s">
        <v>8745</v>
      </c>
      <c r="D297" s="166" t="s">
        <v>71</v>
      </c>
      <c r="E297" s="166" t="s">
        <v>12067</v>
      </c>
      <c r="F297" s="167" t="s">
        <v>2240</v>
      </c>
      <c r="G297" s="168" t="s">
        <v>8746</v>
      </c>
      <c r="H297" s="168" t="s">
        <v>8747</v>
      </c>
      <c r="I297" s="178"/>
      <c r="J297" s="170"/>
      <c r="K297" s="170"/>
      <c r="L297" s="170"/>
      <c r="M297" s="170" t="s">
        <v>49</v>
      </c>
      <c r="N297" s="148" t="s">
        <v>765</v>
      </c>
      <c r="O297" s="170" t="s">
        <v>49</v>
      </c>
      <c r="P297" s="76"/>
      <c r="Q297" s="70"/>
      <c r="R297" s="92"/>
      <c r="S297" s="76"/>
      <c r="T297" s="76"/>
      <c r="U297" s="76"/>
      <c r="V297" s="103"/>
      <c r="W297" s="75"/>
      <c r="X297" s="70">
        <v>20</v>
      </c>
      <c r="Y297" s="92"/>
      <c r="Z297" s="76"/>
      <c r="AA297" s="76"/>
      <c r="AB297" s="76"/>
      <c r="AC297" s="76"/>
      <c r="AD297" s="145">
        <v>45231</v>
      </c>
      <c r="AE297" s="166" t="s">
        <v>8748</v>
      </c>
    </row>
    <row r="298" spans="1:31" s="65" customFormat="1" ht="27" customHeight="1" x14ac:dyDescent="0.15">
      <c r="A298" s="76">
        <v>1110601919</v>
      </c>
      <c r="B298" s="163" t="s">
        <v>8744</v>
      </c>
      <c r="C298" s="164" t="s">
        <v>8745</v>
      </c>
      <c r="D298" s="166" t="s">
        <v>71</v>
      </c>
      <c r="E298" s="166" t="s">
        <v>12067</v>
      </c>
      <c r="F298" s="167" t="s">
        <v>2240</v>
      </c>
      <c r="G298" s="168" t="s">
        <v>8746</v>
      </c>
      <c r="H298" s="168" t="s">
        <v>8747</v>
      </c>
      <c r="I298" s="178"/>
      <c r="J298" s="170"/>
      <c r="K298" s="170"/>
      <c r="L298" s="170"/>
      <c r="M298" s="170" t="s">
        <v>49</v>
      </c>
      <c r="N298" s="148" t="s">
        <v>765</v>
      </c>
      <c r="O298" s="170" t="s">
        <v>49</v>
      </c>
      <c r="P298" s="76"/>
      <c r="Q298" s="70"/>
      <c r="R298" s="92"/>
      <c r="S298" s="76"/>
      <c r="T298" s="76"/>
      <c r="U298" s="76"/>
      <c r="V298" s="103"/>
      <c r="W298" s="75"/>
      <c r="X298" s="70"/>
      <c r="Y298" s="92"/>
      <c r="Z298" s="76"/>
      <c r="AA298" s="76"/>
      <c r="AB298" s="76" t="s">
        <v>49</v>
      </c>
      <c r="AC298" s="76"/>
      <c r="AD298" s="145">
        <v>45627</v>
      </c>
      <c r="AE298" s="166" t="s">
        <v>8748</v>
      </c>
    </row>
    <row r="299" spans="1:31" ht="27" customHeight="1" x14ac:dyDescent="0.15">
      <c r="A299" s="105">
        <v>1110601935</v>
      </c>
      <c r="B299" s="130" t="s">
        <v>8901</v>
      </c>
      <c r="C299" s="108" t="s">
        <v>9847</v>
      </c>
      <c r="D299" s="108" t="s">
        <v>71</v>
      </c>
      <c r="E299" s="108" t="s">
        <v>8902</v>
      </c>
      <c r="F299" s="131" t="s">
        <v>2240</v>
      </c>
      <c r="G299" s="132" t="s">
        <v>8903</v>
      </c>
      <c r="H299" s="132" t="s">
        <v>8904</v>
      </c>
      <c r="I299" s="133"/>
      <c r="J299" s="134"/>
      <c r="K299" s="134"/>
      <c r="L299" s="134"/>
      <c r="M299" s="134" t="s">
        <v>765</v>
      </c>
      <c r="N299" s="135" t="s">
        <v>49</v>
      </c>
      <c r="O299" s="136" t="s">
        <v>765</v>
      </c>
      <c r="P299" s="105"/>
      <c r="Q299" s="137"/>
      <c r="R299" s="138"/>
      <c r="S299" s="105"/>
      <c r="T299" s="105"/>
      <c r="U299" s="105"/>
      <c r="V299" s="137"/>
      <c r="W299" s="138"/>
      <c r="X299" s="137"/>
      <c r="Y299" s="138"/>
      <c r="Z299" s="105"/>
      <c r="AA299" s="105">
        <v>20</v>
      </c>
      <c r="AB299" s="105"/>
      <c r="AC299" s="105"/>
      <c r="AD299" s="155">
        <v>45292</v>
      </c>
      <c r="AE299" s="108" t="s">
        <v>8905</v>
      </c>
    </row>
    <row r="300" spans="1:31" ht="27" customHeight="1" x14ac:dyDescent="0.15">
      <c r="A300" s="203">
        <v>1110601943</v>
      </c>
      <c r="B300" s="204" t="s">
        <v>9091</v>
      </c>
      <c r="C300" s="162" t="s">
        <v>9092</v>
      </c>
      <c r="D300" s="162" t="s">
        <v>7531</v>
      </c>
      <c r="E300" s="162" t="s">
        <v>9093</v>
      </c>
      <c r="F300" s="205" t="s">
        <v>9094</v>
      </c>
      <c r="G300" s="206" t="s">
        <v>9095</v>
      </c>
      <c r="H300" s="206" t="s">
        <v>9096</v>
      </c>
      <c r="I300" s="221"/>
      <c r="J300" s="222"/>
      <c r="K300" s="222"/>
      <c r="L300" s="222"/>
      <c r="M300" s="208" t="s">
        <v>765</v>
      </c>
      <c r="N300" s="208" t="s">
        <v>765</v>
      </c>
      <c r="O300" s="208" t="s">
        <v>765</v>
      </c>
      <c r="P300" s="175"/>
      <c r="Q300" s="209"/>
      <c r="R300" s="210"/>
      <c r="S300" s="175"/>
      <c r="T300" s="175"/>
      <c r="U300" s="175"/>
      <c r="V300" s="209"/>
      <c r="W300" s="210"/>
      <c r="X300" s="209"/>
      <c r="Y300" s="210"/>
      <c r="Z300" s="175"/>
      <c r="AA300" s="175">
        <v>20</v>
      </c>
      <c r="AB300" s="175"/>
      <c r="AC300" s="175"/>
      <c r="AD300" s="211">
        <v>45383</v>
      </c>
      <c r="AE300" s="162" t="s">
        <v>9097</v>
      </c>
    </row>
    <row r="301" spans="1:31" s="65" customFormat="1" ht="27" customHeight="1" x14ac:dyDescent="0.15">
      <c r="A301" s="203">
        <v>1110601950</v>
      </c>
      <c r="B301" s="204" t="s">
        <v>9098</v>
      </c>
      <c r="C301" s="162" t="s">
        <v>9099</v>
      </c>
      <c r="D301" s="162" t="s">
        <v>7531</v>
      </c>
      <c r="E301" s="162" t="s">
        <v>9100</v>
      </c>
      <c r="F301" s="205" t="s">
        <v>2240</v>
      </c>
      <c r="G301" s="206" t="s">
        <v>9101</v>
      </c>
      <c r="H301" s="206" t="s">
        <v>9102</v>
      </c>
      <c r="I301" s="221"/>
      <c r="J301" s="222"/>
      <c r="K301" s="222"/>
      <c r="L301" s="222"/>
      <c r="M301" s="208" t="s">
        <v>765</v>
      </c>
      <c r="N301" s="208" t="s">
        <v>765</v>
      </c>
      <c r="O301" s="208" t="s">
        <v>765</v>
      </c>
      <c r="P301" s="175"/>
      <c r="Q301" s="209"/>
      <c r="R301" s="210"/>
      <c r="S301" s="175"/>
      <c r="T301" s="175"/>
      <c r="U301" s="175"/>
      <c r="V301" s="209"/>
      <c r="W301" s="210"/>
      <c r="X301" s="209"/>
      <c r="Y301" s="210"/>
      <c r="Z301" s="175"/>
      <c r="AA301" s="175">
        <v>20</v>
      </c>
      <c r="AB301" s="175"/>
      <c r="AC301" s="175"/>
      <c r="AD301" s="211">
        <v>45383</v>
      </c>
      <c r="AE301" s="162" t="s">
        <v>9103</v>
      </c>
    </row>
    <row r="302" spans="1:31" s="218" customFormat="1" ht="27" customHeight="1" x14ac:dyDescent="0.15">
      <c r="A302" s="105">
        <v>1110601976</v>
      </c>
      <c r="B302" s="130" t="s">
        <v>9203</v>
      </c>
      <c r="C302" s="108" t="s">
        <v>9204</v>
      </c>
      <c r="D302" s="108" t="s">
        <v>71</v>
      </c>
      <c r="E302" s="108" t="s">
        <v>9205</v>
      </c>
      <c r="F302" s="131" t="s">
        <v>9206</v>
      </c>
      <c r="G302" s="132" t="s">
        <v>9207</v>
      </c>
      <c r="H302" s="132" t="s">
        <v>9208</v>
      </c>
      <c r="I302" s="133"/>
      <c r="J302" s="134"/>
      <c r="K302" s="134"/>
      <c r="L302" s="134"/>
      <c r="M302" s="134" t="s">
        <v>49</v>
      </c>
      <c r="N302" s="135" t="s">
        <v>49</v>
      </c>
      <c r="O302" s="135" t="s">
        <v>49</v>
      </c>
      <c r="P302" s="105"/>
      <c r="Q302" s="137"/>
      <c r="R302" s="138"/>
      <c r="S302" s="105"/>
      <c r="T302" s="105">
        <v>20</v>
      </c>
      <c r="U302" s="105"/>
      <c r="V302" s="116"/>
      <c r="W302" s="117"/>
      <c r="X302" s="116"/>
      <c r="Y302" s="138"/>
      <c r="Z302" s="105"/>
      <c r="AA302" s="105"/>
      <c r="AB302" s="105"/>
      <c r="AC302" s="105"/>
      <c r="AD302" s="118">
        <v>45413</v>
      </c>
      <c r="AE302" s="108" t="s">
        <v>9209</v>
      </c>
    </row>
    <row r="303" spans="1:31" ht="27" customHeight="1" x14ac:dyDescent="0.15">
      <c r="A303" s="105">
        <v>1110601984</v>
      </c>
      <c r="B303" s="130" t="s">
        <v>9412</v>
      </c>
      <c r="C303" s="108" t="s">
        <v>9413</v>
      </c>
      <c r="D303" s="108" t="s">
        <v>7531</v>
      </c>
      <c r="E303" s="108" t="s">
        <v>9414</v>
      </c>
      <c r="F303" s="131">
        <v>3440059</v>
      </c>
      <c r="G303" s="132" t="s">
        <v>9415</v>
      </c>
      <c r="H303" s="132" t="s">
        <v>9415</v>
      </c>
      <c r="I303" s="133"/>
      <c r="J303" s="134"/>
      <c r="K303" s="134"/>
      <c r="L303" s="134"/>
      <c r="M303" s="134" t="s">
        <v>765</v>
      </c>
      <c r="N303" s="134" t="s">
        <v>765</v>
      </c>
      <c r="O303" s="134"/>
      <c r="P303" s="105"/>
      <c r="Q303" s="137"/>
      <c r="R303" s="138"/>
      <c r="S303" s="105"/>
      <c r="T303" s="105"/>
      <c r="U303" s="105"/>
      <c r="V303" s="137"/>
      <c r="W303" s="138"/>
      <c r="X303" s="137"/>
      <c r="Y303" s="138"/>
      <c r="Z303" s="105"/>
      <c r="AA303" s="105">
        <v>20</v>
      </c>
      <c r="AB303" s="105"/>
      <c r="AC303" s="175"/>
      <c r="AD303" s="227">
        <v>45505</v>
      </c>
      <c r="AE303" s="108" t="s">
        <v>9416</v>
      </c>
    </row>
    <row r="304" spans="1:31" s="218" customFormat="1" ht="13.5" hidden="1" x14ac:dyDescent="0.15">
      <c r="A304" s="203">
        <v>1110602065</v>
      </c>
      <c r="B304" s="204" t="s">
        <v>9871</v>
      </c>
      <c r="C304" s="162" t="s">
        <v>12252</v>
      </c>
      <c r="D304" s="162" t="s">
        <v>7531</v>
      </c>
      <c r="E304" s="162" t="s">
        <v>12253</v>
      </c>
      <c r="F304" s="205" t="s">
        <v>12254</v>
      </c>
      <c r="G304" s="206" t="s">
        <v>12255</v>
      </c>
      <c r="H304" s="206" t="s">
        <v>12256</v>
      </c>
      <c r="I304" s="208" t="s">
        <v>765</v>
      </c>
      <c r="J304" s="208" t="s">
        <v>765</v>
      </c>
      <c r="K304" s="208" t="s">
        <v>765</v>
      </c>
      <c r="L304" s="208" t="s">
        <v>765</v>
      </c>
      <c r="M304" s="208" t="s">
        <v>765</v>
      </c>
      <c r="N304" s="208" t="s">
        <v>765</v>
      </c>
      <c r="O304" s="208" t="s">
        <v>765</v>
      </c>
      <c r="P304" s="175"/>
      <c r="Q304" s="209"/>
      <c r="R304" s="210"/>
      <c r="S304" s="175"/>
      <c r="T304" s="175"/>
      <c r="U304" s="175"/>
      <c r="V304" s="209"/>
      <c r="W304" s="210"/>
      <c r="X304" s="209"/>
      <c r="Y304" s="210"/>
      <c r="Z304" s="175"/>
      <c r="AA304" s="175">
        <v>20</v>
      </c>
      <c r="AB304" s="175"/>
      <c r="AC304" s="175"/>
      <c r="AD304" s="211">
        <v>45689</v>
      </c>
      <c r="AE304" s="162" t="s">
        <v>9872</v>
      </c>
    </row>
    <row r="305" spans="1:157" s="65" customFormat="1" ht="27" customHeight="1" x14ac:dyDescent="0.15">
      <c r="A305" s="105">
        <v>1110602107</v>
      </c>
      <c r="B305" s="106" t="s">
        <v>10075</v>
      </c>
      <c r="C305" s="107" t="s">
        <v>8205</v>
      </c>
      <c r="D305" s="108" t="s">
        <v>71</v>
      </c>
      <c r="E305" s="108" t="s">
        <v>1323</v>
      </c>
      <c r="F305" s="139">
        <v>3440021</v>
      </c>
      <c r="G305" s="140" t="s">
        <v>4538</v>
      </c>
      <c r="H305" s="140" t="s">
        <v>4539</v>
      </c>
      <c r="I305" s="141"/>
      <c r="J305" s="142"/>
      <c r="K305" s="142"/>
      <c r="L305" s="142"/>
      <c r="M305" s="142"/>
      <c r="N305" s="143" t="s">
        <v>49</v>
      </c>
      <c r="O305" s="138"/>
      <c r="P305" s="105"/>
      <c r="Q305" s="137"/>
      <c r="R305" s="138"/>
      <c r="S305" s="105"/>
      <c r="T305" s="105"/>
      <c r="U305" s="105"/>
      <c r="V305" s="116"/>
      <c r="W305" s="117"/>
      <c r="X305" s="116">
        <v>6</v>
      </c>
      <c r="Y305" s="138"/>
      <c r="Z305" s="105"/>
      <c r="AA305" s="105">
        <v>14</v>
      </c>
      <c r="AB305" s="105"/>
      <c r="AC305" s="105"/>
      <c r="AD305" s="144">
        <v>45748</v>
      </c>
      <c r="AE305" s="108" t="s">
        <v>1324</v>
      </c>
    </row>
    <row r="306" spans="1:157" s="65" customFormat="1" ht="27" customHeight="1" x14ac:dyDescent="0.15">
      <c r="A306" s="105">
        <v>1110602107</v>
      </c>
      <c r="B306" s="130" t="s">
        <v>10075</v>
      </c>
      <c r="C306" s="108" t="s">
        <v>8205</v>
      </c>
      <c r="D306" s="108" t="s">
        <v>71</v>
      </c>
      <c r="E306" s="108" t="s">
        <v>1323</v>
      </c>
      <c r="F306" s="131">
        <v>3440021</v>
      </c>
      <c r="G306" s="132" t="s">
        <v>10076</v>
      </c>
      <c r="H306" s="132" t="s">
        <v>10077</v>
      </c>
      <c r="I306" s="133"/>
      <c r="J306" s="134"/>
      <c r="K306" s="135"/>
      <c r="L306" s="134"/>
      <c r="M306" s="134"/>
      <c r="N306" s="135" t="s">
        <v>765</v>
      </c>
      <c r="O306" s="136"/>
      <c r="P306" s="105"/>
      <c r="Q306" s="137"/>
      <c r="R306" s="138"/>
      <c r="S306" s="105"/>
      <c r="T306" s="105"/>
      <c r="U306" s="105"/>
      <c r="V306" s="137"/>
      <c r="W306" s="138"/>
      <c r="X306" s="137"/>
      <c r="Y306" s="138"/>
      <c r="Z306" s="105"/>
      <c r="AA306" s="105"/>
      <c r="AB306" s="105" t="s">
        <v>4614</v>
      </c>
      <c r="AC306" s="105"/>
      <c r="AD306" s="144">
        <v>45748</v>
      </c>
      <c r="AE306" s="108" t="s">
        <v>1324</v>
      </c>
    </row>
    <row r="307" spans="1:157" s="65" customFormat="1" ht="27" customHeight="1" x14ac:dyDescent="0.15">
      <c r="A307" s="105">
        <v>1110602107</v>
      </c>
      <c r="B307" s="130" t="s">
        <v>10075</v>
      </c>
      <c r="C307" s="108" t="s">
        <v>8205</v>
      </c>
      <c r="D307" s="108" t="s">
        <v>71</v>
      </c>
      <c r="E307" s="108" t="s">
        <v>1323</v>
      </c>
      <c r="F307" s="131">
        <v>3440021</v>
      </c>
      <c r="G307" s="132" t="s">
        <v>10076</v>
      </c>
      <c r="H307" s="132" t="s">
        <v>10077</v>
      </c>
      <c r="I307" s="133"/>
      <c r="J307" s="134"/>
      <c r="K307" s="135"/>
      <c r="L307" s="134"/>
      <c r="M307" s="134"/>
      <c r="N307" s="135" t="s">
        <v>765</v>
      </c>
      <c r="O307" s="136"/>
      <c r="P307" s="105"/>
      <c r="Q307" s="137"/>
      <c r="R307" s="138"/>
      <c r="S307" s="105"/>
      <c r="T307" s="105"/>
      <c r="U307" s="105"/>
      <c r="V307" s="137"/>
      <c r="W307" s="138"/>
      <c r="X307" s="137"/>
      <c r="Y307" s="138"/>
      <c r="Z307" s="105"/>
      <c r="AA307" s="105"/>
      <c r="AB307" s="105"/>
      <c r="AC307" s="105">
        <v>10</v>
      </c>
      <c r="AD307" s="144">
        <v>45931</v>
      </c>
      <c r="AE307" s="108" t="s">
        <v>1324</v>
      </c>
    </row>
    <row r="308" spans="1:157" s="65" customFormat="1" ht="27" customHeight="1" x14ac:dyDescent="0.15">
      <c r="A308" s="203">
        <v>1110602115</v>
      </c>
      <c r="B308" s="204" t="s">
        <v>10087</v>
      </c>
      <c r="C308" s="162" t="s">
        <v>10088</v>
      </c>
      <c r="D308" s="162" t="s">
        <v>7531</v>
      </c>
      <c r="E308" s="162" t="s">
        <v>10089</v>
      </c>
      <c r="F308" s="205" t="s">
        <v>2240</v>
      </c>
      <c r="G308" s="206" t="s">
        <v>10090</v>
      </c>
      <c r="H308" s="206"/>
      <c r="I308" s="221"/>
      <c r="J308" s="222"/>
      <c r="K308" s="222"/>
      <c r="L308" s="222"/>
      <c r="M308" s="222" t="s">
        <v>765</v>
      </c>
      <c r="N308" s="208" t="s">
        <v>765</v>
      </c>
      <c r="O308" s="210"/>
      <c r="P308" s="175"/>
      <c r="Q308" s="209"/>
      <c r="R308" s="210"/>
      <c r="S308" s="175"/>
      <c r="T308" s="175"/>
      <c r="U308" s="175"/>
      <c r="V308" s="209"/>
      <c r="W308" s="210"/>
      <c r="X308" s="209"/>
      <c r="Y308" s="210"/>
      <c r="Z308" s="175"/>
      <c r="AA308" s="175">
        <v>20</v>
      </c>
      <c r="AB308" s="175"/>
      <c r="AC308" s="175"/>
      <c r="AD308" s="155">
        <v>45748</v>
      </c>
      <c r="AE308" s="162" t="s">
        <v>10091</v>
      </c>
    </row>
    <row r="309" spans="1:157" s="65" customFormat="1" ht="27" customHeight="1" x14ac:dyDescent="0.15">
      <c r="A309" s="132">
        <v>1110602164</v>
      </c>
      <c r="B309" s="130" t="s">
        <v>10830</v>
      </c>
      <c r="C309" s="108" t="s">
        <v>10831</v>
      </c>
      <c r="D309" s="108" t="s">
        <v>71</v>
      </c>
      <c r="E309" s="108" t="s">
        <v>10946</v>
      </c>
      <c r="F309" s="131" t="s">
        <v>10617</v>
      </c>
      <c r="G309" s="132" t="s">
        <v>10947</v>
      </c>
      <c r="H309" s="132" t="s">
        <v>10948</v>
      </c>
      <c r="I309" s="133"/>
      <c r="J309" s="134" t="s">
        <v>49</v>
      </c>
      <c r="K309" s="134" t="s">
        <v>49</v>
      </c>
      <c r="L309" s="134" t="s">
        <v>49</v>
      </c>
      <c r="M309" s="134" t="s">
        <v>49</v>
      </c>
      <c r="N309" s="135" t="s">
        <v>49</v>
      </c>
      <c r="O309" s="136" t="s">
        <v>49</v>
      </c>
      <c r="P309" s="105"/>
      <c r="Q309" s="152"/>
      <c r="R309" s="138"/>
      <c r="S309" s="132"/>
      <c r="T309" s="105"/>
      <c r="U309" s="132"/>
      <c r="V309" s="116"/>
      <c r="W309" s="117"/>
      <c r="X309" s="152"/>
      <c r="Y309" s="136"/>
      <c r="Z309" s="132">
        <v>20</v>
      </c>
      <c r="AA309" s="132"/>
      <c r="AB309" s="132"/>
      <c r="AC309" s="132"/>
      <c r="AD309" s="118">
        <v>45931</v>
      </c>
      <c r="AE309" s="108" t="s">
        <v>10620</v>
      </c>
    </row>
    <row r="310" spans="1:157" s="65" customFormat="1" ht="27" customHeight="1" x14ac:dyDescent="0.15">
      <c r="A310" s="105">
        <v>1110602180</v>
      </c>
      <c r="B310" s="106" t="s">
        <v>3324</v>
      </c>
      <c r="C310" s="107" t="s">
        <v>10896</v>
      </c>
      <c r="D310" s="108" t="s">
        <v>71</v>
      </c>
      <c r="E310" s="108" t="s">
        <v>10897</v>
      </c>
      <c r="F310" s="139">
        <v>3440121</v>
      </c>
      <c r="G310" s="140" t="s">
        <v>10898</v>
      </c>
      <c r="H310" s="140" t="s">
        <v>10899</v>
      </c>
      <c r="I310" s="141"/>
      <c r="J310" s="142"/>
      <c r="K310" s="142"/>
      <c r="L310" s="142"/>
      <c r="M310" s="142" t="s">
        <v>49</v>
      </c>
      <c r="N310" s="143"/>
      <c r="O310" s="138"/>
      <c r="P310" s="105"/>
      <c r="Q310" s="137"/>
      <c r="R310" s="138"/>
      <c r="S310" s="105"/>
      <c r="T310" s="105">
        <v>20</v>
      </c>
      <c r="U310" s="105"/>
      <c r="V310" s="137"/>
      <c r="W310" s="138"/>
      <c r="X310" s="137"/>
      <c r="Y310" s="138"/>
      <c r="Z310" s="105"/>
      <c r="AA310" s="105"/>
      <c r="AB310" s="105"/>
      <c r="AC310" s="105"/>
      <c r="AD310" s="144">
        <v>45962</v>
      </c>
      <c r="AE310" s="108" t="s">
        <v>10900</v>
      </c>
    </row>
    <row r="311" spans="1:157" s="65" customFormat="1" ht="27" customHeight="1" x14ac:dyDescent="0.15">
      <c r="A311" s="105">
        <v>1110602198</v>
      </c>
      <c r="B311" s="130" t="s">
        <v>10886</v>
      </c>
      <c r="C311" s="108" t="s">
        <v>10887</v>
      </c>
      <c r="D311" s="108" t="s">
        <v>71</v>
      </c>
      <c r="E311" s="108" t="s">
        <v>10888</v>
      </c>
      <c r="F311" s="131" t="s">
        <v>3189</v>
      </c>
      <c r="G311" s="132" t="s">
        <v>10889</v>
      </c>
      <c r="H311" s="132" t="s">
        <v>10890</v>
      </c>
      <c r="I311" s="133"/>
      <c r="J311" s="134"/>
      <c r="K311" s="134"/>
      <c r="L311" s="134"/>
      <c r="M311" s="134"/>
      <c r="N311" s="135" t="s">
        <v>765</v>
      </c>
      <c r="O311" s="136"/>
      <c r="P311" s="105"/>
      <c r="Q311" s="137"/>
      <c r="R311" s="138"/>
      <c r="S311" s="105"/>
      <c r="T311" s="105"/>
      <c r="U311" s="105"/>
      <c r="V311" s="137"/>
      <c r="W311" s="138"/>
      <c r="X311" s="137"/>
      <c r="Y311" s="138"/>
      <c r="Z311" s="105"/>
      <c r="AA311" s="105">
        <v>20</v>
      </c>
      <c r="AB311" s="105"/>
      <c r="AC311" s="105"/>
      <c r="AD311" s="118">
        <v>45962</v>
      </c>
      <c r="AE311" s="108" t="s">
        <v>10891</v>
      </c>
    </row>
    <row r="312" spans="1:157" s="65" customFormat="1" ht="27" customHeight="1" x14ac:dyDescent="0.15">
      <c r="A312" s="105">
        <v>1110602206</v>
      </c>
      <c r="B312" s="130" t="s">
        <v>10972</v>
      </c>
      <c r="C312" s="108" t="s">
        <v>10973</v>
      </c>
      <c r="D312" s="108" t="s">
        <v>71</v>
      </c>
      <c r="E312" s="108" t="s">
        <v>10974</v>
      </c>
      <c r="F312" s="131" t="s">
        <v>9206</v>
      </c>
      <c r="G312" s="132" t="s">
        <v>10975</v>
      </c>
      <c r="H312" s="132" t="s">
        <v>10976</v>
      </c>
      <c r="I312" s="135" t="s">
        <v>765</v>
      </c>
      <c r="J312" s="135" t="s">
        <v>765</v>
      </c>
      <c r="K312" s="135" t="s">
        <v>765</v>
      </c>
      <c r="L312" s="135" t="s">
        <v>765</v>
      </c>
      <c r="M312" s="135" t="s">
        <v>765</v>
      </c>
      <c r="N312" s="135" t="s">
        <v>765</v>
      </c>
      <c r="O312" s="136"/>
      <c r="P312" s="105"/>
      <c r="Q312" s="137"/>
      <c r="R312" s="138"/>
      <c r="S312" s="105"/>
      <c r="T312" s="105"/>
      <c r="U312" s="105"/>
      <c r="V312" s="137"/>
      <c r="W312" s="138"/>
      <c r="X312" s="137"/>
      <c r="Y312" s="138"/>
      <c r="Z312" s="105"/>
      <c r="AA312" s="105">
        <v>20</v>
      </c>
      <c r="AB312" s="105"/>
      <c r="AC312" s="105"/>
      <c r="AD312" s="118">
        <v>46023</v>
      </c>
      <c r="AE312" s="108" t="s">
        <v>10977</v>
      </c>
    </row>
    <row r="313" spans="1:157" ht="27" customHeight="1" x14ac:dyDescent="0.15">
      <c r="A313" s="132">
        <v>1110602222</v>
      </c>
      <c r="B313" s="130" t="s">
        <v>9091</v>
      </c>
      <c r="C313" s="108" t="s">
        <v>11124</v>
      </c>
      <c r="D313" s="108" t="s">
        <v>7531</v>
      </c>
      <c r="E313" s="108" t="s">
        <v>11125</v>
      </c>
      <c r="F313" s="139" t="s">
        <v>9094</v>
      </c>
      <c r="G313" s="140" t="s">
        <v>11126</v>
      </c>
      <c r="H313" s="140" t="s">
        <v>11127</v>
      </c>
      <c r="I313" s="141"/>
      <c r="J313" s="142"/>
      <c r="K313" s="142"/>
      <c r="L313" s="142"/>
      <c r="M313" s="143" t="s">
        <v>765</v>
      </c>
      <c r="N313" s="143" t="s">
        <v>765</v>
      </c>
      <c r="O313" s="143" t="s">
        <v>765</v>
      </c>
      <c r="P313" s="105"/>
      <c r="Q313" s="137"/>
      <c r="R313" s="138"/>
      <c r="S313" s="105"/>
      <c r="T313" s="105"/>
      <c r="U313" s="105"/>
      <c r="V313" s="137"/>
      <c r="W313" s="138"/>
      <c r="X313" s="137"/>
      <c r="Y313" s="138"/>
      <c r="Z313" s="105"/>
      <c r="AA313" s="105">
        <v>20</v>
      </c>
      <c r="AB313" s="105"/>
      <c r="AC313" s="105"/>
      <c r="AD313" s="155">
        <v>46054</v>
      </c>
      <c r="AE313" s="108" t="s">
        <v>11128</v>
      </c>
    </row>
    <row r="314" spans="1:157" ht="27" customHeight="1" x14ac:dyDescent="0.15">
      <c r="A314" s="228">
        <v>1110602230</v>
      </c>
      <c r="B314" s="130" t="s">
        <v>11190</v>
      </c>
      <c r="C314" s="108" t="s">
        <v>11191</v>
      </c>
      <c r="D314" s="108" t="s">
        <v>7531</v>
      </c>
      <c r="E314" s="108" t="s">
        <v>11192</v>
      </c>
      <c r="F314" s="139" t="s">
        <v>2240</v>
      </c>
      <c r="G314" s="140" t="s">
        <v>11193</v>
      </c>
      <c r="H314" s="140" t="s">
        <v>11194</v>
      </c>
      <c r="I314" s="141"/>
      <c r="J314" s="142"/>
      <c r="K314" s="142"/>
      <c r="L314" s="142"/>
      <c r="M314" s="143" t="s">
        <v>765</v>
      </c>
      <c r="N314" s="143" t="s">
        <v>765</v>
      </c>
      <c r="O314" s="143" t="s">
        <v>765</v>
      </c>
      <c r="P314" s="105"/>
      <c r="Q314" s="137"/>
      <c r="R314" s="138"/>
      <c r="S314" s="105"/>
      <c r="T314" s="105"/>
      <c r="U314" s="105"/>
      <c r="V314" s="137"/>
      <c r="W314" s="138"/>
      <c r="X314" s="137"/>
      <c r="Y314" s="138"/>
      <c r="Z314" s="105"/>
      <c r="AA314" s="105">
        <v>20</v>
      </c>
      <c r="AB314" s="105"/>
      <c r="AC314" s="105"/>
      <c r="AD314" s="155">
        <v>46082</v>
      </c>
      <c r="AE314" s="108" t="s">
        <v>11195</v>
      </c>
    </row>
    <row r="315" spans="1:157" ht="27" customHeight="1" x14ac:dyDescent="0.15">
      <c r="A315" s="228">
        <v>1110602248</v>
      </c>
      <c r="B315" s="130" t="s">
        <v>11196</v>
      </c>
      <c r="C315" s="108" t="s">
        <v>11197</v>
      </c>
      <c r="D315" s="108" t="s">
        <v>7531</v>
      </c>
      <c r="E315" s="108" t="s">
        <v>11198</v>
      </c>
      <c r="F315" s="139" t="s">
        <v>10617</v>
      </c>
      <c r="G315" s="140" t="s">
        <v>11199</v>
      </c>
      <c r="H315" s="140"/>
      <c r="I315" s="141"/>
      <c r="J315" s="142"/>
      <c r="K315" s="142" t="s">
        <v>765</v>
      </c>
      <c r="L315" s="142" t="s">
        <v>765</v>
      </c>
      <c r="M315" s="143" t="s">
        <v>765</v>
      </c>
      <c r="N315" s="143" t="s">
        <v>765</v>
      </c>
      <c r="O315" s="143" t="s">
        <v>765</v>
      </c>
      <c r="P315" s="105"/>
      <c r="Q315" s="137"/>
      <c r="R315" s="138"/>
      <c r="S315" s="105"/>
      <c r="T315" s="105"/>
      <c r="U315" s="105"/>
      <c r="V315" s="137"/>
      <c r="W315" s="138"/>
      <c r="X315" s="137"/>
      <c r="Y315" s="138"/>
      <c r="Z315" s="105"/>
      <c r="AA315" s="105">
        <v>20</v>
      </c>
      <c r="AB315" s="105"/>
      <c r="AC315" s="105"/>
      <c r="AD315" s="155">
        <v>46082</v>
      </c>
      <c r="AE315" s="108" t="s">
        <v>11200</v>
      </c>
    </row>
    <row r="316" spans="1:157" s="65" customFormat="1" ht="27" customHeight="1" x14ac:dyDescent="0.15">
      <c r="A316" s="105">
        <v>1110602255</v>
      </c>
      <c r="B316" s="106" t="s">
        <v>11416</v>
      </c>
      <c r="C316" s="106" t="s">
        <v>11417</v>
      </c>
      <c r="D316" s="108" t="s">
        <v>4092</v>
      </c>
      <c r="E316" s="108" t="s">
        <v>11418</v>
      </c>
      <c r="F316" s="139" t="s">
        <v>11419</v>
      </c>
      <c r="G316" s="140" t="s">
        <v>11420</v>
      </c>
      <c r="H316" s="140" t="s">
        <v>11421</v>
      </c>
      <c r="I316" s="141" t="s">
        <v>6457</v>
      </c>
      <c r="J316" s="142"/>
      <c r="K316" s="142"/>
      <c r="L316" s="142"/>
      <c r="M316" s="142"/>
      <c r="N316" s="143"/>
      <c r="O316" s="138"/>
      <c r="P316" s="105"/>
      <c r="Q316" s="137"/>
      <c r="R316" s="138"/>
      <c r="S316" s="105"/>
      <c r="T316" s="105">
        <v>5</v>
      </c>
      <c r="U316" s="105"/>
      <c r="V316" s="116"/>
      <c r="W316" s="117"/>
      <c r="X316" s="137"/>
      <c r="Y316" s="138"/>
      <c r="Z316" s="105"/>
      <c r="AA316" s="105"/>
      <c r="AB316" s="105"/>
      <c r="AC316" s="105"/>
      <c r="AD316" s="144">
        <v>46113</v>
      </c>
      <c r="AE316" s="108" t="s">
        <v>11422</v>
      </c>
      <c r="AU316" s="229"/>
      <c r="AV316" s="229"/>
      <c r="AW316" s="229"/>
      <c r="AX316" s="229"/>
      <c r="AY316" s="229"/>
      <c r="AZ316" s="229"/>
      <c r="BA316" s="229"/>
      <c r="BB316" s="229"/>
      <c r="BC316" s="229"/>
      <c r="BD316" s="229"/>
      <c r="BE316" s="229"/>
      <c r="BF316" s="229"/>
      <c r="BG316" s="229"/>
      <c r="BH316" s="229"/>
      <c r="BI316" s="229"/>
      <c r="BJ316" s="229"/>
      <c r="BK316" s="229"/>
      <c r="BL316" s="229"/>
      <c r="BM316" s="229"/>
      <c r="BN316" s="229"/>
      <c r="BO316" s="229"/>
      <c r="BP316" s="229"/>
      <c r="BQ316" s="229"/>
      <c r="BR316" s="229"/>
      <c r="BS316" s="229"/>
      <c r="BT316" s="229"/>
      <c r="BU316" s="229"/>
      <c r="BV316" s="229"/>
      <c r="BW316" s="229"/>
      <c r="BX316" s="229"/>
      <c r="BY316" s="229"/>
      <c r="BZ316" s="229"/>
      <c r="CA316" s="229"/>
      <c r="CB316" s="229"/>
      <c r="CC316" s="229"/>
      <c r="CD316" s="229"/>
      <c r="CE316" s="229"/>
      <c r="CF316" s="229"/>
      <c r="CG316" s="229"/>
      <c r="CH316" s="229"/>
      <c r="CI316" s="229"/>
      <c r="CJ316" s="229"/>
      <c r="CK316" s="229"/>
      <c r="CL316" s="229"/>
      <c r="CM316" s="229"/>
      <c r="CN316" s="229"/>
      <c r="CO316" s="229"/>
      <c r="CP316" s="229"/>
      <c r="CQ316" s="229"/>
      <c r="CR316" s="229"/>
      <c r="CS316" s="229"/>
      <c r="CT316" s="229"/>
      <c r="CU316" s="229"/>
      <c r="CV316" s="229"/>
      <c r="CW316" s="229"/>
      <c r="CX316" s="229"/>
      <c r="CY316" s="229"/>
      <c r="CZ316" s="229"/>
      <c r="DA316" s="229"/>
      <c r="DB316" s="229"/>
      <c r="DC316" s="229"/>
      <c r="DD316" s="229"/>
      <c r="DE316" s="229"/>
      <c r="DF316" s="229"/>
      <c r="DG316" s="229"/>
      <c r="DH316" s="229"/>
      <c r="DI316" s="229"/>
      <c r="DJ316" s="229"/>
      <c r="DK316" s="229"/>
      <c r="DL316" s="229"/>
      <c r="DM316" s="229"/>
      <c r="DN316" s="229"/>
      <c r="DO316" s="229"/>
      <c r="DP316" s="229"/>
      <c r="DQ316" s="229"/>
      <c r="DR316" s="229"/>
      <c r="DS316" s="229"/>
      <c r="DT316" s="229"/>
      <c r="DU316" s="229"/>
      <c r="DV316" s="229"/>
      <c r="DW316" s="229"/>
      <c r="DX316" s="229"/>
      <c r="DY316" s="229"/>
      <c r="DZ316" s="229"/>
      <c r="EA316" s="229"/>
      <c r="EB316" s="229"/>
      <c r="EC316" s="229"/>
      <c r="ED316" s="229"/>
      <c r="EE316" s="229"/>
      <c r="EF316" s="229"/>
      <c r="EG316" s="229"/>
      <c r="EH316" s="229"/>
      <c r="EI316" s="229"/>
      <c r="EJ316" s="229"/>
      <c r="EK316" s="229"/>
      <c r="EL316" s="229"/>
      <c r="EM316" s="229"/>
      <c r="EN316" s="229"/>
      <c r="EO316" s="229"/>
      <c r="EP316" s="229"/>
      <c r="EQ316" s="229"/>
      <c r="ER316" s="229"/>
      <c r="ES316" s="229"/>
      <c r="ET316" s="229"/>
      <c r="EU316" s="229"/>
      <c r="EV316" s="229"/>
      <c r="EW316" s="229"/>
      <c r="EX316" s="229"/>
      <c r="EY316" s="229"/>
      <c r="EZ316" s="229"/>
      <c r="FA316" s="229"/>
    </row>
    <row r="317" spans="1:157" ht="27" customHeight="1" x14ac:dyDescent="0.15">
      <c r="A317" s="105">
        <v>1110602263</v>
      </c>
      <c r="B317" s="106" t="s">
        <v>8805</v>
      </c>
      <c r="C317" s="107" t="s">
        <v>11520</v>
      </c>
      <c r="D317" s="108" t="s">
        <v>71</v>
      </c>
      <c r="E317" s="108" t="s">
        <v>11521</v>
      </c>
      <c r="F317" s="139" t="s">
        <v>11522</v>
      </c>
      <c r="G317" s="140" t="s">
        <v>11523</v>
      </c>
      <c r="H317" s="140" t="s">
        <v>11524</v>
      </c>
      <c r="I317" s="141"/>
      <c r="J317" s="142"/>
      <c r="K317" s="142"/>
      <c r="L317" s="142"/>
      <c r="M317" s="142" t="s">
        <v>765</v>
      </c>
      <c r="N317" s="143" t="s">
        <v>765</v>
      </c>
      <c r="O317" s="138"/>
      <c r="P317" s="105"/>
      <c r="Q317" s="137"/>
      <c r="R317" s="138"/>
      <c r="S317" s="105"/>
      <c r="T317" s="105">
        <v>20</v>
      </c>
      <c r="U317" s="105"/>
      <c r="V317" s="137"/>
      <c r="W317" s="138"/>
      <c r="X317" s="137"/>
      <c r="Y317" s="138"/>
      <c r="Z317" s="105"/>
      <c r="AA317" s="105"/>
      <c r="AB317" s="105"/>
      <c r="AC317" s="105"/>
      <c r="AD317" s="118">
        <v>46143</v>
      </c>
      <c r="AE317" s="108" t="s">
        <v>11525</v>
      </c>
    </row>
    <row r="318" spans="1:157" ht="27" customHeight="1" x14ac:dyDescent="0.15">
      <c r="A318" s="105">
        <v>1110602271</v>
      </c>
      <c r="B318" s="130" t="s">
        <v>8901</v>
      </c>
      <c r="C318" s="108" t="s">
        <v>11515</v>
      </c>
      <c r="D318" s="108" t="s">
        <v>71</v>
      </c>
      <c r="E318" s="108" t="s">
        <v>11516</v>
      </c>
      <c r="F318" s="131" t="s">
        <v>11517</v>
      </c>
      <c r="G318" s="132" t="s">
        <v>11518</v>
      </c>
      <c r="H318" s="132" t="s">
        <v>8904</v>
      </c>
      <c r="I318" s="133"/>
      <c r="J318" s="134"/>
      <c r="K318" s="134"/>
      <c r="L318" s="134"/>
      <c r="M318" s="134"/>
      <c r="N318" s="135" t="s">
        <v>49</v>
      </c>
      <c r="O318" s="136"/>
      <c r="P318" s="105"/>
      <c r="Q318" s="137"/>
      <c r="R318" s="138"/>
      <c r="S318" s="105"/>
      <c r="T318" s="105"/>
      <c r="U318" s="105"/>
      <c r="V318" s="137"/>
      <c r="W318" s="138"/>
      <c r="X318" s="137">
        <v>6</v>
      </c>
      <c r="Y318" s="138"/>
      <c r="Z318" s="105"/>
      <c r="AA318" s="105">
        <v>14</v>
      </c>
      <c r="AB318" s="105"/>
      <c r="AC318" s="105"/>
      <c r="AD318" s="155">
        <v>46143</v>
      </c>
      <c r="AE318" s="108" t="s">
        <v>11519</v>
      </c>
    </row>
    <row r="319" spans="1:157" s="563" customFormat="1" ht="24.95" customHeight="1" x14ac:dyDescent="0.15">
      <c r="A319" s="612">
        <v>1110602313</v>
      </c>
      <c r="B319" s="613" t="s">
        <v>12297</v>
      </c>
      <c r="C319" s="614" t="s">
        <v>12298</v>
      </c>
      <c r="D319" s="614" t="s">
        <v>7531</v>
      </c>
      <c r="E319" s="614" t="s">
        <v>12299</v>
      </c>
      <c r="F319" s="615" t="s">
        <v>9094</v>
      </c>
      <c r="G319" s="616" t="s">
        <v>6264</v>
      </c>
      <c r="H319" s="616"/>
      <c r="I319" s="617"/>
      <c r="J319" s="617"/>
      <c r="K319" s="617"/>
      <c r="L319" s="617"/>
      <c r="M319" s="617" t="s">
        <v>765</v>
      </c>
      <c r="N319" s="617" t="s">
        <v>765</v>
      </c>
      <c r="O319" s="617"/>
      <c r="P319" s="618"/>
      <c r="Q319" s="619"/>
      <c r="R319" s="620"/>
      <c r="S319" s="618"/>
      <c r="T319" s="618"/>
      <c r="U319" s="618"/>
      <c r="V319" s="619"/>
      <c r="W319" s="620"/>
      <c r="X319" s="619"/>
      <c r="Y319" s="620"/>
      <c r="Z319" s="618"/>
      <c r="AA319" s="618">
        <v>20</v>
      </c>
      <c r="AB319" s="618"/>
      <c r="AC319" s="618"/>
      <c r="AD319" s="621">
        <v>46235</v>
      </c>
      <c r="AE319" s="614" t="s">
        <v>12300</v>
      </c>
    </row>
    <row r="320" spans="1:157" ht="24.95" customHeight="1" x14ac:dyDescent="0.15">
      <c r="A320" s="150">
        <v>1110800032</v>
      </c>
      <c r="B320" s="130" t="s">
        <v>3512</v>
      </c>
      <c r="C320" s="108" t="s">
        <v>3513</v>
      </c>
      <c r="D320" s="108" t="s">
        <v>3514</v>
      </c>
      <c r="E320" s="108" t="s">
        <v>3515</v>
      </c>
      <c r="F320" s="230">
        <v>3430011</v>
      </c>
      <c r="G320" s="132" t="s">
        <v>3516</v>
      </c>
      <c r="H320" s="132" t="s">
        <v>3517</v>
      </c>
      <c r="I320" s="116"/>
      <c r="J320" s="154"/>
      <c r="K320" s="154"/>
      <c r="L320" s="154"/>
      <c r="M320" s="154" t="s">
        <v>3518</v>
      </c>
      <c r="N320" s="143"/>
      <c r="O320" s="138"/>
      <c r="P320" s="105"/>
      <c r="Q320" s="116"/>
      <c r="R320" s="138"/>
      <c r="S320" s="105"/>
      <c r="T320" s="105"/>
      <c r="U320" s="105"/>
      <c r="V320" s="116"/>
      <c r="W320" s="138"/>
      <c r="X320" s="116">
        <v>6</v>
      </c>
      <c r="Y320" s="138"/>
      <c r="Z320" s="105"/>
      <c r="AA320" s="105">
        <v>54</v>
      </c>
      <c r="AB320" s="105"/>
      <c r="AC320" s="105"/>
      <c r="AD320" s="118">
        <v>40634</v>
      </c>
      <c r="AE320" s="108" t="s">
        <v>3519</v>
      </c>
    </row>
    <row r="321" spans="1:31" ht="27" customHeight="1" x14ac:dyDescent="0.15">
      <c r="A321" s="105">
        <v>1110800149</v>
      </c>
      <c r="B321" s="130" t="s">
        <v>1718</v>
      </c>
      <c r="C321" s="108" t="s">
        <v>1717</v>
      </c>
      <c r="D321" s="108" t="s">
        <v>72</v>
      </c>
      <c r="E321" s="108" t="s">
        <v>1716</v>
      </c>
      <c r="F321" s="131">
        <v>3430037</v>
      </c>
      <c r="G321" s="132" t="s">
        <v>1715</v>
      </c>
      <c r="H321" s="132" t="s">
        <v>1714</v>
      </c>
      <c r="I321" s="133" t="s">
        <v>49</v>
      </c>
      <c r="J321" s="134" t="s">
        <v>49</v>
      </c>
      <c r="K321" s="134" t="s">
        <v>49</v>
      </c>
      <c r="L321" s="134" t="s">
        <v>49</v>
      </c>
      <c r="M321" s="134" t="s">
        <v>49</v>
      </c>
      <c r="N321" s="135" t="s">
        <v>49</v>
      </c>
      <c r="O321" s="136" t="s">
        <v>2170</v>
      </c>
      <c r="P321" s="105"/>
      <c r="Q321" s="137"/>
      <c r="R321" s="138"/>
      <c r="S321" s="105"/>
      <c r="T321" s="105">
        <v>20</v>
      </c>
      <c r="U321" s="105"/>
      <c r="V321" s="137"/>
      <c r="W321" s="138"/>
      <c r="X321" s="137"/>
      <c r="Y321" s="138"/>
      <c r="Z321" s="105"/>
      <c r="AA321" s="105"/>
      <c r="AB321" s="105"/>
      <c r="AC321" s="105"/>
      <c r="AD321" s="118">
        <v>41000</v>
      </c>
      <c r="AE321" s="108" t="s">
        <v>1713</v>
      </c>
    </row>
    <row r="322" spans="1:31" ht="27" customHeight="1" x14ac:dyDescent="0.15">
      <c r="A322" s="150">
        <v>1110800156</v>
      </c>
      <c r="B322" s="130" t="s">
        <v>1318</v>
      </c>
      <c r="C322" s="108" t="s">
        <v>1319</v>
      </c>
      <c r="D322" s="108" t="s">
        <v>887</v>
      </c>
      <c r="E322" s="108" t="s">
        <v>1320</v>
      </c>
      <c r="F322" s="230">
        <v>3430804</v>
      </c>
      <c r="G322" s="132" t="s">
        <v>1321</v>
      </c>
      <c r="H322" s="132" t="s">
        <v>1321</v>
      </c>
      <c r="I322" s="116"/>
      <c r="J322" s="154"/>
      <c r="K322" s="154"/>
      <c r="L322" s="154"/>
      <c r="M322" s="154" t="s">
        <v>49</v>
      </c>
      <c r="N322" s="143"/>
      <c r="O322" s="138"/>
      <c r="P322" s="105"/>
      <c r="Q322" s="116"/>
      <c r="R322" s="138"/>
      <c r="S322" s="105"/>
      <c r="T322" s="105"/>
      <c r="U322" s="105"/>
      <c r="V322" s="116"/>
      <c r="W322" s="138"/>
      <c r="X322" s="116"/>
      <c r="Y322" s="138"/>
      <c r="Z322" s="105"/>
      <c r="AA322" s="105">
        <v>30</v>
      </c>
      <c r="AB322" s="105"/>
      <c r="AC322" s="105"/>
      <c r="AD322" s="118">
        <v>40634</v>
      </c>
      <c r="AE322" s="108" t="s">
        <v>1322</v>
      </c>
    </row>
    <row r="323" spans="1:31" s="65" customFormat="1" ht="27" customHeight="1" x14ac:dyDescent="0.15">
      <c r="A323" s="105">
        <v>1110800172</v>
      </c>
      <c r="B323" s="106" t="s">
        <v>1867</v>
      </c>
      <c r="C323" s="107" t="s">
        <v>1868</v>
      </c>
      <c r="D323" s="108" t="s">
        <v>1869</v>
      </c>
      <c r="E323" s="108" t="s">
        <v>1870</v>
      </c>
      <c r="F323" s="139">
        <v>3430804</v>
      </c>
      <c r="G323" s="140" t="s">
        <v>1871</v>
      </c>
      <c r="H323" s="140" t="s">
        <v>1872</v>
      </c>
      <c r="I323" s="141"/>
      <c r="J323" s="142"/>
      <c r="K323" s="142"/>
      <c r="L323" s="142"/>
      <c r="M323" s="142" t="s">
        <v>1909</v>
      </c>
      <c r="N323" s="143"/>
      <c r="O323" s="138"/>
      <c r="P323" s="105">
        <v>53</v>
      </c>
      <c r="Q323" s="137" t="s">
        <v>2681</v>
      </c>
      <c r="R323" s="138">
        <v>2</v>
      </c>
      <c r="S323" s="105"/>
      <c r="T323" s="105">
        <v>53</v>
      </c>
      <c r="U323" s="105"/>
      <c r="V323" s="116"/>
      <c r="W323" s="138"/>
      <c r="X323" s="116"/>
      <c r="Y323" s="138"/>
      <c r="Z323" s="105"/>
      <c r="AA323" s="105"/>
      <c r="AB323" s="105"/>
      <c r="AC323" s="105"/>
      <c r="AD323" s="144">
        <v>41000</v>
      </c>
      <c r="AE323" s="108" t="s">
        <v>1912</v>
      </c>
    </row>
    <row r="324" spans="1:31" ht="27" customHeight="1" x14ac:dyDescent="0.15">
      <c r="A324" s="150">
        <v>1110800180</v>
      </c>
      <c r="B324" s="130" t="s">
        <v>1532</v>
      </c>
      <c r="C324" s="108" t="s">
        <v>1533</v>
      </c>
      <c r="D324" s="108" t="s">
        <v>887</v>
      </c>
      <c r="E324" s="108" t="s">
        <v>1534</v>
      </c>
      <c r="F324" s="230">
        <v>3430805</v>
      </c>
      <c r="G324" s="132" t="s">
        <v>1535</v>
      </c>
      <c r="H324" s="132" t="s">
        <v>1536</v>
      </c>
      <c r="I324" s="116"/>
      <c r="J324" s="154"/>
      <c r="K324" s="154"/>
      <c r="L324" s="154"/>
      <c r="M324" s="154" t="s">
        <v>49</v>
      </c>
      <c r="N324" s="143"/>
      <c r="O324" s="138"/>
      <c r="P324" s="105">
        <v>50</v>
      </c>
      <c r="Q324" s="116"/>
      <c r="R324" s="138">
        <v>2</v>
      </c>
      <c r="S324" s="105"/>
      <c r="T324" s="105">
        <v>60</v>
      </c>
      <c r="U324" s="105"/>
      <c r="V324" s="116"/>
      <c r="W324" s="138"/>
      <c r="X324" s="116"/>
      <c r="Y324" s="138"/>
      <c r="Z324" s="105"/>
      <c r="AA324" s="105"/>
      <c r="AB324" s="105"/>
      <c r="AC324" s="105"/>
      <c r="AD324" s="118">
        <v>40848</v>
      </c>
      <c r="AE324" s="108" t="s">
        <v>1537</v>
      </c>
    </row>
    <row r="325" spans="1:31" s="65" customFormat="1" ht="27" customHeight="1" x14ac:dyDescent="0.15">
      <c r="A325" s="150">
        <v>1110800198</v>
      </c>
      <c r="B325" s="130" t="s">
        <v>870</v>
      </c>
      <c r="C325" s="108" t="s">
        <v>886</v>
      </c>
      <c r="D325" s="108" t="s">
        <v>887</v>
      </c>
      <c r="E325" s="108" t="s">
        <v>909</v>
      </c>
      <c r="F325" s="230">
        <v>3430007</v>
      </c>
      <c r="G325" s="132" t="s">
        <v>910</v>
      </c>
      <c r="H325" s="132" t="s">
        <v>911</v>
      </c>
      <c r="I325" s="116"/>
      <c r="J325" s="154"/>
      <c r="K325" s="154"/>
      <c r="L325" s="154"/>
      <c r="M325" s="154" t="s">
        <v>939</v>
      </c>
      <c r="N325" s="143"/>
      <c r="O325" s="138"/>
      <c r="P325" s="105">
        <v>50</v>
      </c>
      <c r="Q325" s="137" t="s">
        <v>2681</v>
      </c>
      <c r="R325" s="138">
        <v>2</v>
      </c>
      <c r="S325" s="105"/>
      <c r="T325" s="105">
        <v>50</v>
      </c>
      <c r="U325" s="105"/>
      <c r="V325" s="137"/>
      <c r="W325" s="138"/>
      <c r="X325" s="137"/>
      <c r="Y325" s="138"/>
      <c r="Z325" s="105"/>
      <c r="AA325" s="105"/>
      <c r="AB325" s="105"/>
      <c r="AC325" s="105"/>
      <c r="AD325" s="118">
        <v>40269</v>
      </c>
      <c r="AE325" s="108" t="s">
        <v>1003</v>
      </c>
    </row>
    <row r="326" spans="1:31" s="65" customFormat="1" ht="27" customHeight="1" x14ac:dyDescent="0.15">
      <c r="A326" s="105">
        <v>1110800313</v>
      </c>
      <c r="B326" s="106" t="s">
        <v>11983</v>
      </c>
      <c r="C326" s="107" t="s">
        <v>5794</v>
      </c>
      <c r="D326" s="108" t="s">
        <v>72</v>
      </c>
      <c r="E326" s="108" t="s">
        <v>12074</v>
      </c>
      <c r="F326" s="139" t="s">
        <v>12073</v>
      </c>
      <c r="G326" s="140" t="s">
        <v>5796</v>
      </c>
      <c r="H326" s="140" t="s">
        <v>5797</v>
      </c>
      <c r="I326" s="141"/>
      <c r="J326" s="142"/>
      <c r="K326" s="142"/>
      <c r="L326" s="142"/>
      <c r="M326" s="142" t="s">
        <v>49</v>
      </c>
      <c r="N326" s="143"/>
      <c r="O326" s="138"/>
      <c r="P326" s="105"/>
      <c r="Q326" s="137"/>
      <c r="R326" s="138"/>
      <c r="S326" s="105"/>
      <c r="T326" s="105">
        <v>38</v>
      </c>
      <c r="U326" s="105"/>
      <c r="V326" s="137"/>
      <c r="W326" s="138"/>
      <c r="X326" s="137"/>
      <c r="Y326" s="138"/>
      <c r="Z326" s="105"/>
      <c r="AA326" s="105"/>
      <c r="AB326" s="105"/>
      <c r="AC326" s="105"/>
      <c r="AD326" s="144">
        <v>39264</v>
      </c>
      <c r="AE326" s="108" t="s">
        <v>5798</v>
      </c>
    </row>
    <row r="327" spans="1:31" s="65" customFormat="1" ht="27" customHeight="1" x14ac:dyDescent="0.15">
      <c r="A327" s="105">
        <v>1110800404</v>
      </c>
      <c r="B327" s="130" t="s">
        <v>400</v>
      </c>
      <c r="C327" s="108" t="s">
        <v>645</v>
      </c>
      <c r="D327" s="108" t="s">
        <v>72</v>
      </c>
      <c r="E327" s="108" t="s">
        <v>847</v>
      </c>
      <c r="F327" s="131">
        <v>3430022</v>
      </c>
      <c r="G327" s="132" t="s">
        <v>2506</v>
      </c>
      <c r="H327" s="132" t="s">
        <v>2507</v>
      </c>
      <c r="I327" s="133" t="s">
        <v>49</v>
      </c>
      <c r="J327" s="134" t="s">
        <v>49</v>
      </c>
      <c r="K327" s="134" t="s">
        <v>49</v>
      </c>
      <c r="L327" s="134" t="s">
        <v>49</v>
      </c>
      <c r="M327" s="134" t="s">
        <v>49</v>
      </c>
      <c r="N327" s="135" t="s">
        <v>49</v>
      </c>
      <c r="O327" s="136" t="s">
        <v>49</v>
      </c>
      <c r="P327" s="105"/>
      <c r="Q327" s="137"/>
      <c r="R327" s="138"/>
      <c r="S327" s="105"/>
      <c r="T327" s="105">
        <v>13</v>
      </c>
      <c r="U327" s="105"/>
      <c r="V327" s="137"/>
      <c r="W327" s="138"/>
      <c r="X327" s="137"/>
      <c r="Y327" s="138"/>
      <c r="Z327" s="105"/>
      <c r="AA327" s="105"/>
      <c r="AB327" s="105"/>
      <c r="AC327" s="105"/>
      <c r="AD327" s="118">
        <v>39661</v>
      </c>
      <c r="AE327" s="232" t="s">
        <v>848</v>
      </c>
    </row>
    <row r="328" spans="1:31" s="65" customFormat="1" ht="27" customHeight="1" x14ac:dyDescent="0.15">
      <c r="A328" s="105">
        <v>1110800511</v>
      </c>
      <c r="B328" s="130" t="s">
        <v>4620</v>
      </c>
      <c r="C328" s="108" t="s">
        <v>1456</v>
      </c>
      <c r="D328" s="108" t="s">
        <v>72</v>
      </c>
      <c r="E328" s="108" t="s">
        <v>1457</v>
      </c>
      <c r="F328" s="131">
        <v>3430015</v>
      </c>
      <c r="G328" s="132" t="s">
        <v>1458</v>
      </c>
      <c r="H328" s="132" t="s">
        <v>1459</v>
      </c>
      <c r="I328" s="133"/>
      <c r="J328" s="134"/>
      <c r="K328" s="134"/>
      <c r="L328" s="134"/>
      <c r="M328" s="134" t="s">
        <v>49</v>
      </c>
      <c r="N328" s="135"/>
      <c r="O328" s="136"/>
      <c r="P328" s="105"/>
      <c r="Q328" s="137"/>
      <c r="R328" s="138"/>
      <c r="S328" s="105"/>
      <c r="T328" s="105">
        <v>20</v>
      </c>
      <c r="U328" s="105"/>
      <c r="V328" s="137"/>
      <c r="W328" s="138"/>
      <c r="X328" s="137"/>
      <c r="Y328" s="138"/>
      <c r="Z328" s="105"/>
      <c r="AA328" s="105"/>
      <c r="AB328" s="105"/>
      <c r="AC328" s="105"/>
      <c r="AD328" s="118">
        <v>40756</v>
      </c>
      <c r="AE328" s="233" t="s">
        <v>1460</v>
      </c>
    </row>
    <row r="329" spans="1:31" ht="27" customHeight="1" x14ac:dyDescent="0.15">
      <c r="A329" s="105">
        <v>1110800529</v>
      </c>
      <c r="B329" s="130" t="s">
        <v>4620</v>
      </c>
      <c r="C329" s="108" t="s">
        <v>1461</v>
      </c>
      <c r="D329" s="108" t="s">
        <v>72</v>
      </c>
      <c r="E329" s="108" t="s">
        <v>2167</v>
      </c>
      <c r="F329" s="131">
        <v>3430804</v>
      </c>
      <c r="G329" s="132" t="s">
        <v>6126</v>
      </c>
      <c r="H329" s="132" t="s">
        <v>6127</v>
      </c>
      <c r="I329" s="133"/>
      <c r="J329" s="134"/>
      <c r="K329" s="134"/>
      <c r="L329" s="134"/>
      <c r="M329" s="134" t="s">
        <v>49</v>
      </c>
      <c r="N329" s="135"/>
      <c r="O329" s="136"/>
      <c r="P329" s="105"/>
      <c r="Q329" s="137"/>
      <c r="R329" s="138"/>
      <c r="S329" s="105"/>
      <c r="T329" s="105">
        <v>30</v>
      </c>
      <c r="U329" s="105"/>
      <c r="V329" s="137"/>
      <c r="W329" s="138"/>
      <c r="X329" s="137"/>
      <c r="Y329" s="138"/>
      <c r="Z329" s="105"/>
      <c r="AA329" s="105">
        <v>30</v>
      </c>
      <c r="AB329" s="105"/>
      <c r="AC329" s="105"/>
      <c r="AD329" s="118">
        <v>40756</v>
      </c>
      <c r="AE329" s="233" t="s">
        <v>2168</v>
      </c>
    </row>
    <row r="330" spans="1:31" s="65" customFormat="1" ht="27" customHeight="1" x14ac:dyDescent="0.15">
      <c r="A330" s="105">
        <v>1110800602</v>
      </c>
      <c r="B330" s="130" t="s">
        <v>1741</v>
      </c>
      <c r="C330" s="108" t="s">
        <v>1742</v>
      </c>
      <c r="D330" s="108" t="s">
        <v>72</v>
      </c>
      <c r="E330" s="108" t="s">
        <v>1743</v>
      </c>
      <c r="F330" s="131">
        <v>3430015</v>
      </c>
      <c r="G330" s="132" t="s">
        <v>1901</v>
      </c>
      <c r="H330" s="132" t="s">
        <v>1901</v>
      </c>
      <c r="I330" s="133"/>
      <c r="J330" s="134"/>
      <c r="K330" s="134"/>
      <c r="L330" s="134"/>
      <c r="M330" s="134" t="s">
        <v>49</v>
      </c>
      <c r="N330" s="135"/>
      <c r="O330" s="136"/>
      <c r="P330" s="105"/>
      <c r="Q330" s="137"/>
      <c r="R330" s="138"/>
      <c r="S330" s="105"/>
      <c r="T330" s="105">
        <v>20</v>
      </c>
      <c r="U330" s="105"/>
      <c r="V330" s="137"/>
      <c r="W330" s="138"/>
      <c r="X330" s="137"/>
      <c r="Y330" s="138"/>
      <c r="Z330" s="105"/>
      <c r="AA330" s="105"/>
      <c r="AB330" s="105"/>
      <c r="AC330" s="105"/>
      <c r="AD330" s="118">
        <v>41000</v>
      </c>
      <c r="AE330" s="233" t="s">
        <v>1744</v>
      </c>
    </row>
    <row r="331" spans="1:31" s="65" customFormat="1" ht="27" customHeight="1" x14ac:dyDescent="0.15">
      <c r="A331" s="105">
        <v>1110800610</v>
      </c>
      <c r="B331" s="130" t="s">
        <v>1741</v>
      </c>
      <c r="C331" s="108" t="s">
        <v>1745</v>
      </c>
      <c r="D331" s="108" t="s">
        <v>72</v>
      </c>
      <c r="E331" s="108" t="s">
        <v>1746</v>
      </c>
      <c r="F331" s="131">
        <v>3430825</v>
      </c>
      <c r="G331" s="132" t="s">
        <v>1747</v>
      </c>
      <c r="H331" s="132" t="s">
        <v>1747</v>
      </c>
      <c r="I331" s="133"/>
      <c r="J331" s="134"/>
      <c r="K331" s="134"/>
      <c r="L331" s="134"/>
      <c r="M331" s="134" t="s">
        <v>49</v>
      </c>
      <c r="N331" s="135"/>
      <c r="O331" s="136"/>
      <c r="P331" s="105"/>
      <c r="Q331" s="137"/>
      <c r="R331" s="138"/>
      <c r="S331" s="105"/>
      <c r="T331" s="105">
        <v>20</v>
      </c>
      <c r="U331" s="105"/>
      <c r="V331" s="116"/>
      <c r="W331" s="117"/>
      <c r="X331" s="116"/>
      <c r="Y331" s="138"/>
      <c r="Z331" s="105"/>
      <c r="AA331" s="105"/>
      <c r="AB331" s="105"/>
      <c r="AC331" s="105"/>
      <c r="AD331" s="118">
        <v>41000</v>
      </c>
      <c r="AE331" s="232" t="s">
        <v>1748</v>
      </c>
    </row>
    <row r="332" spans="1:31" s="65" customFormat="1" ht="27" customHeight="1" x14ac:dyDescent="0.15">
      <c r="A332" s="132">
        <v>1110800636</v>
      </c>
      <c r="B332" s="130" t="s">
        <v>2122</v>
      </c>
      <c r="C332" s="108" t="s">
        <v>2123</v>
      </c>
      <c r="D332" s="108" t="s">
        <v>72</v>
      </c>
      <c r="E332" s="107" t="s">
        <v>4811</v>
      </c>
      <c r="F332" s="131" t="s">
        <v>2124</v>
      </c>
      <c r="G332" s="132" t="s">
        <v>2125</v>
      </c>
      <c r="H332" s="132" t="s">
        <v>2126</v>
      </c>
      <c r="I332" s="133"/>
      <c r="J332" s="134"/>
      <c r="K332" s="134"/>
      <c r="L332" s="134" t="s">
        <v>2115</v>
      </c>
      <c r="M332" s="134" t="s">
        <v>2115</v>
      </c>
      <c r="N332" s="135" t="s">
        <v>2115</v>
      </c>
      <c r="O332" s="136" t="s">
        <v>2303</v>
      </c>
      <c r="P332" s="105"/>
      <c r="Q332" s="152"/>
      <c r="R332" s="138"/>
      <c r="S332" s="132"/>
      <c r="T332" s="105"/>
      <c r="U332" s="132"/>
      <c r="V332" s="116"/>
      <c r="W332" s="117"/>
      <c r="X332" s="152">
        <v>20</v>
      </c>
      <c r="Y332" s="136"/>
      <c r="Z332" s="132"/>
      <c r="AA332" s="132"/>
      <c r="AB332" s="132"/>
      <c r="AC332" s="132"/>
      <c r="AD332" s="155">
        <v>41214</v>
      </c>
      <c r="AE332" s="108" t="s">
        <v>3050</v>
      </c>
    </row>
    <row r="333" spans="1:31" s="65" customFormat="1" ht="27" customHeight="1" x14ac:dyDescent="0.15">
      <c r="A333" s="105">
        <v>1110800669</v>
      </c>
      <c r="B333" s="106" t="s">
        <v>5043</v>
      </c>
      <c r="C333" s="107" t="s">
        <v>2147</v>
      </c>
      <c r="D333" s="108" t="s">
        <v>72</v>
      </c>
      <c r="E333" s="108" t="s">
        <v>5038</v>
      </c>
      <c r="F333" s="139" t="s">
        <v>5039</v>
      </c>
      <c r="G333" s="140" t="s">
        <v>5040</v>
      </c>
      <c r="H333" s="140" t="s">
        <v>5041</v>
      </c>
      <c r="I333" s="141"/>
      <c r="J333" s="142"/>
      <c r="K333" s="142"/>
      <c r="L333" s="142"/>
      <c r="M333" s="142"/>
      <c r="N333" s="143" t="s">
        <v>49</v>
      </c>
      <c r="O333" s="138"/>
      <c r="P333" s="105"/>
      <c r="Q333" s="137"/>
      <c r="R333" s="138"/>
      <c r="S333" s="105"/>
      <c r="T333" s="105"/>
      <c r="U333" s="105"/>
      <c r="V333" s="137"/>
      <c r="W333" s="138"/>
      <c r="X333" s="137"/>
      <c r="Y333" s="138"/>
      <c r="Z333" s="105"/>
      <c r="AA333" s="105">
        <v>40</v>
      </c>
      <c r="AB333" s="105"/>
      <c r="AC333" s="105"/>
      <c r="AD333" s="144">
        <v>41365</v>
      </c>
      <c r="AE333" s="108" t="s">
        <v>5042</v>
      </c>
    </row>
    <row r="334" spans="1:31" s="65" customFormat="1" ht="27" customHeight="1" x14ac:dyDescent="0.15">
      <c r="A334" s="132">
        <v>1110800677</v>
      </c>
      <c r="B334" s="130" t="s">
        <v>2173</v>
      </c>
      <c r="C334" s="108" t="s">
        <v>2148</v>
      </c>
      <c r="D334" s="108" t="s">
        <v>72</v>
      </c>
      <c r="E334" s="108" t="s">
        <v>2174</v>
      </c>
      <c r="F334" s="131" t="s">
        <v>2175</v>
      </c>
      <c r="G334" s="132" t="s">
        <v>2176</v>
      </c>
      <c r="H334" s="132" t="s">
        <v>2149</v>
      </c>
      <c r="I334" s="133" t="s">
        <v>49</v>
      </c>
      <c r="J334" s="134" t="s">
        <v>49</v>
      </c>
      <c r="K334" s="134" t="s">
        <v>49</v>
      </c>
      <c r="L334" s="134" t="s">
        <v>49</v>
      </c>
      <c r="M334" s="134" t="s">
        <v>49</v>
      </c>
      <c r="N334" s="135" t="s">
        <v>49</v>
      </c>
      <c r="O334" s="136" t="s">
        <v>49</v>
      </c>
      <c r="P334" s="105"/>
      <c r="Q334" s="152"/>
      <c r="R334" s="138"/>
      <c r="S334" s="132"/>
      <c r="T334" s="105"/>
      <c r="U334" s="132"/>
      <c r="V334" s="116"/>
      <c r="W334" s="117"/>
      <c r="X334" s="152"/>
      <c r="Y334" s="136"/>
      <c r="Z334" s="132">
        <v>20</v>
      </c>
      <c r="AA334" s="132"/>
      <c r="AB334" s="132"/>
      <c r="AC334" s="132"/>
      <c r="AD334" s="155">
        <v>41365</v>
      </c>
      <c r="AE334" s="108" t="s">
        <v>2177</v>
      </c>
    </row>
    <row r="335" spans="1:31" s="65" customFormat="1" ht="27" customHeight="1" x14ac:dyDescent="0.15">
      <c r="A335" s="132">
        <v>1110800776</v>
      </c>
      <c r="B335" s="130" t="s">
        <v>2755</v>
      </c>
      <c r="C335" s="108" t="s">
        <v>7499</v>
      </c>
      <c r="D335" s="108" t="s">
        <v>72</v>
      </c>
      <c r="E335" s="108" t="s">
        <v>2756</v>
      </c>
      <c r="F335" s="131" t="s">
        <v>2757</v>
      </c>
      <c r="G335" s="132" t="s">
        <v>2758</v>
      </c>
      <c r="H335" s="132" t="s">
        <v>2759</v>
      </c>
      <c r="I335" s="133" t="s">
        <v>2760</v>
      </c>
      <c r="J335" s="134" t="s">
        <v>2760</v>
      </c>
      <c r="K335" s="134" t="s">
        <v>2760</v>
      </c>
      <c r="L335" s="134" t="s">
        <v>2760</v>
      </c>
      <c r="M335" s="134" t="s">
        <v>2760</v>
      </c>
      <c r="N335" s="135" t="s">
        <v>2760</v>
      </c>
      <c r="O335" s="136" t="s">
        <v>2760</v>
      </c>
      <c r="P335" s="105"/>
      <c r="Q335" s="152"/>
      <c r="R335" s="138"/>
      <c r="S335" s="132"/>
      <c r="T335" s="105"/>
      <c r="U335" s="132"/>
      <c r="V335" s="137"/>
      <c r="W335" s="138"/>
      <c r="X335" s="152"/>
      <c r="Y335" s="136"/>
      <c r="Z335" s="132">
        <v>20</v>
      </c>
      <c r="AA335" s="132"/>
      <c r="AB335" s="132"/>
      <c r="AC335" s="132"/>
      <c r="AD335" s="155">
        <v>42005</v>
      </c>
      <c r="AE335" s="108" t="s">
        <v>2761</v>
      </c>
    </row>
    <row r="336" spans="1:31" ht="27" customHeight="1" x14ac:dyDescent="0.15">
      <c r="A336" s="105">
        <v>1110800826</v>
      </c>
      <c r="B336" s="192" t="s">
        <v>5248</v>
      </c>
      <c r="C336" s="234" t="s">
        <v>4186</v>
      </c>
      <c r="D336" s="192" t="s">
        <v>2984</v>
      </c>
      <c r="E336" s="192" t="s">
        <v>4187</v>
      </c>
      <c r="F336" s="235" t="s">
        <v>3927</v>
      </c>
      <c r="G336" s="236" t="s">
        <v>4188</v>
      </c>
      <c r="H336" s="236" t="s">
        <v>4189</v>
      </c>
      <c r="I336" s="237" t="s">
        <v>49</v>
      </c>
      <c r="J336" s="238" t="s">
        <v>49</v>
      </c>
      <c r="K336" s="238" t="s">
        <v>49</v>
      </c>
      <c r="L336" s="134" t="s">
        <v>49</v>
      </c>
      <c r="M336" s="134" t="s">
        <v>49</v>
      </c>
      <c r="N336" s="135" t="s">
        <v>49</v>
      </c>
      <c r="O336" s="136" t="s">
        <v>49</v>
      </c>
      <c r="P336" s="105"/>
      <c r="Q336" s="137"/>
      <c r="R336" s="138"/>
      <c r="S336" s="105"/>
      <c r="T336" s="105"/>
      <c r="U336" s="105"/>
      <c r="V336" s="137"/>
      <c r="W336" s="138"/>
      <c r="X336" s="137"/>
      <c r="Y336" s="138"/>
      <c r="Z336" s="105"/>
      <c r="AA336" s="105">
        <v>20</v>
      </c>
      <c r="AB336" s="105"/>
      <c r="AC336" s="105"/>
      <c r="AD336" s="239">
        <v>42125</v>
      </c>
      <c r="AE336" s="240" t="s">
        <v>2985</v>
      </c>
    </row>
    <row r="337" spans="1:31" s="65" customFormat="1" ht="27" customHeight="1" x14ac:dyDescent="0.15">
      <c r="A337" s="105">
        <v>1110800867</v>
      </c>
      <c r="B337" s="234" t="s">
        <v>3049</v>
      </c>
      <c r="C337" s="234" t="s">
        <v>3043</v>
      </c>
      <c r="D337" s="192" t="s">
        <v>2984</v>
      </c>
      <c r="E337" s="192" t="s">
        <v>3048</v>
      </c>
      <c r="F337" s="235" t="s">
        <v>3044</v>
      </c>
      <c r="G337" s="235" t="s">
        <v>3045</v>
      </c>
      <c r="H337" s="235" t="s">
        <v>3046</v>
      </c>
      <c r="I337" s="237" t="s">
        <v>49</v>
      </c>
      <c r="J337" s="238" t="s">
        <v>49</v>
      </c>
      <c r="K337" s="238" t="s">
        <v>49</v>
      </c>
      <c r="L337" s="134" t="s">
        <v>49</v>
      </c>
      <c r="M337" s="134" t="s">
        <v>49</v>
      </c>
      <c r="N337" s="135" t="s">
        <v>49</v>
      </c>
      <c r="O337" s="136" t="s">
        <v>49</v>
      </c>
      <c r="P337" s="132"/>
      <c r="Q337" s="152"/>
      <c r="R337" s="241">
        <v>4</v>
      </c>
      <c r="S337" s="132"/>
      <c r="T337" s="132">
        <v>20</v>
      </c>
      <c r="U337" s="132"/>
      <c r="V337" s="152"/>
      <c r="W337" s="136"/>
      <c r="X337" s="133"/>
      <c r="Y337" s="242"/>
      <c r="Z337" s="132"/>
      <c r="AA337" s="132"/>
      <c r="AB337" s="132"/>
      <c r="AC337" s="132"/>
      <c r="AD337" s="239">
        <v>42186</v>
      </c>
      <c r="AE337" s="130" t="s">
        <v>3259</v>
      </c>
    </row>
    <row r="338" spans="1:31" s="65" customFormat="1" ht="27" customHeight="1" x14ac:dyDescent="0.15">
      <c r="A338" s="132">
        <v>1110800875</v>
      </c>
      <c r="B338" s="130" t="s">
        <v>3133</v>
      </c>
      <c r="C338" s="130" t="s">
        <v>3129</v>
      </c>
      <c r="D338" s="243" t="s">
        <v>2984</v>
      </c>
      <c r="E338" s="130" t="s">
        <v>3134</v>
      </c>
      <c r="F338" s="244" t="s">
        <v>3130</v>
      </c>
      <c r="G338" s="132" t="s">
        <v>3131</v>
      </c>
      <c r="H338" s="132" t="s">
        <v>3132</v>
      </c>
      <c r="I338" s="245"/>
      <c r="J338" s="246"/>
      <c r="K338" s="246"/>
      <c r="L338" s="246"/>
      <c r="M338" s="134" t="s">
        <v>49</v>
      </c>
      <c r="N338" s="135" t="s">
        <v>49</v>
      </c>
      <c r="O338" s="247"/>
      <c r="P338" s="132"/>
      <c r="Q338" s="152"/>
      <c r="R338" s="248"/>
      <c r="S338" s="132"/>
      <c r="T338" s="132"/>
      <c r="U338" s="132"/>
      <c r="V338" s="152"/>
      <c r="W338" s="136"/>
      <c r="X338" s="249"/>
      <c r="Y338" s="136"/>
      <c r="Z338" s="132"/>
      <c r="AA338" s="132">
        <v>20</v>
      </c>
      <c r="AB338" s="132"/>
      <c r="AC338" s="132"/>
      <c r="AD338" s="250">
        <v>42217</v>
      </c>
      <c r="AE338" s="130" t="s">
        <v>3258</v>
      </c>
    </row>
    <row r="339" spans="1:31" s="65" customFormat="1" ht="27" customHeight="1" x14ac:dyDescent="0.15">
      <c r="A339" s="105">
        <v>1110800925</v>
      </c>
      <c r="B339" s="234" t="s">
        <v>3238</v>
      </c>
      <c r="C339" s="234" t="s">
        <v>3222</v>
      </c>
      <c r="D339" s="192" t="s">
        <v>2984</v>
      </c>
      <c r="E339" s="192" t="s">
        <v>3223</v>
      </c>
      <c r="F339" s="235" t="s">
        <v>3224</v>
      </c>
      <c r="G339" s="235" t="s">
        <v>3225</v>
      </c>
      <c r="H339" s="235" t="s">
        <v>3226</v>
      </c>
      <c r="I339" s="237"/>
      <c r="J339" s="238"/>
      <c r="K339" s="238"/>
      <c r="L339" s="238"/>
      <c r="M339" s="134" t="s">
        <v>49</v>
      </c>
      <c r="N339" s="135" t="s">
        <v>49</v>
      </c>
      <c r="O339" s="251"/>
      <c r="P339" s="132"/>
      <c r="Q339" s="137"/>
      <c r="R339" s="138"/>
      <c r="S339" s="132"/>
      <c r="T339" s="132">
        <v>20</v>
      </c>
      <c r="U339" s="132"/>
      <c r="V339" s="116"/>
      <c r="W339" s="117"/>
      <c r="X339" s="249"/>
      <c r="Y339" s="136"/>
      <c r="Z339" s="132"/>
      <c r="AA339" s="132"/>
      <c r="AB339" s="132"/>
      <c r="AC339" s="132"/>
      <c r="AD339" s="239">
        <v>42339</v>
      </c>
      <c r="AE339" s="130" t="s">
        <v>3257</v>
      </c>
    </row>
    <row r="340" spans="1:31" s="65" customFormat="1" ht="27" customHeight="1" x14ac:dyDescent="0.15">
      <c r="A340" s="105">
        <v>1110800958</v>
      </c>
      <c r="B340" s="192" t="s">
        <v>3930</v>
      </c>
      <c r="C340" s="234" t="s">
        <v>3251</v>
      </c>
      <c r="D340" s="192" t="s">
        <v>2984</v>
      </c>
      <c r="E340" s="192" t="s">
        <v>3252</v>
      </c>
      <c r="F340" s="235" t="s">
        <v>3253</v>
      </c>
      <c r="G340" s="235" t="s">
        <v>3254</v>
      </c>
      <c r="H340" s="235" t="s">
        <v>3255</v>
      </c>
      <c r="I340" s="237"/>
      <c r="J340" s="238"/>
      <c r="K340" s="238"/>
      <c r="L340" s="238"/>
      <c r="M340" s="134" t="s">
        <v>49</v>
      </c>
      <c r="N340" s="135" t="s">
        <v>49</v>
      </c>
      <c r="O340" s="251"/>
      <c r="P340" s="132"/>
      <c r="Q340" s="137"/>
      <c r="R340" s="138"/>
      <c r="S340" s="132"/>
      <c r="T340" s="132"/>
      <c r="U340" s="132"/>
      <c r="V340" s="137"/>
      <c r="W340" s="138"/>
      <c r="X340" s="137"/>
      <c r="Y340" s="138"/>
      <c r="Z340" s="132"/>
      <c r="AA340" s="132">
        <v>20</v>
      </c>
      <c r="AB340" s="132"/>
      <c r="AC340" s="132"/>
      <c r="AD340" s="239">
        <v>42370</v>
      </c>
      <c r="AE340" s="130" t="s">
        <v>3256</v>
      </c>
    </row>
    <row r="341" spans="1:31" s="65" customFormat="1" ht="27" customHeight="1" x14ac:dyDescent="0.15">
      <c r="A341" s="105">
        <v>1110800966</v>
      </c>
      <c r="B341" s="234" t="s">
        <v>5218</v>
      </c>
      <c r="C341" s="234" t="s">
        <v>5217</v>
      </c>
      <c r="D341" s="192" t="s">
        <v>2984</v>
      </c>
      <c r="E341" s="192" t="s">
        <v>3281</v>
      </c>
      <c r="F341" s="235" t="s">
        <v>3282</v>
      </c>
      <c r="G341" s="235" t="s">
        <v>3296</v>
      </c>
      <c r="H341" s="235" t="s">
        <v>3297</v>
      </c>
      <c r="I341" s="237"/>
      <c r="J341" s="238"/>
      <c r="K341" s="238"/>
      <c r="L341" s="238"/>
      <c r="M341" s="134" t="s">
        <v>49</v>
      </c>
      <c r="N341" s="135" t="s">
        <v>49</v>
      </c>
      <c r="O341" s="251" t="s">
        <v>765</v>
      </c>
      <c r="P341" s="132"/>
      <c r="Q341" s="137"/>
      <c r="R341" s="138"/>
      <c r="S341" s="132"/>
      <c r="T341" s="132"/>
      <c r="U341" s="132"/>
      <c r="V341" s="116"/>
      <c r="W341" s="117"/>
      <c r="X341" s="249"/>
      <c r="Y341" s="136"/>
      <c r="Z341" s="132">
        <v>20</v>
      </c>
      <c r="AA341" s="132"/>
      <c r="AB341" s="132"/>
      <c r="AC341" s="132"/>
      <c r="AD341" s="239">
        <v>42401</v>
      </c>
      <c r="AE341" s="130" t="s">
        <v>3283</v>
      </c>
    </row>
    <row r="342" spans="1:31" s="65" customFormat="1" ht="27" customHeight="1" x14ac:dyDescent="0.15">
      <c r="A342" s="105">
        <v>1110801022</v>
      </c>
      <c r="B342" s="106" t="s">
        <v>11745</v>
      </c>
      <c r="C342" s="107" t="s">
        <v>3421</v>
      </c>
      <c r="D342" s="108" t="s">
        <v>72</v>
      </c>
      <c r="E342" s="108" t="s">
        <v>5973</v>
      </c>
      <c r="F342" s="139" t="s">
        <v>2124</v>
      </c>
      <c r="G342" s="140" t="s">
        <v>3423</v>
      </c>
      <c r="H342" s="140" t="s">
        <v>3424</v>
      </c>
      <c r="I342" s="141" t="s">
        <v>765</v>
      </c>
      <c r="J342" s="142"/>
      <c r="K342" s="142"/>
      <c r="L342" s="142" t="s">
        <v>765</v>
      </c>
      <c r="M342" s="142" t="s">
        <v>49</v>
      </c>
      <c r="N342" s="143" t="s">
        <v>765</v>
      </c>
      <c r="O342" s="138"/>
      <c r="P342" s="105"/>
      <c r="Q342" s="137"/>
      <c r="R342" s="138"/>
      <c r="S342" s="105"/>
      <c r="T342" s="105"/>
      <c r="U342" s="105"/>
      <c r="V342" s="137"/>
      <c r="W342" s="138"/>
      <c r="X342" s="137"/>
      <c r="Y342" s="138"/>
      <c r="Z342" s="105"/>
      <c r="AA342" s="105">
        <v>20</v>
      </c>
      <c r="AB342" s="105"/>
      <c r="AC342" s="105"/>
      <c r="AD342" s="144">
        <v>42491</v>
      </c>
      <c r="AE342" s="108" t="s">
        <v>6313</v>
      </c>
    </row>
    <row r="343" spans="1:31" ht="27" customHeight="1" x14ac:dyDescent="0.15">
      <c r="A343" s="105">
        <v>1110801048</v>
      </c>
      <c r="B343" s="234" t="s">
        <v>5218</v>
      </c>
      <c r="C343" s="234" t="s">
        <v>5219</v>
      </c>
      <c r="D343" s="192" t="s">
        <v>2984</v>
      </c>
      <c r="E343" s="192" t="s">
        <v>3470</v>
      </c>
      <c r="F343" s="235" t="s">
        <v>3422</v>
      </c>
      <c r="G343" s="235" t="s">
        <v>3467</v>
      </c>
      <c r="H343" s="235" t="s">
        <v>3468</v>
      </c>
      <c r="I343" s="237"/>
      <c r="J343" s="238"/>
      <c r="K343" s="238"/>
      <c r="L343" s="238"/>
      <c r="M343" s="134" t="s">
        <v>49</v>
      </c>
      <c r="N343" s="135" t="s">
        <v>49</v>
      </c>
      <c r="O343" s="251" t="s">
        <v>765</v>
      </c>
      <c r="P343" s="132"/>
      <c r="Q343" s="137"/>
      <c r="R343" s="138"/>
      <c r="S343" s="132"/>
      <c r="T343" s="132"/>
      <c r="U343" s="132"/>
      <c r="V343" s="116"/>
      <c r="W343" s="117"/>
      <c r="X343" s="249"/>
      <c r="Y343" s="136"/>
      <c r="Z343" s="132">
        <v>20</v>
      </c>
      <c r="AA343" s="132"/>
      <c r="AB343" s="132"/>
      <c r="AC343" s="132"/>
      <c r="AD343" s="239">
        <v>42552</v>
      </c>
      <c r="AE343" s="130" t="s">
        <v>3469</v>
      </c>
    </row>
    <row r="344" spans="1:31" s="65" customFormat="1" ht="27" customHeight="1" x14ac:dyDescent="0.15">
      <c r="A344" s="105">
        <v>1110801071</v>
      </c>
      <c r="B344" s="192" t="s">
        <v>3541</v>
      </c>
      <c r="C344" s="234" t="s">
        <v>3542</v>
      </c>
      <c r="D344" s="192" t="s">
        <v>2984</v>
      </c>
      <c r="E344" s="192" t="s">
        <v>3543</v>
      </c>
      <c r="F344" s="235" t="s">
        <v>3544</v>
      </c>
      <c r="G344" s="105" t="s">
        <v>3545</v>
      </c>
      <c r="H344" s="105" t="s">
        <v>3545</v>
      </c>
      <c r="I344" s="237"/>
      <c r="J344" s="238" t="s">
        <v>765</v>
      </c>
      <c r="K344" s="238"/>
      <c r="L344" s="238"/>
      <c r="M344" s="134" t="s">
        <v>49</v>
      </c>
      <c r="N344" s="135" t="s">
        <v>49</v>
      </c>
      <c r="O344" s="251"/>
      <c r="P344" s="132"/>
      <c r="Q344" s="152"/>
      <c r="R344" s="138"/>
      <c r="S344" s="132"/>
      <c r="T344" s="132"/>
      <c r="U344" s="132"/>
      <c r="V344" s="137"/>
      <c r="W344" s="138"/>
      <c r="X344" s="137"/>
      <c r="Y344" s="138"/>
      <c r="Z344" s="132"/>
      <c r="AA344" s="132">
        <v>20</v>
      </c>
      <c r="AB344" s="132"/>
      <c r="AC344" s="132"/>
      <c r="AD344" s="239">
        <v>42614</v>
      </c>
      <c r="AE344" s="130" t="s">
        <v>3546</v>
      </c>
    </row>
    <row r="345" spans="1:31" s="65" customFormat="1" ht="27" customHeight="1" x14ac:dyDescent="0.15">
      <c r="A345" s="105">
        <v>1110801139</v>
      </c>
      <c r="B345" s="234" t="s">
        <v>5218</v>
      </c>
      <c r="C345" s="234" t="s">
        <v>5220</v>
      </c>
      <c r="D345" s="192" t="s">
        <v>2984</v>
      </c>
      <c r="E345" s="108" t="s">
        <v>7479</v>
      </c>
      <c r="F345" s="235" t="s">
        <v>3636</v>
      </c>
      <c r="G345" s="235" t="s">
        <v>3637</v>
      </c>
      <c r="H345" s="235" t="s">
        <v>3638</v>
      </c>
      <c r="I345" s="237"/>
      <c r="J345" s="238"/>
      <c r="K345" s="238"/>
      <c r="L345" s="238"/>
      <c r="M345" s="134" t="s">
        <v>49</v>
      </c>
      <c r="N345" s="135" t="s">
        <v>49</v>
      </c>
      <c r="O345" s="136" t="s">
        <v>49</v>
      </c>
      <c r="P345" s="132"/>
      <c r="Q345" s="137"/>
      <c r="R345" s="138"/>
      <c r="S345" s="132"/>
      <c r="T345" s="132"/>
      <c r="U345" s="132"/>
      <c r="V345" s="116"/>
      <c r="W345" s="117"/>
      <c r="X345" s="249"/>
      <c r="Y345" s="136"/>
      <c r="Z345" s="132">
        <v>20</v>
      </c>
      <c r="AA345" s="132"/>
      <c r="AB345" s="132"/>
      <c r="AC345" s="132"/>
      <c r="AD345" s="239">
        <v>42675</v>
      </c>
      <c r="AE345" s="108" t="s">
        <v>7480</v>
      </c>
    </row>
    <row r="346" spans="1:31" s="65" customFormat="1" ht="27" customHeight="1" x14ac:dyDescent="0.15">
      <c r="A346" s="105">
        <v>1110801196</v>
      </c>
      <c r="B346" s="234" t="s">
        <v>5249</v>
      </c>
      <c r="C346" s="234" t="s">
        <v>3831</v>
      </c>
      <c r="D346" s="192" t="s">
        <v>2984</v>
      </c>
      <c r="E346" s="192" t="s">
        <v>3829</v>
      </c>
      <c r="F346" s="235" t="s">
        <v>3832</v>
      </c>
      <c r="G346" s="235" t="s">
        <v>3833</v>
      </c>
      <c r="H346" s="235" t="s">
        <v>3834</v>
      </c>
      <c r="I346" s="237"/>
      <c r="J346" s="238"/>
      <c r="K346" s="238"/>
      <c r="L346" s="238"/>
      <c r="M346" s="134" t="s">
        <v>49</v>
      </c>
      <c r="N346" s="252"/>
      <c r="O346" s="251"/>
      <c r="P346" s="132"/>
      <c r="Q346" s="137"/>
      <c r="R346" s="138"/>
      <c r="S346" s="132"/>
      <c r="T346" s="132">
        <v>20</v>
      </c>
      <c r="U346" s="132"/>
      <c r="V346" s="116"/>
      <c r="W346" s="117"/>
      <c r="X346" s="249"/>
      <c r="Y346" s="136"/>
      <c r="Z346" s="132"/>
      <c r="AA346" s="132"/>
      <c r="AB346" s="132"/>
      <c r="AC346" s="132"/>
      <c r="AD346" s="239">
        <v>42826</v>
      </c>
      <c r="AE346" s="130" t="s">
        <v>3830</v>
      </c>
    </row>
    <row r="347" spans="1:31" s="65" customFormat="1" ht="27" customHeight="1" x14ac:dyDescent="0.15">
      <c r="A347" s="105">
        <v>1110801204</v>
      </c>
      <c r="B347" s="234" t="s">
        <v>3859</v>
      </c>
      <c r="C347" s="234" t="s">
        <v>3855</v>
      </c>
      <c r="D347" s="192" t="s">
        <v>2984</v>
      </c>
      <c r="E347" s="192" t="s">
        <v>3860</v>
      </c>
      <c r="F347" s="235" t="s">
        <v>3856</v>
      </c>
      <c r="G347" s="235" t="s">
        <v>3857</v>
      </c>
      <c r="H347" s="235" t="s">
        <v>3858</v>
      </c>
      <c r="I347" s="237"/>
      <c r="J347" s="238" t="s">
        <v>49</v>
      </c>
      <c r="K347" s="238" t="s">
        <v>49</v>
      </c>
      <c r="L347" s="134" t="s">
        <v>49</v>
      </c>
      <c r="M347" s="134" t="s">
        <v>49</v>
      </c>
      <c r="N347" s="135" t="s">
        <v>49</v>
      </c>
      <c r="O347" s="136" t="s">
        <v>49</v>
      </c>
      <c r="P347" s="132"/>
      <c r="Q347" s="137"/>
      <c r="R347" s="138"/>
      <c r="S347" s="132"/>
      <c r="T347" s="132"/>
      <c r="U347" s="132"/>
      <c r="V347" s="116"/>
      <c r="W347" s="117"/>
      <c r="X347" s="249"/>
      <c r="Y347" s="136"/>
      <c r="Z347" s="132"/>
      <c r="AA347" s="132">
        <v>20</v>
      </c>
      <c r="AB347" s="132"/>
      <c r="AC347" s="132"/>
      <c r="AD347" s="239">
        <v>42856</v>
      </c>
      <c r="AE347" s="130" t="s">
        <v>3854</v>
      </c>
    </row>
    <row r="348" spans="1:31" s="65" customFormat="1" ht="27" customHeight="1" x14ac:dyDescent="0.15">
      <c r="A348" s="105">
        <v>1110801220</v>
      </c>
      <c r="B348" s="192" t="s">
        <v>3931</v>
      </c>
      <c r="C348" s="234" t="s">
        <v>3925</v>
      </c>
      <c r="D348" s="192" t="s">
        <v>2984</v>
      </c>
      <c r="E348" s="192" t="s">
        <v>3926</v>
      </c>
      <c r="F348" s="235" t="s">
        <v>3927</v>
      </c>
      <c r="G348" s="235" t="s">
        <v>6128</v>
      </c>
      <c r="H348" s="235" t="s">
        <v>6128</v>
      </c>
      <c r="I348" s="237" t="s">
        <v>765</v>
      </c>
      <c r="J348" s="238" t="s">
        <v>49</v>
      </c>
      <c r="K348" s="238" t="s">
        <v>49</v>
      </c>
      <c r="L348" s="134" t="s">
        <v>49</v>
      </c>
      <c r="M348" s="134" t="s">
        <v>49</v>
      </c>
      <c r="N348" s="135" t="s">
        <v>49</v>
      </c>
      <c r="O348" s="136" t="s">
        <v>49</v>
      </c>
      <c r="P348" s="105"/>
      <c r="Q348" s="137"/>
      <c r="R348" s="138"/>
      <c r="S348" s="105"/>
      <c r="T348" s="105">
        <v>20</v>
      </c>
      <c r="U348" s="105"/>
      <c r="V348" s="137"/>
      <c r="W348" s="138"/>
      <c r="X348" s="137"/>
      <c r="Y348" s="138"/>
      <c r="Z348" s="105"/>
      <c r="AA348" s="105"/>
      <c r="AB348" s="105"/>
      <c r="AC348" s="105"/>
      <c r="AD348" s="239">
        <v>42887</v>
      </c>
      <c r="AE348" s="130" t="s">
        <v>3929</v>
      </c>
    </row>
    <row r="349" spans="1:31" ht="27" customHeight="1" x14ac:dyDescent="0.15">
      <c r="A349" s="105">
        <v>1110801238</v>
      </c>
      <c r="B349" s="192" t="s">
        <v>3425</v>
      </c>
      <c r="C349" s="234" t="s">
        <v>3983</v>
      </c>
      <c r="D349" s="192" t="s">
        <v>2984</v>
      </c>
      <c r="E349" s="192" t="s">
        <v>4240</v>
      </c>
      <c r="F349" s="235" t="s">
        <v>3984</v>
      </c>
      <c r="G349" s="236" t="s">
        <v>3985</v>
      </c>
      <c r="H349" s="236" t="s">
        <v>3986</v>
      </c>
      <c r="I349" s="237"/>
      <c r="J349" s="238"/>
      <c r="K349" s="238"/>
      <c r="L349" s="238"/>
      <c r="M349" s="134" t="s">
        <v>49</v>
      </c>
      <c r="N349" s="135" t="s">
        <v>49</v>
      </c>
      <c r="O349" s="238"/>
      <c r="P349" s="105"/>
      <c r="Q349" s="137"/>
      <c r="R349" s="138"/>
      <c r="S349" s="105"/>
      <c r="T349" s="105"/>
      <c r="U349" s="105"/>
      <c r="V349" s="137">
        <v>10</v>
      </c>
      <c r="W349" s="138"/>
      <c r="X349" s="137">
        <v>10</v>
      </c>
      <c r="Y349" s="138"/>
      <c r="Z349" s="105"/>
      <c r="AA349" s="105"/>
      <c r="AB349" s="105"/>
      <c r="AC349" s="105"/>
      <c r="AD349" s="239">
        <v>42917</v>
      </c>
      <c r="AE349" s="130" t="s">
        <v>4238</v>
      </c>
    </row>
    <row r="350" spans="1:31" s="65" customFormat="1" ht="27" customHeight="1" x14ac:dyDescent="0.15">
      <c r="A350" s="105">
        <v>1110801261</v>
      </c>
      <c r="B350" s="192" t="s">
        <v>4234</v>
      </c>
      <c r="C350" s="234" t="s">
        <v>4233</v>
      </c>
      <c r="D350" s="192" t="s">
        <v>2984</v>
      </c>
      <c r="E350" s="192" t="s">
        <v>4241</v>
      </c>
      <c r="F350" s="235" t="s">
        <v>4235</v>
      </c>
      <c r="G350" s="236" t="s">
        <v>4236</v>
      </c>
      <c r="H350" s="236" t="s">
        <v>4237</v>
      </c>
      <c r="I350" s="237"/>
      <c r="J350" s="238"/>
      <c r="K350" s="238"/>
      <c r="L350" s="238"/>
      <c r="M350" s="238" t="s">
        <v>4231</v>
      </c>
      <c r="N350" s="252" t="s">
        <v>4231</v>
      </c>
      <c r="O350" s="252"/>
      <c r="P350" s="105"/>
      <c r="Q350" s="137"/>
      <c r="R350" s="138"/>
      <c r="S350" s="105"/>
      <c r="T350" s="105"/>
      <c r="U350" s="105"/>
      <c r="V350" s="137"/>
      <c r="W350" s="138"/>
      <c r="X350" s="137"/>
      <c r="Y350" s="138"/>
      <c r="Z350" s="105"/>
      <c r="AA350" s="105">
        <v>20</v>
      </c>
      <c r="AB350" s="105"/>
      <c r="AC350" s="105"/>
      <c r="AD350" s="239">
        <v>43101</v>
      </c>
      <c r="AE350" s="130" t="s">
        <v>4239</v>
      </c>
    </row>
    <row r="351" spans="1:31" ht="27" customHeight="1" x14ac:dyDescent="0.15">
      <c r="A351" s="105">
        <v>1110801279</v>
      </c>
      <c r="B351" s="106" t="s">
        <v>11984</v>
      </c>
      <c r="C351" s="107" t="s">
        <v>5805</v>
      </c>
      <c r="D351" s="108" t="s">
        <v>72</v>
      </c>
      <c r="E351" s="108" t="s">
        <v>5806</v>
      </c>
      <c r="F351" s="139">
        <v>3430037</v>
      </c>
      <c r="G351" s="140" t="s">
        <v>5807</v>
      </c>
      <c r="H351" s="140" t="s">
        <v>5807</v>
      </c>
      <c r="I351" s="141" t="s">
        <v>765</v>
      </c>
      <c r="J351" s="142" t="s">
        <v>765</v>
      </c>
      <c r="K351" s="142" t="s">
        <v>765</v>
      </c>
      <c r="L351" s="142" t="s">
        <v>765</v>
      </c>
      <c r="M351" s="142" t="s">
        <v>765</v>
      </c>
      <c r="N351" s="143" t="s">
        <v>765</v>
      </c>
      <c r="O351" s="138" t="s">
        <v>765</v>
      </c>
      <c r="P351" s="105"/>
      <c r="Q351" s="137"/>
      <c r="R351" s="138">
        <v>3</v>
      </c>
      <c r="S351" s="105"/>
      <c r="T351" s="105">
        <v>20</v>
      </c>
      <c r="U351" s="105"/>
      <c r="V351" s="137"/>
      <c r="W351" s="138"/>
      <c r="X351" s="137"/>
      <c r="Y351" s="138"/>
      <c r="Z351" s="105"/>
      <c r="AA351" s="105"/>
      <c r="AB351" s="157"/>
      <c r="AC351" s="157"/>
      <c r="AD351" s="144">
        <v>43922</v>
      </c>
      <c r="AE351" s="108" t="s">
        <v>5808</v>
      </c>
    </row>
    <row r="352" spans="1:31" s="65" customFormat="1" ht="27" customHeight="1" x14ac:dyDescent="0.15">
      <c r="A352" s="150">
        <v>1110801287</v>
      </c>
      <c r="B352" s="106" t="s">
        <v>11985</v>
      </c>
      <c r="C352" s="107" t="s">
        <v>6914</v>
      </c>
      <c r="D352" s="108" t="s">
        <v>72</v>
      </c>
      <c r="E352" s="108" t="s">
        <v>6915</v>
      </c>
      <c r="F352" s="151" t="s">
        <v>4673</v>
      </c>
      <c r="G352" s="152" t="s">
        <v>6916</v>
      </c>
      <c r="H352" s="152" t="s">
        <v>6916</v>
      </c>
      <c r="I352" s="141"/>
      <c r="J352" s="134"/>
      <c r="K352" s="134"/>
      <c r="L352" s="134"/>
      <c r="M352" s="134" t="s">
        <v>765</v>
      </c>
      <c r="N352" s="135" t="s">
        <v>765</v>
      </c>
      <c r="O352" s="136"/>
      <c r="P352" s="150"/>
      <c r="Q352" s="137"/>
      <c r="R352" s="138"/>
      <c r="S352" s="150"/>
      <c r="T352" s="150"/>
      <c r="U352" s="105"/>
      <c r="V352" s="137"/>
      <c r="W352" s="138"/>
      <c r="X352" s="137"/>
      <c r="Y352" s="138"/>
      <c r="Z352" s="105"/>
      <c r="AA352" s="105">
        <v>20</v>
      </c>
      <c r="AB352" s="105"/>
      <c r="AC352" s="105"/>
      <c r="AD352" s="144">
        <v>43191</v>
      </c>
      <c r="AE352" s="108" t="s">
        <v>6917</v>
      </c>
    </row>
    <row r="353" spans="1:31" ht="27" customHeight="1" x14ac:dyDescent="0.15">
      <c r="A353" s="105">
        <v>1110801337</v>
      </c>
      <c r="B353" s="130" t="s">
        <v>11746</v>
      </c>
      <c r="C353" s="107" t="s">
        <v>6135</v>
      </c>
      <c r="D353" s="108" t="s">
        <v>72</v>
      </c>
      <c r="E353" s="108" t="s">
        <v>6136</v>
      </c>
      <c r="F353" s="139">
        <v>3430845</v>
      </c>
      <c r="G353" s="140" t="s">
        <v>6137</v>
      </c>
      <c r="H353" s="140" t="s">
        <v>2126</v>
      </c>
      <c r="I353" s="237" t="s">
        <v>765</v>
      </c>
      <c r="J353" s="238" t="s">
        <v>49</v>
      </c>
      <c r="K353" s="238" t="s">
        <v>49</v>
      </c>
      <c r="L353" s="134" t="s">
        <v>49</v>
      </c>
      <c r="M353" s="134" t="s">
        <v>49</v>
      </c>
      <c r="N353" s="135" t="s">
        <v>49</v>
      </c>
      <c r="O353" s="136" t="s">
        <v>49</v>
      </c>
      <c r="P353" s="105"/>
      <c r="Q353" s="137"/>
      <c r="R353" s="138"/>
      <c r="S353" s="105"/>
      <c r="T353" s="105"/>
      <c r="U353" s="105"/>
      <c r="V353" s="116"/>
      <c r="W353" s="117"/>
      <c r="X353" s="137"/>
      <c r="Y353" s="138"/>
      <c r="Z353" s="105"/>
      <c r="AA353" s="105"/>
      <c r="AB353" s="105" t="s">
        <v>765</v>
      </c>
      <c r="AC353" s="105"/>
      <c r="AD353" s="144">
        <v>43374</v>
      </c>
      <c r="AE353" s="108" t="s">
        <v>6138</v>
      </c>
    </row>
    <row r="354" spans="1:31" ht="27" customHeight="1" x14ac:dyDescent="0.15">
      <c r="A354" s="105">
        <v>1110801360</v>
      </c>
      <c r="B354" s="106" t="s">
        <v>5241</v>
      </c>
      <c r="C354" s="107" t="s">
        <v>4777</v>
      </c>
      <c r="D354" s="108" t="s">
        <v>72</v>
      </c>
      <c r="E354" s="108" t="s">
        <v>4778</v>
      </c>
      <c r="F354" s="139" t="s">
        <v>4779</v>
      </c>
      <c r="G354" s="140" t="s">
        <v>4780</v>
      </c>
      <c r="H354" s="140" t="s">
        <v>4781</v>
      </c>
      <c r="I354" s="141"/>
      <c r="J354" s="142"/>
      <c r="K354" s="142"/>
      <c r="L354" s="142"/>
      <c r="M354" s="142" t="s">
        <v>4782</v>
      </c>
      <c r="N354" s="143"/>
      <c r="O354" s="138"/>
      <c r="P354" s="105"/>
      <c r="Q354" s="137"/>
      <c r="R354" s="138"/>
      <c r="S354" s="105"/>
      <c r="T354" s="76">
        <v>40</v>
      </c>
      <c r="U354" s="105"/>
      <c r="V354" s="137"/>
      <c r="W354" s="138"/>
      <c r="X354" s="137"/>
      <c r="Y354" s="138"/>
      <c r="Z354" s="105"/>
      <c r="AA354" s="105"/>
      <c r="AB354" s="105"/>
      <c r="AC354" s="105"/>
      <c r="AD354" s="144">
        <v>43405</v>
      </c>
      <c r="AE354" s="108" t="s">
        <v>4783</v>
      </c>
    </row>
    <row r="355" spans="1:31" ht="27" customHeight="1" x14ac:dyDescent="0.15">
      <c r="A355" s="105">
        <v>1110801428</v>
      </c>
      <c r="B355" s="157" t="s">
        <v>5250</v>
      </c>
      <c r="C355" s="107" t="s">
        <v>5034</v>
      </c>
      <c r="D355" s="108" t="s">
        <v>72</v>
      </c>
      <c r="E355" s="107" t="s">
        <v>5035</v>
      </c>
      <c r="F355" s="110" t="s">
        <v>5036</v>
      </c>
      <c r="G355" s="253" t="s">
        <v>5090</v>
      </c>
      <c r="H355" s="236" t="s">
        <v>5089</v>
      </c>
      <c r="I355" s="141"/>
      <c r="J355" s="142"/>
      <c r="K355" s="142"/>
      <c r="L355" s="142"/>
      <c r="M355" s="142" t="s">
        <v>49</v>
      </c>
      <c r="N355" s="143"/>
      <c r="O355" s="138"/>
      <c r="P355" s="105"/>
      <c r="Q355" s="137"/>
      <c r="R355" s="138"/>
      <c r="S355" s="105"/>
      <c r="T355" s="105">
        <v>20</v>
      </c>
      <c r="U355" s="105"/>
      <c r="V355" s="137"/>
      <c r="W355" s="138"/>
      <c r="X355" s="137"/>
      <c r="Y355" s="138"/>
      <c r="Z355" s="105"/>
      <c r="AA355" s="105"/>
      <c r="AB355" s="105"/>
      <c r="AC355" s="105"/>
      <c r="AD355" s="144">
        <v>43556</v>
      </c>
      <c r="AE355" s="108" t="s">
        <v>5037</v>
      </c>
    </row>
    <row r="356" spans="1:31" ht="27" customHeight="1" x14ac:dyDescent="0.15">
      <c r="A356" s="105">
        <v>1110801444</v>
      </c>
      <c r="B356" s="192" t="s">
        <v>4385</v>
      </c>
      <c r="C356" s="192" t="s">
        <v>6139</v>
      </c>
      <c r="D356" s="192" t="s">
        <v>72</v>
      </c>
      <c r="E356" s="192" t="s">
        <v>4381</v>
      </c>
      <c r="F356" s="235" t="s">
        <v>4383</v>
      </c>
      <c r="G356" s="236" t="s">
        <v>4384</v>
      </c>
      <c r="H356" s="236" t="s">
        <v>4384</v>
      </c>
      <c r="I356" s="237"/>
      <c r="J356" s="238"/>
      <c r="K356" s="238"/>
      <c r="L356" s="238"/>
      <c r="M356" s="238" t="s">
        <v>765</v>
      </c>
      <c r="N356" s="252" t="s">
        <v>765</v>
      </c>
      <c r="O356" s="252"/>
      <c r="P356" s="105"/>
      <c r="Q356" s="137"/>
      <c r="R356" s="138"/>
      <c r="S356" s="105"/>
      <c r="T356" s="105"/>
      <c r="U356" s="105"/>
      <c r="V356" s="137"/>
      <c r="W356" s="138"/>
      <c r="X356" s="137"/>
      <c r="Y356" s="138"/>
      <c r="Z356" s="105"/>
      <c r="AA356" s="105"/>
      <c r="AB356" s="105" t="s">
        <v>765</v>
      </c>
      <c r="AC356" s="105"/>
      <c r="AD356" s="239">
        <v>43647</v>
      </c>
      <c r="AE356" s="130" t="s">
        <v>4382</v>
      </c>
    </row>
    <row r="357" spans="1:31" ht="27" customHeight="1" x14ac:dyDescent="0.15">
      <c r="A357" s="105">
        <v>1110801469</v>
      </c>
      <c r="B357" s="106" t="s">
        <v>5425</v>
      </c>
      <c r="C357" s="107" t="s">
        <v>5424</v>
      </c>
      <c r="D357" s="108" t="s">
        <v>2984</v>
      </c>
      <c r="E357" s="108" t="s">
        <v>5221</v>
      </c>
      <c r="F357" s="139">
        <v>3430845</v>
      </c>
      <c r="G357" s="140" t="s">
        <v>5222</v>
      </c>
      <c r="H357" s="140" t="s">
        <v>5223</v>
      </c>
      <c r="I357" s="141"/>
      <c r="J357" s="238" t="s">
        <v>5225</v>
      </c>
      <c r="K357" s="238" t="s">
        <v>5225</v>
      </c>
      <c r="L357" s="238" t="s">
        <v>5225</v>
      </c>
      <c r="M357" s="238" t="s">
        <v>5225</v>
      </c>
      <c r="N357" s="238" t="s">
        <v>5225</v>
      </c>
      <c r="O357" s="238" t="s">
        <v>5225</v>
      </c>
      <c r="P357" s="105"/>
      <c r="Q357" s="137"/>
      <c r="R357" s="138"/>
      <c r="S357" s="105"/>
      <c r="T357" s="105"/>
      <c r="U357" s="105"/>
      <c r="V357" s="137"/>
      <c r="W357" s="138"/>
      <c r="X357" s="137">
        <v>20</v>
      </c>
      <c r="Y357" s="138"/>
      <c r="Z357" s="105"/>
      <c r="AA357" s="105"/>
      <c r="AB357" s="105"/>
      <c r="AC357" s="105"/>
      <c r="AD357" s="144">
        <v>43678</v>
      </c>
      <c r="AE357" s="108" t="s">
        <v>5224</v>
      </c>
    </row>
    <row r="358" spans="1:31" s="65" customFormat="1" ht="27" customHeight="1" x14ac:dyDescent="0.15">
      <c r="A358" s="105">
        <v>1110801477</v>
      </c>
      <c r="B358" s="106" t="s">
        <v>5251</v>
      </c>
      <c r="C358" s="107" t="s">
        <v>5226</v>
      </c>
      <c r="D358" s="108" t="s">
        <v>2984</v>
      </c>
      <c r="E358" s="108" t="s">
        <v>5227</v>
      </c>
      <c r="F358" s="139" t="s">
        <v>2757</v>
      </c>
      <c r="G358" s="140" t="s">
        <v>5228</v>
      </c>
      <c r="H358" s="140" t="s">
        <v>5229</v>
      </c>
      <c r="I358" s="141"/>
      <c r="J358" s="142"/>
      <c r="K358" s="142"/>
      <c r="L358" s="238" t="s">
        <v>5225</v>
      </c>
      <c r="M358" s="238" t="s">
        <v>5225</v>
      </c>
      <c r="N358" s="238" t="s">
        <v>5225</v>
      </c>
      <c r="O358" s="238" t="s">
        <v>5225</v>
      </c>
      <c r="P358" s="105"/>
      <c r="Q358" s="137"/>
      <c r="R358" s="138"/>
      <c r="S358" s="105"/>
      <c r="T358" s="105"/>
      <c r="U358" s="105"/>
      <c r="V358" s="137"/>
      <c r="W358" s="138"/>
      <c r="X358" s="137"/>
      <c r="Y358" s="138"/>
      <c r="Z358" s="105">
        <v>20</v>
      </c>
      <c r="AA358" s="105"/>
      <c r="AB358" s="105"/>
      <c r="AC358" s="105"/>
      <c r="AD358" s="144">
        <v>43678</v>
      </c>
      <c r="AE358" s="108" t="s">
        <v>5230</v>
      </c>
    </row>
    <row r="359" spans="1:31" ht="27" customHeight="1" x14ac:dyDescent="0.15">
      <c r="A359" s="105">
        <v>1110801493</v>
      </c>
      <c r="B359" s="106" t="s">
        <v>5327</v>
      </c>
      <c r="C359" s="107" t="s">
        <v>5322</v>
      </c>
      <c r="D359" s="108" t="s">
        <v>2984</v>
      </c>
      <c r="E359" s="108" t="s">
        <v>5323</v>
      </c>
      <c r="F359" s="139" t="s">
        <v>2124</v>
      </c>
      <c r="G359" s="140" t="s">
        <v>5324</v>
      </c>
      <c r="H359" s="140" t="s">
        <v>5325</v>
      </c>
      <c r="I359" s="141" t="s">
        <v>49</v>
      </c>
      <c r="J359" s="142" t="s">
        <v>49</v>
      </c>
      <c r="K359" s="142" t="s">
        <v>49</v>
      </c>
      <c r="L359" s="142" t="s">
        <v>49</v>
      </c>
      <c r="M359" s="142" t="s">
        <v>49</v>
      </c>
      <c r="N359" s="143" t="s">
        <v>49</v>
      </c>
      <c r="O359" s="138" t="s">
        <v>49</v>
      </c>
      <c r="P359" s="105"/>
      <c r="Q359" s="137"/>
      <c r="R359" s="138"/>
      <c r="S359" s="105"/>
      <c r="T359" s="105"/>
      <c r="U359" s="105"/>
      <c r="V359" s="137"/>
      <c r="W359" s="138"/>
      <c r="X359" s="137">
        <v>20</v>
      </c>
      <c r="Y359" s="138"/>
      <c r="Z359" s="105"/>
      <c r="AA359" s="105"/>
      <c r="AB359" s="105"/>
      <c r="AC359" s="105"/>
      <c r="AD359" s="144">
        <v>43739</v>
      </c>
      <c r="AE359" s="108" t="s">
        <v>5326</v>
      </c>
    </row>
    <row r="360" spans="1:31" ht="27" customHeight="1" x14ac:dyDescent="0.15">
      <c r="A360" s="105">
        <v>1110801501</v>
      </c>
      <c r="B360" s="106" t="s">
        <v>11747</v>
      </c>
      <c r="C360" s="107" t="s">
        <v>5328</v>
      </c>
      <c r="D360" s="108" t="s">
        <v>2984</v>
      </c>
      <c r="E360" s="108" t="s">
        <v>5329</v>
      </c>
      <c r="F360" s="139" t="s">
        <v>5330</v>
      </c>
      <c r="G360" s="140" t="s">
        <v>6129</v>
      </c>
      <c r="H360" s="140" t="s">
        <v>6130</v>
      </c>
      <c r="I360" s="141"/>
      <c r="J360" s="142"/>
      <c r="K360" s="142"/>
      <c r="L360" s="142"/>
      <c r="M360" s="142" t="s">
        <v>49</v>
      </c>
      <c r="N360" s="143" t="s">
        <v>49</v>
      </c>
      <c r="O360" s="138"/>
      <c r="P360" s="105"/>
      <c r="Q360" s="137"/>
      <c r="R360" s="138"/>
      <c r="S360" s="105"/>
      <c r="T360" s="105">
        <v>20</v>
      </c>
      <c r="U360" s="105"/>
      <c r="V360" s="137"/>
      <c r="W360" s="138"/>
      <c r="X360" s="137"/>
      <c r="Y360" s="138"/>
      <c r="Z360" s="105"/>
      <c r="AA360" s="105"/>
      <c r="AB360" s="105"/>
      <c r="AC360" s="105"/>
      <c r="AD360" s="144">
        <v>43739</v>
      </c>
      <c r="AE360" s="108" t="s">
        <v>5331</v>
      </c>
    </row>
    <row r="361" spans="1:31" ht="27" customHeight="1" x14ac:dyDescent="0.15">
      <c r="A361" s="105">
        <v>1110801535</v>
      </c>
      <c r="B361" s="106" t="s">
        <v>11748</v>
      </c>
      <c r="C361" s="107" t="s">
        <v>5596</v>
      </c>
      <c r="D361" s="108" t="s">
        <v>72</v>
      </c>
      <c r="E361" s="108" t="s">
        <v>5597</v>
      </c>
      <c r="F361" s="139" t="s">
        <v>5598</v>
      </c>
      <c r="G361" s="140" t="s">
        <v>5599</v>
      </c>
      <c r="H361" s="140" t="s">
        <v>5600</v>
      </c>
      <c r="I361" s="141" t="s">
        <v>49</v>
      </c>
      <c r="J361" s="142" t="s">
        <v>49</v>
      </c>
      <c r="K361" s="142" t="s">
        <v>49</v>
      </c>
      <c r="L361" s="142" t="s">
        <v>49</v>
      </c>
      <c r="M361" s="142" t="s">
        <v>49</v>
      </c>
      <c r="N361" s="143" t="s">
        <v>49</v>
      </c>
      <c r="O361" s="138" t="s">
        <v>765</v>
      </c>
      <c r="P361" s="105"/>
      <c r="Q361" s="137"/>
      <c r="R361" s="138"/>
      <c r="S361" s="105"/>
      <c r="T361" s="105">
        <v>5</v>
      </c>
      <c r="U361" s="105"/>
      <c r="V361" s="137"/>
      <c r="W361" s="138"/>
      <c r="X361" s="137"/>
      <c r="Y361" s="138"/>
      <c r="Z361" s="105"/>
      <c r="AA361" s="105"/>
      <c r="AB361" s="105"/>
      <c r="AC361" s="105"/>
      <c r="AD361" s="144">
        <v>43891</v>
      </c>
      <c r="AE361" s="108" t="s">
        <v>5601</v>
      </c>
    </row>
    <row r="362" spans="1:31" ht="27" customHeight="1" x14ac:dyDescent="0.15">
      <c r="A362" s="105">
        <v>1110801543</v>
      </c>
      <c r="B362" s="106" t="s">
        <v>11942</v>
      </c>
      <c r="C362" s="107" t="s">
        <v>5788</v>
      </c>
      <c r="D362" s="108" t="s">
        <v>72</v>
      </c>
      <c r="E362" s="108" t="s">
        <v>5789</v>
      </c>
      <c r="F362" s="139" t="s">
        <v>5790</v>
      </c>
      <c r="G362" s="140" t="s">
        <v>5791</v>
      </c>
      <c r="H362" s="140" t="s">
        <v>5792</v>
      </c>
      <c r="I362" s="141"/>
      <c r="J362" s="142"/>
      <c r="K362" s="142"/>
      <c r="L362" s="142"/>
      <c r="M362" s="142" t="s">
        <v>49</v>
      </c>
      <c r="N362" s="143" t="s">
        <v>49</v>
      </c>
      <c r="O362" s="138"/>
      <c r="P362" s="105"/>
      <c r="Q362" s="137"/>
      <c r="R362" s="138"/>
      <c r="S362" s="105"/>
      <c r="T362" s="105"/>
      <c r="U362" s="105"/>
      <c r="V362" s="137"/>
      <c r="W362" s="138"/>
      <c r="X362" s="137"/>
      <c r="Y362" s="138"/>
      <c r="Z362" s="105"/>
      <c r="AA362" s="105">
        <v>20</v>
      </c>
      <c r="AB362" s="198"/>
      <c r="AC362" s="198"/>
      <c r="AD362" s="144">
        <v>43922</v>
      </c>
      <c r="AE362" s="108" t="s">
        <v>5793</v>
      </c>
    </row>
    <row r="363" spans="1:31" ht="27" customHeight="1" x14ac:dyDescent="0.15">
      <c r="A363" s="105">
        <v>1110801550</v>
      </c>
      <c r="B363" s="106" t="s">
        <v>11749</v>
      </c>
      <c r="C363" s="107" t="s">
        <v>5799</v>
      </c>
      <c r="D363" s="108" t="s">
        <v>72</v>
      </c>
      <c r="E363" s="108" t="s">
        <v>5800</v>
      </c>
      <c r="F363" s="139" t="s">
        <v>5801</v>
      </c>
      <c r="G363" s="140" t="s">
        <v>5802</v>
      </c>
      <c r="H363" s="140" t="s">
        <v>5803</v>
      </c>
      <c r="I363" s="141"/>
      <c r="J363" s="142"/>
      <c r="K363" s="142"/>
      <c r="L363" s="142"/>
      <c r="M363" s="142" t="s">
        <v>765</v>
      </c>
      <c r="N363" s="143"/>
      <c r="O363" s="138"/>
      <c r="P363" s="105"/>
      <c r="Q363" s="137"/>
      <c r="R363" s="138"/>
      <c r="S363" s="105"/>
      <c r="T363" s="105">
        <v>40</v>
      </c>
      <c r="U363" s="105"/>
      <c r="V363" s="116"/>
      <c r="W363" s="138"/>
      <c r="X363" s="116"/>
      <c r="Y363" s="138"/>
      <c r="Z363" s="105"/>
      <c r="AA363" s="105"/>
      <c r="AB363" s="105"/>
      <c r="AC363" s="105"/>
      <c r="AD363" s="144">
        <v>44287</v>
      </c>
      <c r="AE363" s="108" t="s">
        <v>5804</v>
      </c>
    </row>
    <row r="364" spans="1:31" ht="27" customHeight="1" x14ac:dyDescent="0.15">
      <c r="A364" s="105">
        <v>1110801568</v>
      </c>
      <c r="B364" s="106" t="s">
        <v>11750</v>
      </c>
      <c r="C364" s="107" t="s">
        <v>5874</v>
      </c>
      <c r="D364" s="108" t="s">
        <v>72</v>
      </c>
      <c r="E364" s="108" t="s">
        <v>5875</v>
      </c>
      <c r="F364" s="139">
        <v>3430804</v>
      </c>
      <c r="G364" s="140" t="s">
        <v>5876</v>
      </c>
      <c r="H364" s="140" t="s">
        <v>5877</v>
      </c>
      <c r="I364" s="141" t="s">
        <v>765</v>
      </c>
      <c r="J364" s="142" t="s">
        <v>765</v>
      </c>
      <c r="K364" s="142" t="s">
        <v>765</v>
      </c>
      <c r="L364" s="142" t="s">
        <v>765</v>
      </c>
      <c r="M364" s="142" t="s">
        <v>765</v>
      </c>
      <c r="N364" s="143" t="s">
        <v>765</v>
      </c>
      <c r="O364" s="138" t="s">
        <v>765</v>
      </c>
      <c r="P364" s="105"/>
      <c r="Q364" s="137"/>
      <c r="R364" s="138"/>
      <c r="S364" s="105"/>
      <c r="T364" s="105"/>
      <c r="U364" s="105"/>
      <c r="V364" s="137"/>
      <c r="W364" s="138"/>
      <c r="X364" s="137"/>
      <c r="Y364" s="138"/>
      <c r="Z364" s="105"/>
      <c r="AA364" s="105">
        <v>20</v>
      </c>
      <c r="AB364" s="157"/>
      <c r="AC364" s="157"/>
      <c r="AD364" s="144">
        <v>43922</v>
      </c>
      <c r="AE364" s="108" t="s">
        <v>5878</v>
      </c>
    </row>
    <row r="365" spans="1:31" s="65" customFormat="1" ht="27" customHeight="1" x14ac:dyDescent="0.15">
      <c r="A365" s="105">
        <v>1110801618</v>
      </c>
      <c r="B365" s="130" t="s">
        <v>11751</v>
      </c>
      <c r="C365" s="107" t="s">
        <v>6194</v>
      </c>
      <c r="D365" s="108" t="s">
        <v>72</v>
      </c>
      <c r="E365" s="108" t="s">
        <v>6195</v>
      </c>
      <c r="F365" s="139">
        <v>3430845</v>
      </c>
      <c r="G365" s="140" t="s">
        <v>6196</v>
      </c>
      <c r="H365" s="140" t="s">
        <v>6196</v>
      </c>
      <c r="I365" s="141"/>
      <c r="J365" s="142"/>
      <c r="K365" s="142"/>
      <c r="L365" s="142"/>
      <c r="M365" s="142" t="s">
        <v>765</v>
      </c>
      <c r="N365" s="143" t="s">
        <v>765</v>
      </c>
      <c r="O365" s="138"/>
      <c r="P365" s="105"/>
      <c r="Q365" s="137"/>
      <c r="R365" s="138"/>
      <c r="S365" s="105"/>
      <c r="T365" s="105"/>
      <c r="U365" s="105"/>
      <c r="V365" s="116"/>
      <c r="W365" s="117"/>
      <c r="X365" s="137"/>
      <c r="Y365" s="138"/>
      <c r="Z365" s="105"/>
      <c r="AA365" s="105">
        <v>20</v>
      </c>
      <c r="AB365" s="105"/>
      <c r="AC365" s="105"/>
      <c r="AD365" s="144">
        <v>44013</v>
      </c>
      <c r="AE365" s="108" t="s">
        <v>6197</v>
      </c>
    </row>
    <row r="366" spans="1:31" s="65" customFormat="1" ht="27" customHeight="1" x14ac:dyDescent="0.15">
      <c r="A366" s="105">
        <v>1110801626</v>
      </c>
      <c r="B366" s="130" t="s">
        <v>11752</v>
      </c>
      <c r="C366" s="107" t="s">
        <v>6314</v>
      </c>
      <c r="D366" s="108" t="s">
        <v>72</v>
      </c>
      <c r="E366" s="108" t="s">
        <v>6315</v>
      </c>
      <c r="F366" s="139" t="s">
        <v>2124</v>
      </c>
      <c r="G366" s="140" t="s">
        <v>5324</v>
      </c>
      <c r="H366" s="140" t="s">
        <v>5325</v>
      </c>
      <c r="I366" s="141" t="s">
        <v>49</v>
      </c>
      <c r="J366" s="134" t="s">
        <v>49</v>
      </c>
      <c r="K366" s="134" t="s">
        <v>49</v>
      </c>
      <c r="L366" s="134" t="s">
        <v>49</v>
      </c>
      <c r="M366" s="134" t="s">
        <v>49</v>
      </c>
      <c r="N366" s="135" t="s">
        <v>49</v>
      </c>
      <c r="O366" s="136" t="s">
        <v>49</v>
      </c>
      <c r="P366" s="105"/>
      <c r="Q366" s="137"/>
      <c r="R366" s="138"/>
      <c r="S366" s="105"/>
      <c r="T366" s="105"/>
      <c r="U366" s="105"/>
      <c r="V366" s="116"/>
      <c r="W366" s="117"/>
      <c r="X366" s="137"/>
      <c r="Y366" s="138"/>
      <c r="Z366" s="105"/>
      <c r="AA366" s="105"/>
      <c r="AB366" s="105" t="s">
        <v>49</v>
      </c>
      <c r="AC366" s="105"/>
      <c r="AD366" s="144" t="s">
        <v>6316</v>
      </c>
      <c r="AE366" s="108" t="s">
        <v>6317</v>
      </c>
    </row>
    <row r="367" spans="1:31" s="65" customFormat="1" ht="27" customHeight="1" x14ac:dyDescent="0.15">
      <c r="A367" s="105">
        <v>1110801642</v>
      </c>
      <c r="B367" s="130" t="s">
        <v>11943</v>
      </c>
      <c r="C367" s="107" t="s">
        <v>6345</v>
      </c>
      <c r="D367" s="108" t="s">
        <v>72</v>
      </c>
      <c r="E367" s="108" t="s">
        <v>6346</v>
      </c>
      <c r="F367" s="139" t="s">
        <v>6342</v>
      </c>
      <c r="G367" s="140" t="s">
        <v>6347</v>
      </c>
      <c r="H367" s="140" t="s">
        <v>6348</v>
      </c>
      <c r="I367" s="141" t="s">
        <v>765</v>
      </c>
      <c r="J367" s="134" t="s">
        <v>765</v>
      </c>
      <c r="K367" s="134" t="s">
        <v>765</v>
      </c>
      <c r="L367" s="134" t="s">
        <v>765</v>
      </c>
      <c r="M367" s="134" t="s">
        <v>765</v>
      </c>
      <c r="N367" s="135" t="s">
        <v>765</v>
      </c>
      <c r="O367" s="136" t="s">
        <v>765</v>
      </c>
      <c r="P367" s="105"/>
      <c r="Q367" s="137"/>
      <c r="R367" s="138"/>
      <c r="S367" s="105"/>
      <c r="T367" s="105"/>
      <c r="U367" s="105"/>
      <c r="V367" s="116"/>
      <c r="W367" s="117"/>
      <c r="X367" s="137"/>
      <c r="Y367" s="138"/>
      <c r="Z367" s="105">
        <v>20</v>
      </c>
      <c r="AA367" s="105"/>
      <c r="AB367" s="105"/>
      <c r="AC367" s="105"/>
      <c r="AD367" s="144">
        <v>44136</v>
      </c>
      <c r="AE367" s="108" t="s">
        <v>6349</v>
      </c>
    </row>
    <row r="368" spans="1:31" ht="27" customHeight="1" x14ac:dyDescent="0.15">
      <c r="A368" s="105">
        <v>1110801675</v>
      </c>
      <c r="B368" s="106" t="s">
        <v>11753</v>
      </c>
      <c r="C368" s="107" t="s">
        <v>6474</v>
      </c>
      <c r="D368" s="108" t="s">
        <v>72</v>
      </c>
      <c r="E368" s="108" t="s">
        <v>6475</v>
      </c>
      <c r="F368" s="139" t="s">
        <v>6918</v>
      </c>
      <c r="G368" s="140" t="s">
        <v>6476</v>
      </c>
      <c r="H368" s="140" t="s">
        <v>6919</v>
      </c>
      <c r="I368" s="141" t="s">
        <v>765</v>
      </c>
      <c r="J368" s="142"/>
      <c r="K368" s="142"/>
      <c r="L368" s="142"/>
      <c r="M368" s="142" t="s">
        <v>765</v>
      </c>
      <c r="N368" s="143"/>
      <c r="O368" s="136" t="s">
        <v>765</v>
      </c>
      <c r="P368" s="105"/>
      <c r="Q368" s="137"/>
      <c r="R368" s="138"/>
      <c r="S368" s="105"/>
      <c r="T368" s="105">
        <v>9</v>
      </c>
      <c r="U368" s="105"/>
      <c r="V368" s="137"/>
      <c r="W368" s="138"/>
      <c r="X368" s="137"/>
      <c r="Y368" s="138"/>
      <c r="Z368" s="105"/>
      <c r="AA368" s="105"/>
      <c r="AB368" s="105"/>
      <c r="AC368" s="105"/>
      <c r="AD368" s="144">
        <v>44197</v>
      </c>
      <c r="AE368" s="108" t="s">
        <v>6477</v>
      </c>
    </row>
    <row r="369" spans="1:31" ht="27" customHeight="1" x14ac:dyDescent="0.15">
      <c r="A369" s="105">
        <v>1110801725</v>
      </c>
      <c r="B369" s="106" t="s">
        <v>11745</v>
      </c>
      <c r="C369" s="107" t="s">
        <v>6997</v>
      </c>
      <c r="D369" s="108" t="s">
        <v>72</v>
      </c>
      <c r="E369" s="108" t="s">
        <v>6555</v>
      </c>
      <c r="F369" s="139" t="s">
        <v>3984</v>
      </c>
      <c r="G369" s="140" t="s">
        <v>3985</v>
      </c>
      <c r="H369" s="140" t="s">
        <v>3986</v>
      </c>
      <c r="I369" s="141" t="s">
        <v>49</v>
      </c>
      <c r="J369" s="142"/>
      <c r="K369" s="142"/>
      <c r="L369" s="142" t="s">
        <v>49</v>
      </c>
      <c r="M369" s="142" t="s">
        <v>49</v>
      </c>
      <c r="N369" s="142" t="s">
        <v>49</v>
      </c>
      <c r="O369" s="136" t="s">
        <v>765</v>
      </c>
      <c r="P369" s="105"/>
      <c r="Q369" s="137"/>
      <c r="R369" s="138"/>
      <c r="S369" s="105"/>
      <c r="T369" s="105"/>
      <c r="U369" s="105"/>
      <c r="V369" s="137"/>
      <c r="W369" s="138"/>
      <c r="X369" s="137"/>
      <c r="Y369" s="138"/>
      <c r="Z369" s="105"/>
      <c r="AA369" s="105"/>
      <c r="AB369" s="118" t="s">
        <v>4614</v>
      </c>
      <c r="AC369" s="118"/>
      <c r="AD369" s="144">
        <v>44256</v>
      </c>
      <c r="AE369" s="108" t="s">
        <v>6556</v>
      </c>
    </row>
    <row r="370" spans="1:31" s="65" customFormat="1" ht="27" customHeight="1" x14ac:dyDescent="0.15">
      <c r="A370" s="105">
        <v>1110801733</v>
      </c>
      <c r="B370" s="130" t="s">
        <v>11754</v>
      </c>
      <c r="C370" s="107" t="s">
        <v>6557</v>
      </c>
      <c r="D370" s="108" t="s">
        <v>72</v>
      </c>
      <c r="E370" s="108" t="s">
        <v>6558</v>
      </c>
      <c r="F370" s="139" t="s">
        <v>6559</v>
      </c>
      <c r="G370" s="140" t="s">
        <v>6560</v>
      </c>
      <c r="H370" s="140" t="s">
        <v>6561</v>
      </c>
      <c r="I370" s="141" t="s">
        <v>49</v>
      </c>
      <c r="J370" s="134" t="s">
        <v>49</v>
      </c>
      <c r="K370" s="134" t="s">
        <v>49</v>
      </c>
      <c r="L370" s="134" t="s">
        <v>49</v>
      </c>
      <c r="M370" s="134" t="s">
        <v>49</v>
      </c>
      <c r="N370" s="135" t="s">
        <v>49</v>
      </c>
      <c r="O370" s="136" t="s">
        <v>765</v>
      </c>
      <c r="P370" s="105"/>
      <c r="Q370" s="137"/>
      <c r="R370" s="138"/>
      <c r="S370" s="105"/>
      <c r="T370" s="105"/>
      <c r="U370" s="105"/>
      <c r="V370" s="116"/>
      <c r="W370" s="117"/>
      <c r="X370" s="137"/>
      <c r="Y370" s="138"/>
      <c r="Z370" s="105"/>
      <c r="AA370" s="105">
        <v>20</v>
      </c>
      <c r="AB370" s="105"/>
      <c r="AC370" s="105"/>
      <c r="AD370" s="144">
        <v>44256</v>
      </c>
      <c r="AE370" s="108" t="s">
        <v>6562</v>
      </c>
    </row>
    <row r="371" spans="1:31" s="65" customFormat="1" ht="27" customHeight="1" x14ac:dyDescent="0.15">
      <c r="A371" s="150">
        <v>1110801741</v>
      </c>
      <c r="B371" s="106" t="s">
        <v>11755</v>
      </c>
      <c r="C371" s="107" t="s">
        <v>6563</v>
      </c>
      <c r="D371" s="108" t="s">
        <v>72</v>
      </c>
      <c r="E371" s="108" t="s">
        <v>6564</v>
      </c>
      <c r="F371" s="151" t="s">
        <v>2757</v>
      </c>
      <c r="G371" s="152" t="s">
        <v>6565</v>
      </c>
      <c r="H371" s="132" t="s">
        <v>6565</v>
      </c>
      <c r="I371" s="141"/>
      <c r="J371" s="134"/>
      <c r="K371" s="134"/>
      <c r="L371" s="134"/>
      <c r="M371" s="134" t="s">
        <v>49</v>
      </c>
      <c r="N371" s="135" t="s">
        <v>49</v>
      </c>
      <c r="O371" s="136"/>
      <c r="P371" s="150"/>
      <c r="Q371" s="137"/>
      <c r="R371" s="138"/>
      <c r="S371" s="150"/>
      <c r="T371" s="150"/>
      <c r="U371" s="105"/>
      <c r="V371" s="137"/>
      <c r="W371" s="138"/>
      <c r="X371" s="137"/>
      <c r="Y371" s="138"/>
      <c r="Z371" s="105">
        <v>14</v>
      </c>
      <c r="AA371" s="105"/>
      <c r="AB371" s="105"/>
      <c r="AC371" s="105"/>
      <c r="AD371" s="144">
        <v>44256</v>
      </c>
      <c r="AE371" s="108" t="s">
        <v>6566</v>
      </c>
    </row>
    <row r="372" spans="1:31" ht="27" customHeight="1" x14ac:dyDescent="0.15">
      <c r="A372" s="105">
        <v>1110801758</v>
      </c>
      <c r="B372" s="106" t="s">
        <v>12009</v>
      </c>
      <c r="C372" s="107" t="s">
        <v>6650</v>
      </c>
      <c r="D372" s="108" t="s">
        <v>72</v>
      </c>
      <c r="E372" s="108" t="s">
        <v>3515</v>
      </c>
      <c r="F372" s="139" t="s">
        <v>4779</v>
      </c>
      <c r="G372" s="140" t="s">
        <v>3516</v>
      </c>
      <c r="H372" s="140" t="s">
        <v>3517</v>
      </c>
      <c r="I372" s="141"/>
      <c r="J372" s="142"/>
      <c r="K372" s="142"/>
      <c r="L372" s="142"/>
      <c r="M372" s="142" t="s">
        <v>49</v>
      </c>
      <c r="N372" s="142"/>
      <c r="O372" s="136"/>
      <c r="P372" s="105"/>
      <c r="Q372" s="137"/>
      <c r="R372" s="138"/>
      <c r="S372" s="105"/>
      <c r="T372" s="105"/>
      <c r="U372" s="105"/>
      <c r="V372" s="137"/>
      <c r="W372" s="138"/>
      <c r="X372" s="137"/>
      <c r="Y372" s="138"/>
      <c r="Z372" s="105"/>
      <c r="AA372" s="105"/>
      <c r="AB372" s="118" t="s">
        <v>4614</v>
      </c>
      <c r="AC372" s="118"/>
      <c r="AD372" s="144">
        <v>44287</v>
      </c>
      <c r="AE372" s="108" t="s">
        <v>6651</v>
      </c>
    </row>
    <row r="373" spans="1:31" s="65" customFormat="1" ht="27" customHeight="1" x14ac:dyDescent="0.15">
      <c r="A373" s="76">
        <v>1110801782</v>
      </c>
      <c r="B373" s="165" t="s">
        <v>11756</v>
      </c>
      <c r="C373" s="164" t="s">
        <v>6860</v>
      </c>
      <c r="D373" s="166" t="s">
        <v>72</v>
      </c>
      <c r="E373" s="166" t="s">
        <v>9320</v>
      </c>
      <c r="F373" s="167" t="s">
        <v>3984</v>
      </c>
      <c r="G373" s="168" t="s">
        <v>6998</v>
      </c>
      <c r="H373" s="168" t="s">
        <v>6999</v>
      </c>
      <c r="I373" s="170" t="s">
        <v>765</v>
      </c>
      <c r="J373" s="170" t="s">
        <v>765</v>
      </c>
      <c r="K373" s="170" t="s">
        <v>765</v>
      </c>
      <c r="L373" s="170" t="s">
        <v>765</v>
      </c>
      <c r="M373" s="170" t="s">
        <v>765</v>
      </c>
      <c r="N373" s="170" t="s">
        <v>765</v>
      </c>
      <c r="O373" s="170" t="s">
        <v>765</v>
      </c>
      <c r="P373" s="76"/>
      <c r="Q373" s="70"/>
      <c r="R373" s="92"/>
      <c r="S373" s="76"/>
      <c r="T373" s="76"/>
      <c r="U373" s="76"/>
      <c r="V373" s="103"/>
      <c r="W373" s="75"/>
      <c r="X373" s="70"/>
      <c r="Y373" s="92"/>
      <c r="Z373" s="76">
        <v>16</v>
      </c>
      <c r="AA373" s="76"/>
      <c r="AB373" s="76"/>
      <c r="AC373" s="76"/>
      <c r="AD373" s="145">
        <v>44378</v>
      </c>
      <c r="AE373" s="166" t="s">
        <v>9321</v>
      </c>
    </row>
    <row r="374" spans="1:31" s="65" customFormat="1" ht="27" customHeight="1" x14ac:dyDescent="0.15">
      <c r="A374" s="105">
        <v>1110801790</v>
      </c>
      <c r="B374" s="130" t="s">
        <v>11757</v>
      </c>
      <c r="C374" s="108" t="s">
        <v>6920</v>
      </c>
      <c r="D374" s="108" t="s">
        <v>72</v>
      </c>
      <c r="E374" s="108" t="s">
        <v>6921</v>
      </c>
      <c r="F374" s="139" t="s">
        <v>2124</v>
      </c>
      <c r="G374" s="139" t="s">
        <v>6922</v>
      </c>
      <c r="H374" s="139" t="s">
        <v>6923</v>
      </c>
      <c r="I374" s="141" t="s">
        <v>765</v>
      </c>
      <c r="J374" s="142" t="s">
        <v>765</v>
      </c>
      <c r="K374" s="142" t="s">
        <v>765</v>
      </c>
      <c r="L374" s="142" t="s">
        <v>765</v>
      </c>
      <c r="M374" s="142" t="s">
        <v>765</v>
      </c>
      <c r="N374" s="142" t="s">
        <v>765</v>
      </c>
      <c r="O374" s="136" t="s">
        <v>765</v>
      </c>
      <c r="P374" s="105"/>
      <c r="Q374" s="116"/>
      <c r="R374" s="138"/>
      <c r="S374" s="105"/>
      <c r="T374" s="105"/>
      <c r="U374" s="105"/>
      <c r="V374" s="116"/>
      <c r="W374" s="138"/>
      <c r="X374" s="116">
        <v>20</v>
      </c>
      <c r="Y374" s="138"/>
      <c r="Z374" s="105"/>
      <c r="AA374" s="105"/>
      <c r="AB374" s="105"/>
      <c r="AC374" s="105"/>
      <c r="AD374" s="118">
        <v>44409</v>
      </c>
      <c r="AE374" s="108" t="s">
        <v>6924</v>
      </c>
    </row>
    <row r="375" spans="1:31" ht="27" customHeight="1" x14ac:dyDescent="0.15">
      <c r="A375" s="150">
        <v>1110801808</v>
      </c>
      <c r="B375" s="106" t="s">
        <v>5379</v>
      </c>
      <c r="C375" s="107" t="s">
        <v>7000</v>
      </c>
      <c r="D375" s="108" t="s">
        <v>72</v>
      </c>
      <c r="E375" s="108" t="s">
        <v>7001</v>
      </c>
      <c r="F375" s="151" t="s">
        <v>2124</v>
      </c>
      <c r="G375" s="152" t="s">
        <v>5222</v>
      </c>
      <c r="H375" s="152" t="s">
        <v>5223</v>
      </c>
      <c r="I375" s="141"/>
      <c r="J375" s="134" t="s">
        <v>765</v>
      </c>
      <c r="K375" s="134" t="s">
        <v>765</v>
      </c>
      <c r="L375" s="134" t="s">
        <v>765</v>
      </c>
      <c r="M375" s="134" t="s">
        <v>765</v>
      </c>
      <c r="N375" s="135" t="s">
        <v>765</v>
      </c>
      <c r="O375" s="136" t="s">
        <v>765</v>
      </c>
      <c r="P375" s="150"/>
      <c r="Q375" s="137"/>
      <c r="R375" s="138"/>
      <c r="S375" s="150"/>
      <c r="T375" s="150"/>
      <c r="U375" s="105"/>
      <c r="V375" s="137"/>
      <c r="W375" s="138"/>
      <c r="X375" s="137"/>
      <c r="Y375" s="138"/>
      <c r="Z375" s="105"/>
      <c r="AA375" s="105"/>
      <c r="AB375" s="105" t="s">
        <v>765</v>
      </c>
      <c r="AC375" s="105"/>
      <c r="AD375" s="144">
        <v>44440</v>
      </c>
      <c r="AE375" s="108" t="s">
        <v>7002</v>
      </c>
    </row>
    <row r="376" spans="1:31" ht="27" customHeight="1" x14ac:dyDescent="0.15">
      <c r="A376" s="150">
        <v>1110801832</v>
      </c>
      <c r="B376" s="106" t="s">
        <v>7009</v>
      </c>
      <c r="C376" s="107" t="s">
        <v>7003</v>
      </c>
      <c r="D376" s="108" t="s">
        <v>72</v>
      </c>
      <c r="E376" s="108" t="s">
        <v>7004</v>
      </c>
      <c r="F376" s="151" t="s">
        <v>7005</v>
      </c>
      <c r="G376" s="152" t="s">
        <v>7006</v>
      </c>
      <c r="H376" s="152" t="s">
        <v>7006</v>
      </c>
      <c r="I376" s="141"/>
      <c r="J376" s="134"/>
      <c r="K376" s="134"/>
      <c r="L376" s="134"/>
      <c r="M376" s="134" t="s">
        <v>765</v>
      </c>
      <c r="N376" s="135" t="s">
        <v>765</v>
      </c>
      <c r="O376" s="136"/>
      <c r="P376" s="150"/>
      <c r="Q376" s="137"/>
      <c r="R376" s="138"/>
      <c r="S376" s="150"/>
      <c r="T376" s="150"/>
      <c r="U376" s="105"/>
      <c r="V376" s="137"/>
      <c r="W376" s="138"/>
      <c r="X376" s="137"/>
      <c r="Y376" s="138"/>
      <c r="Z376" s="105"/>
      <c r="AA376" s="105">
        <v>20</v>
      </c>
      <c r="AB376" s="105"/>
      <c r="AC376" s="105"/>
      <c r="AD376" s="144">
        <v>44440</v>
      </c>
      <c r="AE376" s="108" t="s">
        <v>7007</v>
      </c>
    </row>
    <row r="377" spans="1:31" ht="27" customHeight="1" x14ac:dyDescent="0.15">
      <c r="A377" s="105">
        <v>1110801840</v>
      </c>
      <c r="B377" s="106" t="s">
        <v>7022</v>
      </c>
      <c r="C377" s="107" t="s">
        <v>7023</v>
      </c>
      <c r="D377" s="108" t="s">
        <v>72</v>
      </c>
      <c r="E377" s="108" t="s">
        <v>7024</v>
      </c>
      <c r="F377" s="139" t="s">
        <v>2124</v>
      </c>
      <c r="G377" s="140" t="s">
        <v>7025</v>
      </c>
      <c r="H377" s="140" t="s">
        <v>7026</v>
      </c>
      <c r="I377" s="141"/>
      <c r="J377" s="142"/>
      <c r="K377" s="142"/>
      <c r="L377" s="142"/>
      <c r="M377" s="142" t="s">
        <v>765</v>
      </c>
      <c r="N377" s="143" t="s">
        <v>765</v>
      </c>
      <c r="O377" s="136"/>
      <c r="P377" s="105"/>
      <c r="Q377" s="137"/>
      <c r="R377" s="138"/>
      <c r="S377" s="105"/>
      <c r="T377" s="105"/>
      <c r="U377" s="105"/>
      <c r="V377" s="137"/>
      <c r="W377" s="138"/>
      <c r="X377" s="137"/>
      <c r="Y377" s="138"/>
      <c r="Z377" s="105"/>
      <c r="AA377" s="105">
        <v>20</v>
      </c>
      <c r="AB377" s="105"/>
      <c r="AC377" s="105"/>
      <c r="AD377" s="144">
        <v>44470</v>
      </c>
      <c r="AE377" s="108" t="s">
        <v>7027</v>
      </c>
    </row>
    <row r="378" spans="1:31" ht="27" customHeight="1" x14ac:dyDescent="0.15">
      <c r="A378" s="76">
        <v>1110801881</v>
      </c>
      <c r="B378" s="165" t="s">
        <v>9994</v>
      </c>
      <c r="C378" s="166" t="s">
        <v>9995</v>
      </c>
      <c r="D378" s="166" t="s">
        <v>72</v>
      </c>
      <c r="E378" s="166" t="s">
        <v>7158</v>
      </c>
      <c r="F378" s="254" t="s">
        <v>5795</v>
      </c>
      <c r="G378" s="72" t="s">
        <v>7159</v>
      </c>
      <c r="H378" s="72" t="s">
        <v>7160</v>
      </c>
      <c r="I378" s="255" t="s">
        <v>49</v>
      </c>
      <c r="J378" s="255" t="s">
        <v>49</v>
      </c>
      <c r="K378" s="255" t="s">
        <v>49</v>
      </c>
      <c r="L378" s="255" t="s">
        <v>49</v>
      </c>
      <c r="M378" s="256" t="s">
        <v>765</v>
      </c>
      <c r="N378" s="256" t="s">
        <v>765</v>
      </c>
      <c r="O378" s="256" t="s">
        <v>765</v>
      </c>
      <c r="P378" s="76"/>
      <c r="Q378" s="103"/>
      <c r="R378" s="92"/>
      <c r="S378" s="76"/>
      <c r="T378" s="76">
        <v>15</v>
      </c>
      <c r="U378" s="76"/>
      <c r="V378" s="103"/>
      <c r="W378" s="92"/>
      <c r="X378" s="103"/>
      <c r="Y378" s="92"/>
      <c r="Z378" s="76"/>
      <c r="AA378" s="76"/>
      <c r="AB378" s="76"/>
      <c r="AC378" s="76"/>
      <c r="AD378" s="104">
        <v>44562</v>
      </c>
      <c r="AE378" s="166" t="s">
        <v>9996</v>
      </c>
    </row>
    <row r="379" spans="1:31" ht="27" customHeight="1" x14ac:dyDescent="0.15">
      <c r="A379" s="105">
        <v>1110801899</v>
      </c>
      <c r="B379" s="130" t="s">
        <v>7166</v>
      </c>
      <c r="C379" s="107" t="s">
        <v>7161</v>
      </c>
      <c r="D379" s="108" t="s">
        <v>72</v>
      </c>
      <c r="E379" s="108" t="s">
        <v>7162</v>
      </c>
      <c r="F379" s="139" t="s">
        <v>7163</v>
      </c>
      <c r="G379" s="140" t="s">
        <v>7164</v>
      </c>
      <c r="H379" s="140" t="s">
        <v>7165</v>
      </c>
      <c r="I379" s="141"/>
      <c r="J379" s="134"/>
      <c r="K379" s="134"/>
      <c r="L379" s="134"/>
      <c r="M379" s="134" t="s">
        <v>765</v>
      </c>
      <c r="N379" s="134" t="s">
        <v>765</v>
      </c>
      <c r="O379" s="136" t="s">
        <v>765</v>
      </c>
      <c r="P379" s="105"/>
      <c r="Q379" s="137"/>
      <c r="R379" s="138"/>
      <c r="S379" s="105"/>
      <c r="T379" s="105"/>
      <c r="U379" s="105"/>
      <c r="V379" s="116"/>
      <c r="W379" s="117"/>
      <c r="X379" s="137"/>
      <c r="Y379" s="138"/>
      <c r="Z379" s="105"/>
      <c r="AA379" s="105">
        <v>20</v>
      </c>
      <c r="AB379" s="105"/>
      <c r="AC379" s="105"/>
      <c r="AD379" s="144">
        <v>44562</v>
      </c>
      <c r="AE379" s="108" t="s">
        <v>6562</v>
      </c>
    </row>
    <row r="380" spans="1:31" ht="27" customHeight="1" x14ac:dyDescent="0.15">
      <c r="A380" s="105">
        <v>1110801915</v>
      </c>
      <c r="B380" s="130" t="s">
        <v>7248</v>
      </c>
      <c r="C380" s="107" t="s">
        <v>7242</v>
      </c>
      <c r="D380" s="108" t="s">
        <v>72</v>
      </c>
      <c r="E380" s="108" t="s">
        <v>7243</v>
      </c>
      <c r="F380" s="139" t="s">
        <v>7244</v>
      </c>
      <c r="G380" s="140" t="s">
        <v>7245</v>
      </c>
      <c r="H380" s="140" t="s">
        <v>7246</v>
      </c>
      <c r="I380" s="141"/>
      <c r="J380" s="134"/>
      <c r="K380" s="134"/>
      <c r="L380" s="134"/>
      <c r="M380" s="134" t="s">
        <v>765</v>
      </c>
      <c r="N380" s="135" t="s">
        <v>765</v>
      </c>
      <c r="O380" s="136" t="s">
        <v>765</v>
      </c>
      <c r="P380" s="105"/>
      <c r="Q380" s="137"/>
      <c r="R380" s="138"/>
      <c r="S380" s="105"/>
      <c r="T380" s="105"/>
      <c r="U380" s="105"/>
      <c r="V380" s="116"/>
      <c r="W380" s="117"/>
      <c r="X380" s="137"/>
      <c r="Y380" s="138"/>
      <c r="Z380" s="105">
        <v>20</v>
      </c>
      <c r="AA380" s="105"/>
      <c r="AB380" s="105"/>
      <c r="AC380" s="105"/>
      <c r="AD380" s="144">
        <v>44593</v>
      </c>
      <c r="AE380" s="108" t="s">
        <v>7247</v>
      </c>
    </row>
    <row r="381" spans="1:31" ht="27" customHeight="1" x14ac:dyDescent="0.15">
      <c r="A381" s="105">
        <v>1110801931</v>
      </c>
      <c r="B381" s="130" t="s">
        <v>11758</v>
      </c>
      <c r="C381" s="107" t="s">
        <v>7278</v>
      </c>
      <c r="D381" s="108" t="s">
        <v>72</v>
      </c>
      <c r="E381" s="108" t="s">
        <v>6341</v>
      </c>
      <c r="F381" s="139" t="s">
        <v>7279</v>
      </c>
      <c r="G381" s="140" t="s">
        <v>7280</v>
      </c>
      <c r="H381" s="140" t="s">
        <v>7281</v>
      </c>
      <c r="I381" s="141" t="s">
        <v>765</v>
      </c>
      <c r="J381" s="134"/>
      <c r="K381" s="134"/>
      <c r="L381" s="134" t="s">
        <v>765</v>
      </c>
      <c r="M381" s="134" t="s">
        <v>765</v>
      </c>
      <c r="N381" s="135" t="s">
        <v>765</v>
      </c>
      <c r="O381" s="136" t="s">
        <v>765</v>
      </c>
      <c r="P381" s="105"/>
      <c r="Q381" s="137"/>
      <c r="R381" s="138"/>
      <c r="S381" s="105"/>
      <c r="T381" s="105"/>
      <c r="U381" s="105"/>
      <c r="V381" s="116"/>
      <c r="W381" s="117"/>
      <c r="X381" s="137"/>
      <c r="Y381" s="138"/>
      <c r="Z381" s="105"/>
      <c r="AA381" s="105"/>
      <c r="AB381" s="105" t="s">
        <v>765</v>
      </c>
      <c r="AC381" s="105"/>
      <c r="AD381" s="144">
        <v>44621</v>
      </c>
      <c r="AE381" s="108" t="s">
        <v>7282</v>
      </c>
    </row>
    <row r="382" spans="1:31" ht="27" customHeight="1" x14ac:dyDescent="0.15">
      <c r="A382" s="105">
        <v>1110801949</v>
      </c>
      <c r="B382" s="130" t="s">
        <v>7433</v>
      </c>
      <c r="C382" s="107" t="s">
        <v>7429</v>
      </c>
      <c r="D382" s="108" t="s">
        <v>72</v>
      </c>
      <c r="E382" s="108" t="s">
        <v>7430</v>
      </c>
      <c r="F382" s="139" t="s">
        <v>3984</v>
      </c>
      <c r="G382" s="140" t="s">
        <v>7431</v>
      </c>
      <c r="H382" s="140" t="s">
        <v>7431</v>
      </c>
      <c r="I382" s="141"/>
      <c r="J382" s="142" t="s">
        <v>765</v>
      </c>
      <c r="K382" s="142"/>
      <c r="L382" s="142"/>
      <c r="M382" s="142"/>
      <c r="N382" s="143"/>
      <c r="O382" s="136"/>
      <c r="P382" s="105"/>
      <c r="Q382" s="137"/>
      <c r="R382" s="138"/>
      <c r="S382" s="105"/>
      <c r="T382" s="105"/>
      <c r="U382" s="105"/>
      <c r="V382" s="116"/>
      <c r="W382" s="117"/>
      <c r="X382" s="137"/>
      <c r="Y382" s="138"/>
      <c r="Z382" s="105"/>
      <c r="AA382" s="105">
        <v>20</v>
      </c>
      <c r="AB382" s="105"/>
      <c r="AC382" s="105"/>
      <c r="AD382" s="144">
        <v>44652</v>
      </c>
      <c r="AE382" s="108" t="s">
        <v>7432</v>
      </c>
    </row>
    <row r="383" spans="1:31" ht="27" customHeight="1" x14ac:dyDescent="0.15">
      <c r="A383" s="105">
        <v>1110801956</v>
      </c>
      <c r="B383" s="130" t="s">
        <v>7440</v>
      </c>
      <c r="C383" s="107" t="s">
        <v>7434</v>
      </c>
      <c r="D383" s="108" t="s">
        <v>72</v>
      </c>
      <c r="E383" s="108" t="s">
        <v>7435</v>
      </c>
      <c r="F383" s="139" t="s">
        <v>7436</v>
      </c>
      <c r="G383" s="140" t="s">
        <v>7437</v>
      </c>
      <c r="H383" s="140" t="s">
        <v>7438</v>
      </c>
      <c r="I383" s="141" t="s">
        <v>765</v>
      </c>
      <c r="J383" s="142" t="s">
        <v>765</v>
      </c>
      <c r="K383" s="142" t="s">
        <v>765</v>
      </c>
      <c r="L383" s="142" t="s">
        <v>765</v>
      </c>
      <c r="M383" s="142" t="s">
        <v>765</v>
      </c>
      <c r="N383" s="143" t="s">
        <v>765</v>
      </c>
      <c r="O383" s="136" t="s">
        <v>765</v>
      </c>
      <c r="P383" s="105"/>
      <c r="Q383" s="137"/>
      <c r="R383" s="138"/>
      <c r="S383" s="105"/>
      <c r="T383" s="105"/>
      <c r="U383" s="105"/>
      <c r="V383" s="116"/>
      <c r="W383" s="117"/>
      <c r="X383" s="137"/>
      <c r="Y383" s="138"/>
      <c r="Z383" s="105"/>
      <c r="AA383" s="105">
        <v>20</v>
      </c>
      <c r="AB383" s="105"/>
      <c r="AC383" s="105"/>
      <c r="AD383" s="144">
        <v>44652</v>
      </c>
      <c r="AE383" s="108" t="s">
        <v>7439</v>
      </c>
    </row>
    <row r="384" spans="1:31" ht="27" customHeight="1" x14ac:dyDescent="0.15">
      <c r="A384" s="105">
        <v>1110801972</v>
      </c>
      <c r="B384" s="130" t="s">
        <v>7476</v>
      </c>
      <c r="C384" s="107" t="s">
        <v>7458</v>
      </c>
      <c r="D384" s="108" t="s">
        <v>72</v>
      </c>
      <c r="E384" s="108" t="s">
        <v>7459</v>
      </c>
      <c r="F384" s="139" t="s">
        <v>7460</v>
      </c>
      <c r="G384" s="140" t="s">
        <v>7461</v>
      </c>
      <c r="H384" s="140" t="s">
        <v>7462</v>
      </c>
      <c r="I384" s="141" t="s">
        <v>765</v>
      </c>
      <c r="J384" s="142" t="s">
        <v>765</v>
      </c>
      <c r="K384" s="142" t="s">
        <v>765</v>
      </c>
      <c r="L384" s="142" t="s">
        <v>765</v>
      </c>
      <c r="M384" s="142" t="s">
        <v>765</v>
      </c>
      <c r="N384" s="143" t="s">
        <v>765</v>
      </c>
      <c r="O384" s="136" t="s">
        <v>765</v>
      </c>
      <c r="P384" s="105"/>
      <c r="Q384" s="137"/>
      <c r="R384" s="138"/>
      <c r="S384" s="105"/>
      <c r="T384" s="105">
        <v>20</v>
      </c>
      <c r="U384" s="105"/>
      <c r="V384" s="116"/>
      <c r="W384" s="117"/>
      <c r="X384" s="137"/>
      <c r="Y384" s="138"/>
      <c r="Z384" s="105"/>
      <c r="AA384" s="105"/>
      <c r="AB384" s="105"/>
      <c r="AC384" s="105"/>
      <c r="AD384" s="144">
        <v>44682</v>
      </c>
      <c r="AE384" s="108" t="s">
        <v>7463</v>
      </c>
    </row>
    <row r="385" spans="1:31" ht="27" customHeight="1" x14ac:dyDescent="0.15">
      <c r="A385" s="105">
        <v>1110801980</v>
      </c>
      <c r="B385" s="130" t="s">
        <v>7477</v>
      </c>
      <c r="C385" s="107" t="s">
        <v>7464</v>
      </c>
      <c r="D385" s="108" t="s">
        <v>72</v>
      </c>
      <c r="E385" s="108" t="s">
        <v>7465</v>
      </c>
      <c r="F385" s="139" t="s">
        <v>7466</v>
      </c>
      <c r="G385" s="140" t="s">
        <v>7467</v>
      </c>
      <c r="H385" s="140" t="s">
        <v>7468</v>
      </c>
      <c r="I385" s="141"/>
      <c r="J385" s="142"/>
      <c r="K385" s="142"/>
      <c r="L385" s="142"/>
      <c r="M385" s="142" t="s">
        <v>765</v>
      </c>
      <c r="N385" s="143" t="s">
        <v>765</v>
      </c>
      <c r="O385" s="136"/>
      <c r="P385" s="105"/>
      <c r="Q385" s="137"/>
      <c r="R385" s="138"/>
      <c r="S385" s="105"/>
      <c r="T385" s="105">
        <v>20</v>
      </c>
      <c r="U385" s="105"/>
      <c r="V385" s="116"/>
      <c r="W385" s="117"/>
      <c r="X385" s="137"/>
      <c r="Y385" s="138"/>
      <c r="Z385" s="105"/>
      <c r="AA385" s="105"/>
      <c r="AB385" s="105"/>
      <c r="AC385" s="105"/>
      <c r="AD385" s="144">
        <v>44682</v>
      </c>
      <c r="AE385" s="108" t="s">
        <v>7469</v>
      </c>
    </row>
    <row r="386" spans="1:31" ht="27" customHeight="1" x14ac:dyDescent="0.15">
      <c r="A386" s="105">
        <v>1110801998</v>
      </c>
      <c r="B386" s="130" t="s">
        <v>7478</v>
      </c>
      <c r="C386" s="107" t="s">
        <v>7470</v>
      </c>
      <c r="D386" s="108" t="s">
        <v>72</v>
      </c>
      <c r="E386" s="108" t="s">
        <v>7471</v>
      </c>
      <c r="F386" s="139" t="s">
        <v>7472</v>
      </c>
      <c r="G386" s="140" t="s">
        <v>7473</v>
      </c>
      <c r="H386" s="140" t="s">
        <v>7474</v>
      </c>
      <c r="I386" s="141" t="s">
        <v>765</v>
      </c>
      <c r="J386" s="142"/>
      <c r="K386" s="142"/>
      <c r="L386" s="142" t="s">
        <v>765</v>
      </c>
      <c r="M386" s="142" t="s">
        <v>765</v>
      </c>
      <c r="N386" s="143" t="s">
        <v>765</v>
      </c>
      <c r="O386" s="136" t="s">
        <v>765</v>
      </c>
      <c r="P386" s="105"/>
      <c r="Q386" s="137"/>
      <c r="R386" s="138"/>
      <c r="S386" s="105"/>
      <c r="T386" s="105"/>
      <c r="U386" s="105"/>
      <c r="V386" s="116"/>
      <c r="W386" s="117"/>
      <c r="X386" s="137"/>
      <c r="Y386" s="138"/>
      <c r="Z386" s="105"/>
      <c r="AA386" s="105">
        <v>20</v>
      </c>
      <c r="AB386" s="105"/>
      <c r="AC386" s="105"/>
      <c r="AD386" s="144">
        <v>44682</v>
      </c>
      <c r="AE386" s="108" t="s">
        <v>7475</v>
      </c>
    </row>
    <row r="387" spans="1:31" ht="27" customHeight="1" x14ac:dyDescent="0.15">
      <c r="A387" s="105">
        <v>1110802004</v>
      </c>
      <c r="B387" s="130" t="s">
        <v>7582</v>
      </c>
      <c r="C387" s="107" t="s">
        <v>7576</v>
      </c>
      <c r="D387" s="108" t="s">
        <v>72</v>
      </c>
      <c r="E387" s="108" t="s">
        <v>7577</v>
      </c>
      <c r="F387" s="139" t="s">
        <v>7578</v>
      </c>
      <c r="G387" s="140" t="s">
        <v>7579</v>
      </c>
      <c r="H387" s="140" t="s">
        <v>7580</v>
      </c>
      <c r="I387" s="141" t="s">
        <v>765</v>
      </c>
      <c r="J387" s="142"/>
      <c r="K387" s="142"/>
      <c r="L387" s="142"/>
      <c r="M387" s="142" t="s">
        <v>765</v>
      </c>
      <c r="N387" s="143" t="s">
        <v>765</v>
      </c>
      <c r="O387" s="136"/>
      <c r="P387" s="105"/>
      <c r="Q387" s="137"/>
      <c r="R387" s="138"/>
      <c r="S387" s="105"/>
      <c r="T387" s="105"/>
      <c r="U387" s="105"/>
      <c r="V387" s="116"/>
      <c r="W387" s="117"/>
      <c r="X387" s="137"/>
      <c r="Y387" s="138"/>
      <c r="Z387" s="105">
        <v>20</v>
      </c>
      <c r="AA387" s="105"/>
      <c r="AB387" s="105"/>
      <c r="AC387" s="105"/>
      <c r="AD387" s="144">
        <v>44713</v>
      </c>
      <c r="AE387" s="108" t="s">
        <v>7581</v>
      </c>
    </row>
    <row r="388" spans="1:31" ht="27" customHeight="1" x14ac:dyDescent="0.15">
      <c r="A388" s="105">
        <v>1110802012</v>
      </c>
      <c r="B388" s="130" t="s">
        <v>7575</v>
      </c>
      <c r="C388" s="107" t="s">
        <v>7571</v>
      </c>
      <c r="D388" s="108" t="s">
        <v>72</v>
      </c>
      <c r="E388" s="108" t="s">
        <v>7572</v>
      </c>
      <c r="F388" s="139" t="s">
        <v>3544</v>
      </c>
      <c r="G388" s="140" t="s">
        <v>7573</v>
      </c>
      <c r="H388" s="140" t="s">
        <v>7573</v>
      </c>
      <c r="I388" s="141"/>
      <c r="J388" s="142"/>
      <c r="K388" s="142" t="s">
        <v>765</v>
      </c>
      <c r="L388" s="142"/>
      <c r="M388" s="142" t="s">
        <v>765</v>
      </c>
      <c r="N388" s="143" t="s">
        <v>765</v>
      </c>
      <c r="O388" s="136"/>
      <c r="P388" s="105"/>
      <c r="Q388" s="137"/>
      <c r="R388" s="138"/>
      <c r="S388" s="105"/>
      <c r="T388" s="105"/>
      <c r="U388" s="105"/>
      <c r="V388" s="116"/>
      <c r="W388" s="117"/>
      <c r="X388" s="137"/>
      <c r="Y388" s="138"/>
      <c r="Z388" s="105"/>
      <c r="AA388" s="105">
        <v>20</v>
      </c>
      <c r="AB388" s="105"/>
      <c r="AC388" s="105"/>
      <c r="AD388" s="144">
        <v>44713</v>
      </c>
      <c r="AE388" s="108" t="s">
        <v>7574</v>
      </c>
    </row>
    <row r="389" spans="1:31" ht="27" customHeight="1" x14ac:dyDescent="0.15">
      <c r="A389" s="105">
        <v>1110802087</v>
      </c>
      <c r="B389" s="130" t="s">
        <v>11652</v>
      </c>
      <c r="C389" s="107" t="s">
        <v>8024</v>
      </c>
      <c r="D389" s="108" t="s">
        <v>72</v>
      </c>
      <c r="E389" s="108" t="s">
        <v>8025</v>
      </c>
      <c r="F389" s="139" t="s">
        <v>8026</v>
      </c>
      <c r="G389" s="132" t="s">
        <v>8027</v>
      </c>
      <c r="H389" s="132" t="s">
        <v>8028</v>
      </c>
      <c r="I389" s="133"/>
      <c r="J389" s="134" t="s">
        <v>765</v>
      </c>
      <c r="K389" s="134" t="s">
        <v>765</v>
      </c>
      <c r="L389" s="134" t="s">
        <v>765</v>
      </c>
      <c r="M389" s="134" t="s">
        <v>765</v>
      </c>
      <c r="N389" s="143" t="s">
        <v>765</v>
      </c>
      <c r="O389" s="136" t="s">
        <v>765</v>
      </c>
      <c r="P389" s="105"/>
      <c r="Q389" s="137"/>
      <c r="R389" s="138"/>
      <c r="S389" s="105"/>
      <c r="T389" s="105"/>
      <c r="U389" s="105"/>
      <c r="V389" s="116"/>
      <c r="W389" s="117"/>
      <c r="X389" s="137"/>
      <c r="Y389" s="138"/>
      <c r="Z389" s="105"/>
      <c r="AA389" s="105">
        <v>20</v>
      </c>
      <c r="AB389" s="105"/>
      <c r="AC389" s="105"/>
      <c r="AD389" s="144">
        <v>44927</v>
      </c>
      <c r="AE389" s="108" t="s">
        <v>8029</v>
      </c>
    </row>
    <row r="390" spans="1:31" ht="27" customHeight="1" x14ac:dyDescent="0.15">
      <c r="A390" s="105">
        <v>1110802103</v>
      </c>
      <c r="B390" s="130" t="s">
        <v>8075</v>
      </c>
      <c r="C390" s="130" t="s">
        <v>8070</v>
      </c>
      <c r="D390" s="108" t="s">
        <v>72</v>
      </c>
      <c r="E390" s="108" t="s">
        <v>8071</v>
      </c>
      <c r="F390" s="139" t="s">
        <v>2124</v>
      </c>
      <c r="G390" s="132" t="s">
        <v>8072</v>
      </c>
      <c r="H390" s="132" t="s">
        <v>8073</v>
      </c>
      <c r="I390" s="134"/>
      <c r="J390" s="134"/>
      <c r="K390" s="134"/>
      <c r="L390" s="134"/>
      <c r="M390" s="134"/>
      <c r="N390" s="143" t="s">
        <v>765</v>
      </c>
      <c r="O390" s="136" t="s">
        <v>765</v>
      </c>
      <c r="P390" s="105"/>
      <c r="Q390" s="137"/>
      <c r="R390" s="138"/>
      <c r="S390" s="105"/>
      <c r="T390" s="105"/>
      <c r="U390" s="105"/>
      <c r="V390" s="116"/>
      <c r="W390" s="117"/>
      <c r="X390" s="137">
        <v>20</v>
      </c>
      <c r="Y390" s="138"/>
      <c r="Z390" s="105"/>
      <c r="AA390" s="105"/>
      <c r="AB390" s="105"/>
      <c r="AC390" s="105"/>
      <c r="AD390" s="144">
        <v>44958</v>
      </c>
      <c r="AE390" s="108" t="s">
        <v>8074</v>
      </c>
    </row>
    <row r="391" spans="1:31" ht="27" customHeight="1" x14ac:dyDescent="0.15">
      <c r="A391" s="105">
        <v>1110802129</v>
      </c>
      <c r="B391" s="130" t="s">
        <v>11759</v>
      </c>
      <c r="C391" s="130" t="s">
        <v>8195</v>
      </c>
      <c r="D391" s="108" t="s">
        <v>72</v>
      </c>
      <c r="E391" s="108" t="s">
        <v>8196</v>
      </c>
      <c r="F391" s="139" t="s">
        <v>7466</v>
      </c>
      <c r="G391" s="132" t="s">
        <v>8197</v>
      </c>
      <c r="H391" s="132" t="s">
        <v>8198</v>
      </c>
      <c r="I391" s="183"/>
      <c r="J391" s="134"/>
      <c r="K391" s="134"/>
      <c r="L391" s="134"/>
      <c r="M391" s="134" t="s">
        <v>765</v>
      </c>
      <c r="N391" s="143" t="s">
        <v>765</v>
      </c>
      <c r="O391" s="136"/>
      <c r="P391" s="105"/>
      <c r="Q391" s="137"/>
      <c r="R391" s="138"/>
      <c r="S391" s="105"/>
      <c r="T391" s="105"/>
      <c r="U391" s="105"/>
      <c r="V391" s="116"/>
      <c r="W391" s="117"/>
      <c r="X391" s="137"/>
      <c r="Y391" s="138"/>
      <c r="Z391" s="105">
        <v>20</v>
      </c>
      <c r="AA391" s="105"/>
      <c r="AB391" s="105"/>
      <c r="AC391" s="105"/>
      <c r="AD391" s="144">
        <v>45017</v>
      </c>
      <c r="AE391" s="108" t="s">
        <v>8199</v>
      </c>
    </row>
    <row r="392" spans="1:31" ht="27" customHeight="1" x14ac:dyDescent="0.15">
      <c r="A392" s="105">
        <v>1110802186</v>
      </c>
      <c r="B392" s="130" t="s">
        <v>11757</v>
      </c>
      <c r="C392" s="107" t="s">
        <v>8464</v>
      </c>
      <c r="D392" s="108" t="s">
        <v>72</v>
      </c>
      <c r="E392" s="108" t="s">
        <v>8465</v>
      </c>
      <c r="F392" s="139" t="s">
        <v>2124</v>
      </c>
      <c r="G392" s="132" t="s">
        <v>6922</v>
      </c>
      <c r="H392" s="132" t="s">
        <v>8466</v>
      </c>
      <c r="I392" s="134" t="s">
        <v>765</v>
      </c>
      <c r="J392" s="134" t="s">
        <v>765</v>
      </c>
      <c r="K392" s="134" t="s">
        <v>765</v>
      </c>
      <c r="L392" s="134" t="s">
        <v>765</v>
      </c>
      <c r="M392" s="134" t="s">
        <v>765</v>
      </c>
      <c r="N392" s="143" t="s">
        <v>765</v>
      </c>
      <c r="O392" s="134" t="s">
        <v>765</v>
      </c>
      <c r="P392" s="105"/>
      <c r="Q392" s="137"/>
      <c r="R392" s="138"/>
      <c r="S392" s="105"/>
      <c r="T392" s="105"/>
      <c r="U392" s="105"/>
      <c r="V392" s="116"/>
      <c r="W392" s="117"/>
      <c r="X392" s="137"/>
      <c r="Y392" s="138"/>
      <c r="Z392" s="105"/>
      <c r="AA392" s="105"/>
      <c r="AB392" s="105" t="s">
        <v>49</v>
      </c>
      <c r="AC392" s="105"/>
      <c r="AD392" s="144">
        <v>45017</v>
      </c>
      <c r="AE392" s="108" t="s">
        <v>8467</v>
      </c>
    </row>
    <row r="393" spans="1:31" ht="27" customHeight="1" x14ac:dyDescent="0.15">
      <c r="A393" s="105">
        <v>1110802194</v>
      </c>
      <c r="B393" s="130" t="s">
        <v>11760</v>
      </c>
      <c r="C393" s="107" t="s">
        <v>8468</v>
      </c>
      <c r="D393" s="108" t="s">
        <v>72</v>
      </c>
      <c r="E393" s="108" t="s">
        <v>8469</v>
      </c>
      <c r="F393" s="139" t="s">
        <v>2175</v>
      </c>
      <c r="G393" s="132" t="s">
        <v>8470</v>
      </c>
      <c r="H393" s="132"/>
      <c r="I393" s="134"/>
      <c r="J393" s="134"/>
      <c r="K393" s="134"/>
      <c r="L393" s="134"/>
      <c r="M393" s="134" t="s">
        <v>765</v>
      </c>
      <c r="N393" s="143" t="s">
        <v>49</v>
      </c>
      <c r="O393" s="136"/>
      <c r="P393" s="105"/>
      <c r="Q393" s="137"/>
      <c r="R393" s="138"/>
      <c r="S393" s="105"/>
      <c r="T393" s="105"/>
      <c r="U393" s="105"/>
      <c r="V393" s="116"/>
      <c r="W393" s="117"/>
      <c r="X393" s="137"/>
      <c r="Y393" s="138"/>
      <c r="Z393" s="105"/>
      <c r="AA393" s="105">
        <v>20</v>
      </c>
      <c r="AB393" s="105"/>
      <c r="AC393" s="105"/>
      <c r="AD393" s="144">
        <v>45017</v>
      </c>
      <c r="AE393" s="108" t="s">
        <v>8471</v>
      </c>
    </row>
    <row r="394" spans="1:31" ht="27" customHeight="1" x14ac:dyDescent="0.15">
      <c r="A394" s="105">
        <v>1110802202</v>
      </c>
      <c r="B394" s="130" t="s">
        <v>11944</v>
      </c>
      <c r="C394" s="257" t="s">
        <v>8565</v>
      </c>
      <c r="D394" s="108" t="s">
        <v>72</v>
      </c>
      <c r="E394" s="108" t="s">
        <v>8566</v>
      </c>
      <c r="F394" s="139" t="s">
        <v>8567</v>
      </c>
      <c r="G394" s="140" t="s">
        <v>8568</v>
      </c>
      <c r="H394" s="140" t="s">
        <v>8568</v>
      </c>
      <c r="I394" s="141"/>
      <c r="J394" s="142"/>
      <c r="K394" s="142"/>
      <c r="L394" s="142"/>
      <c r="M394" s="142" t="s">
        <v>49</v>
      </c>
      <c r="N394" s="143" t="s">
        <v>49</v>
      </c>
      <c r="O394" s="138"/>
      <c r="P394" s="105"/>
      <c r="Q394" s="137"/>
      <c r="R394" s="138"/>
      <c r="S394" s="105"/>
      <c r="T394" s="105"/>
      <c r="U394" s="105"/>
      <c r="V394" s="116"/>
      <c r="W394" s="117"/>
      <c r="X394" s="137"/>
      <c r="Y394" s="138"/>
      <c r="Z394" s="105"/>
      <c r="AA394" s="105">
        <v>20</v>
      </c>
      <c r="AB394" s="105"/>
      <c r="AC394" s="105"/>
      <c r="AD394" s="144">
        <v>45170</v>
      </c>
      <c r="AE394" s="108" t="s">
        <v>8569</v>
      </c>
    </row>
    <row r="395" spans="1:31" s="65" customFormat="1" ht="27" customHeight="1" x14ac:dyDescent="0.15">
      <c r="A395" s="76">
        <v>1110802244</v>
      </c>
      <c r="B395" s="165" t="s">
        <v>11761</v>
      </c>
      <c r="C395" s="164" t="s">
        <v>6951</v>
      </c>
      <c r="D395" s="166" t="s">
        <v>72</v>
      </c>
      <c r="E395" s="166" t="s">
        <v>8749</v>
      </c>
      <c r="F395" s="167" t="s">
        <v>8750</v>
      </c>
      <c r="G395" s="168" t="s">
        <v>8751</v>
      </c>
      <c r="H395" s="168" t="s">
        <v>8752</v>
      </c>
      <c r="I395" s="178"/>
      <c r="J395" s="170"/>
      <c r="K395" s="170"/>
      <c r="L395" s="170"/>
      <c r="M395" s="170" t="s">
        <v>49</v>
      </c>
      <c r="N395" s="170" t="s">
        <v>49</v>
      </c>
      <c r="O395" s="92"/>
      <c r="P395" s="76"/>
      <c r="Q395" s="70"/>
      <c r="R395" s="92"/>
      <c r="S395" s="76"/>
      <c r="T395" s="76"/>
      <c r="U395" s="76"/>
      <c r="V395" s="103"/>
      <c r="W395" s="75"/>
      <c r="X395" s="70"/>
      <c r="Y395" s="92"/>
      <c r="Z395" s="76"/>
      <c r="AA395" s="76">
        <v>20</v>
      </c>
      <c r="AB395" s="76"/>
      <c r="AC395" s="76"/>
      <c r="AD395" s="145">
        <v>45231</v>
      </c>
      <c r="AE395" s="166" t="s">
        <v>8753</v>
      </c>
    </row>
    <row r="396" spans="1:31" ht="27" customHeight="1" x14ac:dyDescent="0.15">
      <c r="A396" s="76">
        <v>1110802251</v>
      </c>
      <c r="B396" s="165" t="s">
        <v>11762</v>
      </c>
      <c r="C396" s="166" t="s">
        <v>8754</v>
      </c>
      <c r="D396" s="166" t="s">
        <v>72</v>
      </c>
      <c r="E396" s="166" t="s">
        <v>8755</v>
      </c>
      <c r="F396" s="254" t="s">
        <v>5039</v>
      </c>
      <c r="G396" s="72" t="s">
        <v>8756</v>
      </c>
      <c r="H396" s="72"/>
      <c r="I396" s="128"/>
      <c r="J396" s="256"/>
      <c r="K396" s="256"/>
      <c r="L396" s="256"/>
      <c r="M396" s="170" t="s">
        <v>49</v>
      </c>
      <c r="N396" s="170" t="s">
        <v>49</v>
      </c>
      <c r="O396" s="91"/>
      <c r="P396" s="72"/>
      <c r="Q396" s="73"/>
      <c r="R396" s="91"/>
      <c r="S396" s="72"/>
      <c r="T396" s="72"/>
      <c r="U396" s="72"/>
      <c r="V396" s="73"/>
      <c r="W396" s="91"/>
      <c r="X396" s="73"/>
      <c r="Y396" s="91"/>
      <c r="Z396" s="72"/>
      <c r="AA396" s="76">
        <v>30</v>
      </c>
      <c r="AB396" s="76"/>
      <c r="AC396" s="76"/>
      <c r="AD396" s="145">
        <v>45231</v>
      </c>
      <c r="AE396" s="166" t="s">
        <v>8757</v>
      </c>
    </row>
    <row r="397" spans="1:31" ht="27" customHeight="1" x14ac:dyDescent="0.15">
      <c r="A397" s="76">
        <v>1110802277</v>
      </c>
      <c r="B397" s="165" t="s">
        <v>11945</v>
      </c>
      <c r="C397" s="164" t="s">
        <v>8570</v>
      </c>
      <c r="D397" s="166" t="s">
        <v>72</v>
      </c>
      <c r="E397" s="166" t="s">
        <v>8890</v>
      </c>
      <c r="F397" s="167" t="s">
        <v>8571</v>
      </c>
      <c r="G397" s="168" t="s">
        <v>8891</v>
      </c>
      <c r="H397" s="168" t="s">
        <v>8891</v>
      </c>
      <c r="I397" s="170" t="s">
        <v>49</v>
      </c>
      <c r="J397" s="170"/>
      <c r="K397" s="170"/>
      <c r="L397" s="170" t="s">
        <v>49</v>
      </c>
      <c r="M397" s="170" t="s">
        <v>49</v>
      </c>
      <c r="N397" s="170" t="s">
        <v>49</v>
      </c>
      <c r="O397" s="92"/>
      <c r="P397" s="76"/>
      <c r="Q397" s="70"/>
      <c r="R397" s="92"/>
      <c r="S397" s="76"/>
      <c r="T397" s="76"/>
      <c r="U397" s="76"/>
      <c r="V397" s="103"/>
      <c r="W397" s="75"/>
      <c r="X397" s="70"/>
      <c r="Y397" s="92"/>
      <c r="Z397" s="76"/>
      <c r="AA397" s="76">
        <v>20</v>
      </c>
      <c r="AB397" s="76"/>
      <c r="AC397" s="76"/>
      <c r="AD397" s="145">
        <v>45292</v>
      </c>
      <c r="AE397" s="166" t="s">
        <v>8572</v>
      </c>
    </row>
    <row r="398" spans="1:31" ht="27" customHeight="1" x14ac:dyDescent="0.15">
      <c r="A398" s="76">
        <v>1110802293</v>
      </c>
      <c r="B398" s="165" t="s">
        <v>11746</v>
      </c>
      <c r="C398" s="164" t="s">
        <v>8949</v>
      </c>
      <c r="D398" s="166" t="s">
        <v>72</v>
      </c>
      <c r="E398" s="166" t="s">
        <v>8950</v>
      </c>
      <c r="F398" s="167" t="s">
        <v>2124</v>
      </c>
      <c r="G398" s="168" t="s">
        <v>8951</v>
      </c>
      <c r="H398" s="168" t="s">
        <v>8952</v>
      </c>
      <c r="I398" s="178"/>
      <c r="J398" s="170"/>
      <c r="K398" s="170"/>
      <c r="L398" s="170"/>
      <c r="M398" s="170" t="s">
        <v>765</v>
      </c>
      <c r="N398" s="148" t="s">
        <v>765</v>
      </c>
      <c r="O398" s="92" t="s">
        <v>765</v>
      </c>
      <c r="P398" s="76"/>
      <c r="Q398" s="70"/>
      <c r="R398" s="92"/>
      <c r="S398" s="76"/>
      <c r="T398" s="76"/>
      <c r="U398" s="76"/>
      <c r="V398" s="103">
        <v>20</v>
      </c>
      <c r="W398" s="75"/>
      <c r="X398" s="70"/>
      <c r="Y398" s="92"/>
      <c r="Z398" s="76"/>
      <c r="AA398" s="76"/>
      <c r="AB398" s="76"/>
      <c r="AC398" s="76"/>
      <c r="AD398" s="145">
        <v>45323</v>
      </c>
      <c r="AE398" s="166" t="s">
        <v>8953</v>
      </c>
    </row>
    <row r="399" spans="1:31" ht="27" customHeight="1" x14ac:dyDescent="0.15">
      <c r="A399" s="76">
        <v>1110802335</v>
      </c>
      <c r="B399" s="165" t="s">
        <v>11763</v>
      </c>
      <c r="C399" s="164" t="s">
        <v>9164</v>
      </c>
      <c r="D399" s="166" t="s">
        <v>72</v>
      </c>
      <c r="E399" s="166" t="s">
        <v>9165</v>
      </c>
      <c r="F399" s="167" t="s">
        <v>6342</v>
      </c>
      <c r="G399" s="168" t="s">
        <v>9166</v>
      </c>
      <c r="H399" s="168" t="s">
        <v>839</v>
      </c>
      <c r="I399" s="178" t="s">
        <v>765</v>
      </c>
      <c r="J399" s="178" t="s">
        <v>765</v>
      </c>
      <c r="K399" s="178" t="s">
        <v>765</v>
      </c>
      <c r="L399" s="178" t="s">
        <v>765</v>
      </c>
      <c r="M399" s="178" t="s">
        <v>765</v>
      </c>
      <c r="N399" s="178" t="s">
        <v>765</v>
      </c>
      <c r="O399" s="178" t="s">
        <v>765</v>
      </c>
      <c r="P399" s="76"/>
      <c r="Q399" s="70"/>
      <c r="R399" s="92"/>
      <c r="S399" s="76"/>
      <c r="T399" s="76"/>
      <c r="U399" s="76"/>
      <c r="V399" s="103"/>
      <c r="W399" s="75"/>
      <c r="X399" s="70"/>
      <c r="Y399" s="92"/>
      <c r="Z399" s="76"/>
      <c r="AA399" s="76">
        <v>20</v>
      </c>
      <c r="AB399" s="76"/>
      <c r="AC399" s="76"/>
      <c r="AD399" s="145">
        <v>45413</v>
      </c>
      <c r="AE399" s="166" t="s">
        <v>9167</v>
      </c>
    </row>
    <row r="400" spans="1:31" ht="27" customHeight="1" x14ac:dyDescent="0.15">
      <c r="A400" s="76">
        <v>1110802350</v>
      </c>
      <c r="B400" s="165" t="s">
        <v>11764</v>
      </c>
      <c r="C400" s="164" t="s">
        <v>9235</v>
      </c>
      <c r="D400" s="166" t="s">
        <v>72</v>
      </c>
      <c r="E400" s="166" t="s">
        <v>9236</v>
      </c>
      <c r="F400" s="167" t="s">
        <v>9237</v>
      </c>
      <c r="G400" s="168" t="s">
        <v>9238</v>
      </c>
      <c r="H400" s="168" t="s">
        <v>9239</v>
      </c>
      <c r="I400" s="178" t="s">
        <v>765</v>
      </c>
      <c r="J400" s="178" t="s">
        <v>765</v>
      </c>
      <c r="K400" s="178" t="s">
        <v>765</v>
      </c>
      <c r="L400" s="178" t="s">
        <v>765</v>
      </c>
      <c r="M400" s="178" t="s">
        <v>765</v>
      </c>
      <c r="N400" s="178"/>
      <c r="O400" s="178" t="s">
        <v>765</v>
      </c>
      <c r="P400" s="76"/>
      <c r="Q400" s="70"/>
      <c r="R400" s="92"/>
      <c r="S400" s="76"/>
      <c r="T400" s="76">
        <v>5</v>
      </c>
      <c r="U400" s="76"/>
      <c r="V400" s="103"/>
      <c r="W400" s="75"/>
      <c r="X400" s="70"/>
      <c r="Y400" s="92"/>
      <c r="Z400" s="76"/>
      <c r="AA400" s="76"/>
      <c r="AB400" s="76"/>
      <c r="AC400" s="76"/>
      <c r="AD400" s="145">
        <v>45444</v>
      </c>
      <c r="AE400" s="166" t="s">
        <v>9240</v>
      </c>
    </row>
    <row r="401" spans="1:31" s="65" customFormat="1" ht="27" customHeight="1" x14ac:dyDescent="0.15">
      <c r="A401" s="76">
        <v>1110802368</v>
      </c>
      <c r="B401" s="165" t="s">
        <v>11765</v>
      </c>
      <c r="C401" s="164" t="s">
        <v>9309</v>
      </c>
      <c r="D401" s="166" t="s">
        <v>72</v>
      </c>
      <c r="E401" s="166" t="s">
        <v>9310</v>
      </c>
      <c r="F401" s="167" t="s">
        <v>2124</v>
      </c>
      <c r="G401" s="168" t="s">
        <v>9311</v>
      </c>
      <c r="H401" s="168" t="s">
        <v>9312</v>
      </c>
      <c r="I401" s="178"/>
      <c r="J401" s="170" t="s">
        <v>765</v>
      </c>
      <c r="K401" s="170" t="s">
        <v>765</v>
      </c>
      <c r="L401" s="170" t="s">
        <v>765</v>
      </c>
      <c r="M401" s="170" t="s">
        <v>765</v>
      </c>
      <c r="N401" s="170" t="s">
        <v>765</v>
      </c>
      <c r="O401" s="170" t="s">
        <v>765</v>
      </c>
      <c r="P401" s="76"/>
      <c r="Q401" s="70"/>
      <c r="R401" s="92"/>
      <c r="S401" s="76"/>
      <c r="T401" s="76"/>
      <c r="U401" s="76"/>
      <c r="V401" s="103"/>
      <c r="W401" s="75"/>
      <c r="X401" s="70"/>
      <c r="Y401" s="92"/>
      <c r="Z401" s="76"/>
      <c r="AA401" s="76"/>
      <c r="AB401" s="118" t="s">
        <v>4614</v>
      </c>
      <c r="AC401" s="118"/>
      <c r="AD401" s="145">
        <v>45474</v>
      </c>
      <c r="AE401" s="166" t="s">
        <v>9313</v>
      </c>
    </row>
    <row r="402" spans="1:31" ht="27" customHeight="1" x14ac:dyDescent="0.15">
      <c r="A402" s="76">
        <v>1110802376</v>
      </c>
      <c r="B402" s="165" t="s">
        <v>11945</v>
      </c>
      <c r="C402" s="166" t="s">
        <v>9314</v>
      </c>
      <c r="D402" s="166" t="s">
        <v>72</v>
      </c>
      <c r="E402" s="166" t="s">
        <v>9315</v>
      </c>
      <c r="F402" s="254" t="s">
        <v>9316</v>
      </c>
      <c r="G402" s="72" t="s">
        <v>9317</v>
      </c>
      <c r="H402" s="72" t="s">
        <v>9318</v>
      </c>
      <c r="I402" s="170" t="s">
        <v>765</v>
      </c>
      <c r="J402" s="256"/>
      <c r="K402" s="256"/>
      <c r="L402" s="170" t="s">
        <v>765</v>
      </c>
      <c r="M402" s="170" t="s">
        <v>765</v>
      </c>
      <c r="N402" s="170" t="s">
        <v>765</v>
      </c>
      <c r="O402" s="91"/>
      <c r="P402" s="72"/>
      <c r="Q402" s="73"/>
      <c r="R402" s="91"/>
      <c r="S402" s="72"/>
      <c r="T402" s="72"/>
      <c r="U402" s="72"/>
      <c r="V402" s="73"/>
      <c r="W402" s="91"/>
      <c r="X402" s="73"/>
      <c r="Y402" s="91"/>
      <c r="Z402" s="72"/>
      <c r="AA402" s="76">
        <v>20</v>
      </c>
      <c r="AB402" s="76"/>
      <c r="AC402" s="76"/>
      <c r="AD402" s="145">
        <v>45474</v>
      </c>
      <c r="AE402" s="166" t="s">
        <v>9319</v>
      </c>
    </row>
    <row r="403" spans="1:31" ht="27" customHeight="1" x14ac:dyDescent="0.15">
      <c r="A403" s="258">
        <v>1110802384</v>
      </c>
      <c r="B403" s="163" t="s">
        <v>11754</v>
      </c>
      <c r="C403" s="164" t="s">
        <v>9387</v>
      </c>
      <c r="D403" s="166" t="s">
        <v>72</v>
      </c>
      <c r="E403" s="166" t="s">
        <v>9388</v>
      </c>
      <c r="F403" s="259" t="s">
        <v>2124</v>
      </c>
      <c r="G403" s="73" t="s">
        <v>9389</v>
      </c>
      <c r="H403" s="72" t="s">
        <v>9390</v>
      </c>
      <c r="I403" s="255" t="s">
        <v>765</v>
      </c>
      <c r="J403" s="260" t="s">
        <v>765</v>
      </c>
      <c r="K403" s="260" t="s">
        <v>765</v>
      </c>
      <c r="L403" s="260" t="s">
        <v>765</v>
      </c>
      <c r="M403" s="260" t="s">
        <v>765</v>
      </c>
      <c r="N403" s="260" t="s">
        <v>765</v>
      </c>
      <c r="O403" s="260" t="s">
        <v>765</v>
      </c>
      <c r="P403" s="258"/>
      <c r="Q403" s="70"/>
      <c r="R403" s="92"/>
      <c r="S403" s="258"/>
      <c r="T403" s="258"/>
      <c r="U403" s="76"/>
      <c r="V403" s="70"/>
      <c r="W403" s="92"/>
      <c r="X403" s="70"/>
      <c r="Y403" s="92"/>
      <c r="Z403" s="76"/>
      <c r="AA403" s="76">
        <v>20</v>
      </c>
      <c r="AB403" s="76"/>
      <c r="AC403" s="76"/>
      <c r="AD403" s="145">
        <v>45505</v>
      </c>
      <c r="AE403" s="166" t="s">
        <v>9391</v>
      </c>
    </row>
    <row r="404" spans="1:31" ht="27" customHeight="1" x14ac:dyDescent="0.15">
      <c r="A404" s="76">
        <v>1110802400</v>
      </c>
      <c r="B404" s="165" t="s">
        <v>11766</v>
      </c>
      <c r="C404" s="166" t="s">
        <v>9535</v>
      </c>
      <c r="D404" s="166" t="s">
        <v>72</v>
      </c>
      <c r="E404" s="166" t="s">
        <v>9536</v>
      </c>
      <c r="F404" s="254" t="s">
        <v>9981</v>
      </c>
      <c r="G404" s="72" t="s">
        <v>9982</v>
      </c>
      <c r="H404" s="72" t="s">
        <v>9982</v>
      </c>
      <c r="I404" s="128"/>
      <c r="J404" s="256"/>
      <c r="K404" s="256"/>
      <c r="L404" s="256"/>
      <c r="M404" s="256" t="s">
        <v>765</v>
      </c>
      <c r="N404" s="158" t="s">
        <v>765</v>
      </c>
      <c r="O404" s="91" t="s">
        <v>765</v>
      </c>
      <c r="P404" s="76"/>
      <c r="Q404" s="103"/>
      <c r="R404" s="92"/>
      <c r="S404" s="76"/>
      <c r="T404" s="76"/>
      <c r="U404" s="76"/>
      <c r="V404" s="103"/>
      <c r="W404" s="92"/>
      <c r="X404" s="103"/>
      <c r="Y404" s="92"/>
      <c r="Z404" s="76"/>
      <c r="AA404" s="76">
        <v>10</v>
      </c>
      <c r="AB404" s="76"/>
      <c r="AC404" s="76"/>
      <c r="AD404" s="104">
        <v>45566</v>
      </c>
      <c r="AE404" s="166" t="s">
        <v>9537</v>
      </c>
    </row>
    <row r="405" spans="1:31" ht="27" customHeight="1" x14ac:dyDescent="0.15">
      <c r="A405" s="76">
        <v>1110802434</v>
      </c>
      <c r="B405" s="165" t="s">
        <v>11767</v>
      </c>
      <c r="C405" s="166" t="s">
        <v>9601</v>
      </c>
      <c r="D405" s="166" t="s">
        <v>72</v>
      </c>
      <c r="E405" s="166" t="s">
        <v>9602</v>
      </c>
      <c r="F405" s="254" t="s">
        <v>3544</v>
      </c>
      <c r="G405" s="72" t="s">
        <v>9603</v>
      </c>
      <c r="H405" s="72" t="s">
        <v>9604</v>
      </c>
      <c r="I405" s="128"/>
      <c r="J405" s="256"/>
      <c r="K405" s="256"/>
      <c r="L405" s="256"/>
      <c r="M405" s="256" t="s">
        <v>49</v>
      </c>
      <c r="N405" s="256" t="s">
        <v>49</v>
      </c>
      <c r="O405" s="256" t="s">
        <v>49</v>
      </c>
      <c r="P405" s="76"/>
      <c r="Q405" s="103"/>
      <c r="R405" s="92"/>
      <c r="S405" s="76"/>
      <c r="T405" s="76"/>
      <c r="U405" s="76"/>
      <c r="V405" s="103"/>
      <c r="W405" s="92"/>
      <c r="X405" s="103"/>
      <c r="Y405" s="92"/>
      <c r="Z405" s="76"/>
      <c r="AA405" s="76">
        <v>20</v>
      </c>
      <c r="AB405" s="76"/>
      <c r="AC405" s="76"/>
      <c r="AD405" s="104">
        <v>45597</v>
      </c>
      <c r="AE405" s="166" t="s">
        <v>9605</v>
      </c>
    </row>
    <row r="406" spans="1:31" ht="27" customHeight="1" x14ac:dyDescent="0.15">
      <c r="A406" s="76">
        <v>1110802442</v>
      </c>
      <c r="B406" s="165" t="s">
        <v>11946</v>
      </c>
      <c r="C406" s="166" t="s">
        <v>9712</v>
      </c>
      <c r="D406" s="166" t="s">
        <v>72</v>
      </c>
      <c r="E406" s="166" t="s">
        <v>9713</v>
      </c>
      <c r="F406" s="254" t="s">
        <v>9714</v>
      </c>
      <c r="G406" s="72" t="s">
        <v>9715</v>
      </c>
      <c r="H406" s="72" t="s">
        <v>9716</v>
      </c>
      <c r="I406" s="256" t="s">
        <v>49</v>
      </c>
      <c r="J406" s="256" t="s">
        <v>49</v>
      </c>
      <c r="K406" s="256" t="s">
        <v>49</v>
      </c>
      <c r="L406" s="256" t="s">
        <v>49</v>
      </c>
      <c r="M406" s="256" t="s">
        <v>49</v>
      </c>
      <c r="N406" s="256" t="s">
        <v>49</v>
      </c>
      <c r="O406" s="256" t="s">
        <v>49</v>
      </c>
      <c r="P406" s="76"/>
      <c r="Q406" s="103"/>
      <c r="R406" s="92"/>
      <c r="S406" s="76"/>
      <c r="T406" s="76"/>
      <c r="U406" s="76"/>
      <c r="V406" s="103"/>
      <c r="W406" s="92"/>
      <c r="X406" s="103"/>
      <c r="Y406" s="92"/>
      <c r="Z406" s="76"/>
      <c r="AA406" s="76">
        <v>20</v>
      </c>
      <c r="AB406" s="76"/>
      <c r="AC406" s="76"/>
      <c r="AD406" s="104">
        <v>45627</v>
      </c>
      <c r="AE406" s="166" t="s">
        <v>9717</v>
      </c>
    </row>
    <row r="407" spans="1:31" ht="27" customHeight="1" x14ac:dyDescent="0.15">
      <c r="A407" s="76">
        <v>11110802467</v>
      </c>
      <c r="B407" s="165" t="s">
        <v>11947</v>
      </c>
      <c r="C407" s="166" t="s">
        <v>9718</v>
      </c>
      <c r="D407" s="166" t="s">
        <v>72</v>
      </c>
      <c r="E407" s="166" t="s">
        <v>9719</v>
      </c>
      <c r="F407" s="254" t="s">
        <v>9607</v>
      </c>
      <c r="G407" s="72" t="s">
        <v>9608</v>
      </c>
      <c r="H407" s="72" t="s">
        <v>9609</v>
      </c>
      <c r="I407" s="256" t="s">
        <v>49</v>
      </c>
      <c r="J407" s="256" t="s">
        <v>49</v>
      </c>
      <c r="K407" s="256" t="s">
        <v>49</v>
      </c>
      <c r="L407" s="256" t="s">
        <v>49</v>
      </c>
      <c r="M407" s="256"/>
      <c r="N407" s="158"/>
      <c r="O407" s="256" t="s">
        <v>49</v>
      </c>
      <c r="P407" s="76"/>
      <c r="Q407" s="103"/>
      <c r="R407" s="92"/>
      <c r="S407" s="76"/>
      <c r="T407" s="76">
        <v>9</v>
      </c>
      <c r="U407" s="76"/>
      <c r="V407" s="103"/>
      <c r="W407" s="92"/>
      <c r="X407" s="103"/>
      <c r="Y407" s="92"/>
      <c r="Z407" s="76"/>
      <c r="AA407" s="76"/>
      <c r="AB407" s="76"/>
      <c r="AC407" s="76"/>
      <c r="AD407" s="104">
        <v>45627</v>
      </c>
      <c r="AE407" s="166" t="s">
        <v>9720</v>
      </c>
    </row>
    <row r="408" spans="1:31" ht="27" customHeight="1" x14ac:dyDescent="0.15">
      <c r="A408" s="76">
        <v>1110802509</v>
      </c>
      <c r="B408" s="165" t="s">
        <v>11768</v>
      </c>
      <c r="C408" s="166" t="s">
        <v>9997</v>
      </c>
      <c r="D408" s="166" t="s">
        <v>72</v>
      </c>
      <c r="E408" s="166" t="s">
        <v>9998</v>
      </c>
      <c r="F408" s="254" t="s">
        <v>9999</v>
      </c>
      <c r="G408" s="72" t="s">
        <v>10000</v>
      </c>
      <c r="H408" s="72" t="s">
        <v>10001</v>
      </c>
      <c r="I408" s="256" t="s">
        <v>49</v>
      </c>
      <c r="J408" s="256" t="s">
        <v>49</v>
      </c>
      <c r="K408" s="256" t="s">
        <v>49</v>
      </c>
      <c r="L408" s="256" t="s">
        <v>49</v>
      </c>
      <c r="M408" s="256" t="s">
        <v>49</v>
      </c>
      <c r="N408" s="256" t="s">
        <v>49</v>
      </c>
      <c r="O408" s="256" t="s">
        <v>49</v>
      </c>
      <c r="P408" s="76"/>
      <c r="Q408" s="103"/>
      <c r="R408" s="92"/>
      <c r="S408" s="76"/>
      <c r="T408" s="76"/>
      <c r="U408" s="76"/>
      <c r="V408" s="103"/>
      <c r="W408" s="92"/>
      <c r="X408" s="103"/>
      <c r="Y408" s="92"/>
      <c r="Z408" s="76"/>
      <c r="AA408" s="76">
        <v>20</v>
      </c>
      <c r="AB408" s="76"/>
      <c r="AC408" s="76"/>
      <c r="AD408" s="104">
        <v>45717</v>
      </c>
      <c r="AE408" s="166" t="s">
        <v>10002</v>
      </c>
    </row>
    <row r="409" spans="1:31" ht="27" customHeight="1" x14ac:dyDescent="0.15">
      <c r="A409" s="76">
        <v>11110802517</v>
      </c>
      <c r="B409" s="165" t="s">
        <v>12047</v>
      </c>
      <c r="C409" s="166" t="s">
        <v>10003</v>
      </c>
      <c r="D409" s="166" t="s">
        <v>72</v>
      </c>
      <c r="E409" s="166" t="s">
        <v>10004</v>
      </c>
      <c r="F409" s="254" t="s">
        <v>8750</v>
      </c>
      <c r="G409" s="72" t="s">
        <v>10005</v>
      </c>
      <c r="H409" s="72" t="s">
        <v>10006</v>
      </c>
      <c r="I409" s="256"/>
      <c r="J409" s="256"/>
      <c r="K409" s="256"/>
      <c r="L409" s="256"/>
      <c r="M409" s="256" t="s">
        <v>49</v>
      </c>
      <c r="N409" s="256" t="s">
        <v>49</v>
      </c>
      <c r="O409" s="256"/>
      <c r="P409" s="76"/>
      <c r="Q409" s="103"/>
      <c r="R409" s="92"/>
      <c r="S409" s="76"/>
      <c r="T409" s="76"/>
      <c r="U409" s="76"/>
      <c r="V409" s="103"/>
      <c r="W409" s="92"/>
      <c r="X409" s="103"/>
      <c r="Y409" s="92"/>
      <c r="Z409" s="76"/>
      <c r="AA409" s="76">
        <v>20</v>
      </c>
      <c r="AB409" s="76"/>
      <c r="AC409" s="76"/>
      <c r="AD409" s="104">
        <v>45717</v>
      </c>
      <c r="AE409" s="166" t="s">
        <v>10007</v>
      </c>
    </row>
    <row r="410" spans="1:31" ht="27" customHeight="1" x14ac:dyDescent="0.15">
      <c r="A410" s="76">
        <v>1110802525</v>
      </c>
      <c r="B410" s="261" t="s">
        <v>11769</v>
      </c>
      <c r="C410" s="166" t="s">
        <v>6340</v>
      </c>
      <c r="D410" s="166" t="s">
        <v>72</v>
      </c>
      <c r="E410" s="166" t="s">
        <v>10045</v>
      </c>
      <c r="F410" s="254" t="s">
        <v>6342</v>
      </c>
      <c r="G410" s="72" t="s">
        <v>6343</v>
      </c>
      <c r="H410" s="72" t="s">
        <v>6344</v>
      </c>
      <c r="I410" s="256" t="s">
        <v>49</v>
      </c>
      <c r="J410" s="256"/>
      <c r="K410" s="256"/>
      <c r="L410" s="256" t="s">
        <v>49</v>
      </c>
      <c r="M410" s="256" t="s">
        <v>49</v>
      </c>
      <c r="N410" s="256" t="s">
        <v>49</v>
      </c>
      <c r="O410" s="256" t="s">
        <v>49</v>
      </c>
      <c r="P410" s="76"/>
      <c r="Q410" s="103"/>
      <c r="R410" s="92"/>
      <c r="S410" s="76"/>
      <c r="T410" s="76"/>
      <c r="U410" s="76"/>
      <c r="V410" s="103">
        <v>20</v>
      </c>
      <c r="W410" s="92"/>
      <c r="X410" s="103"/>
      <c r="Y410" s="92"/>
      <c r="Z410" s="76"/>
      <c r="AA410" s="76"/>
      <c r="AB410" s="76"/>
      <c r="AC410" s="76"/>
      <c r="AD410" s="104">
        <v>45748</v>
      </c>
      <c r="AE410" s="166" t="s">
        <v>10046</v>
      </c>
    </row>
    <row r="411" spans="1:31" ht="27" customHeight="1" x14ac:dyDescent="0.15">
      <c r="A411" s="76">
        <v>1110802574</v>
      </c>
      <c r="B411" s="165" t="s">
        <v>11986</v>
      </c>
      <c r="C411" s="166" t="s">
        <v>10199</v>
      </c>
      <c r="D411" s="166" t="s">
        <v>72</v>
      </c>
      <c r="E411" s="166" t="s">
        <v>10200</v>
      </c>
      <c r="F411" s="254" t="s">
        <v>9999</v>
      </c>
      <c r="G411" s="72" t="s">
        <v>10201</v>
      </c>
      <c r="H411" s="72" t="s">
        <v>3046</v>
      </c>
      <c r="I411" s="256" t="s">
        <v>49</v>
      </c>
      <c r="J411" s="256" t="s">
        <v>49</v>
      </c>
      <c r="K411" s="256" t="s">
        <v>49</v>
      </c>
      <c r="L411" s="256" t="s">
        <v>49</v>
      </c>
      <c r="M411" s="256"/>
      <c r="N411" s="256"/>
      <c r="O411" s="256" t="s">
        <v>49</v>
      </c>
      <c r="P411" s="76"/>
      <c r="Q411" s="103"/>
      <c r="R411" s="92"/>
      <c r="S411" s="76"/>
      <c r="T411" s="76">
        <v>7</v>
      </c>
      <c r="U411" s="76"/>
      <c r="V411" s="103"/>
      <c r="W411" s="92"/>
      <c r="X411" s="103"/>
      <c r="Y411" s="92"/>
      <c r="Z411" s="76"/>
      <c r="AA411" s="76"/>
      <c r="AB411" s="76"/>
      <c r="AC411" s="76"/>
      <c r="AD411" s="104">
        <v>45778</v>
      </c>
      <c r="AE411" s="166" t="s">
        <v>10202</v>
      </c>
    </row>
    <row r="412" spans="1:31" ht="27" customHeight="1" x14ac:dyDescent="0.15">
      <c r="A412" s="76">
        <v>1110802590</v>
      </c>
      <c r="B412" s="165" t="s">
        <v>11770</v>
      </c>
      <c r="C412" s="166" t="s">
        <v>10423</v>
      </c>
      <c r="D412" s="166" t="s">
        <v>72</v>
      </c>
      <c r="E412" s="166" t="s">
        <v>10424</v>
      </c>
      <c r="F412" s="254" t="s">
        <v>2757</v>
      </c>
      <c r="G412" s="72" t="s">
        <v>10425</v>
      </c>
      <c r="H412" s="72" t="s">
        <v>10425</v>
      </c>
      <c r="I412" s="256" t="s">
        <v>49</v>
      </c>
      <c r="J412" s="256" t="s">
        <v>49</v>
      </c>
      <c r="K412" s="256" t="s">
        <v>49</v>
      </c>
      <c r="L412" s="256" t="s">
        <v>49</v>
      </c>
      <c r="M412" s="256" t="s">
        <v>49</v>
      </c>
      <c r="N412" s="256" t="s">
        <v>49</v>
      </c>
      <c r="O412" s="256" t="s">
        <v>49</v>
      </c>
      <c r="P412" s="76"/>
      <c r="Q412" s="103"/>
      <c r="R412" s="92"/>
      <c r="S412" s="76"/>
      <c r="T412" s="76"/>
      <c r="U412" s="76"/>
      <c r="V412" s="103"/>
      <c r="W412" s="92"/>
      <c r="X412" s="103"/>
      <c r="Y412" s="92"/>
      <c r="Z412" s="76"/>
      <c r="AA412" s="76">
        <v>20</v>
      </c>
      <c r="AB412" s="76"/>
      <c r="AC412" s="76"/>
      <c r="AD412" s="104">
        <v>45839</v>
      </c>
      <c r="AE412" s="166" t="s">
        <v>10426</v>
      </c>
    </row>
    <row r="413" spans="1:31" ht="27" customHeight="1" x14ac:dyDescent="0.15">
      <c r="A413" s="76">
        <v>1110802608</v>
      </c>
      <c r="B413" s="165" t="s">
        <v>11650</v>
      </c>
      <c r="C413" s="166" t="s">
        <v>10427</v>
      </c>
      <c r="D413" s="166" t="s">
        <v>72</v>
      </c>
      <c r="E413" s="166" t="s">
        <v>10428</v>
      </c>
      <c r="F413" s="254" t="s">
        <v>10429</v>
      </c>
      <c r="G413" s="72" t="s">
        <v>10430</v>
      </c>
      <c r="H413" s="72" t="s">
        <v>10430</v>
      </c>
      <c r="I413" s="256"/>
      <c r="J413" s="256"/>
      <c r="K413" s="256"/>
      <c r="L413" s="256"/>
      <c r="M413" s="256" t="s">
        <v>49</v>
      </c>
      <c r="N413" s="256" t="s">
        <v>49</v>
      </c>
      <c r="O413" s="256"/>
      <c r="P413" s="76"/>
      <c r="Q413" s="103"/>
      <c r="R413" s="92"/>
      <c r="S413" s="76"/>
      <c r="T413" s="76"/>
      <c r="U413" s="76"/>
      <c r="V413" s="103"/>
      <c r="W413" s="92"/>
      <c r="X413" s="103"/>
      <c r="Y413" s="92"/>
      <c r="Z413" s="76"/>
      <c r="AA413" s="76">
        <v>20</v>
      </c>
      <c r="AB413" s="76"/>
      <c r="AC413" s="76"/>
      <c r="AD413" s="104">
        <v>45839</v>
      </c>
      <c r="AE413" s="166" t="s">
        <v>10431</v>
      </c>
    </row>
    <row r="414" spans="1:31" ht="27" customHeight="1" x14ac:dyDescent="0.15">
      <c r="A414" s="76">
        <v>1110802616</v>
      </c>
      <c r="B414" s="165" t="s">
        <v>11771</v>
      </c>
      <c r="C414" s="166" t="s">
        <v>10474</v>
      </c>
      <c r="D414" s="166" t="s">
        <v>72</v>
      </c>
      <c r="E414" s="166" t="s">
        <v>10475</v>
      </c>
      <c r="F414" s="254" t="s">
        <v>10476</v>
      </c>
      <c r="G414" s="72" t="s">
        <v>10477</v>
      </c>
      <c r="H414" s="72" t="s">
        <v>10478</v>
      </c>
      <c r="I414" s="256" t="s">
        <v>49</v>
      </c>
      <c r="J414" s="256"/>
      <c r="K414" s="256"/>
      <c r="L414" s="256"/>
      <c r="M414" s="256" t="s">
        <v>49</v>
      </c>
      <c r="N414" s="256"/>
      <c r="O414" s="256" t="s">
        <v>49</v>
      </c>
      <c r="P414" s="76"/>
      <c r="Q414" s="103"/>
      <c r="R414" s="92"/>
      <c r="S414" s="76"/>
      <c r="T414" s="76">
        <v>7</v>
      </c>
      <c r="U414" s="76"/>
      <c r="V414" s="103"/>
      <c r="W414" s="92"/>
      <c r="X414" s="103"/>
      <c r="Y414" s="92"/>
      <c r="Z414" s="76"/>
      <c r="AA414" s="76"/>
      <c r="AB414" s="76"/>
      <c r="AC414" s="76"/>
      <c r="AD414" s="104">
        <v>45870</v>
      </c>
      <c r="AE414" s="166" t="s">
        <v>10479</v>
      </c>
    </row>
    <row r="415" spans="1:31" ht="27" customHeight="1" x14ac:dyDescent="0.15">
      <c r="A415" s="76">
        <v>1110802624</v>
      </c>
      <c r="B415" s="165" t="s">
        <v>11772</v>
      </c>
      <c r="C415" s="166" t="s">
        <v>10480</v>
      </c>
      <c r="D415" s="166" t="s">
        <v>72</v>
      </c>
      <c r="E415" s="166" t="s">
        <v>10481</v>
      </c>
      <c r="F415" s="254" t="s">
        <v>2175</v>
      </c>
      <c r="G415" s="72" t="s">
        <v>10482</v>
      </c>
      <c r="H415" s="72" t="s">
        <v>10483</v>
      </c>
      <c r="I415" s="256"/>
      <c r="J415" s="256"/>
      <c r="K415" s="256" t="s">
        <v>49</v>
      </c>
      <c r="L415" s="256"/>
      <c r="M415" s="256" t="s">
        <v>49</v>
      </c>
      <c r="N415" s="256" t="s">
        <v>49</v>
      </c>
      <c r="O415" s="256"/>
      <c r="P415" s="76"/>
      <c r="Q415" s="103"/>
      <c r="R415" s="92"/>
      <c r="S415" s="76"/>
      <c r="T415" s="76">
        <v>20</v>
      </c>
      <c r="U415" s="76"/>
      <c r="V415" s="103"/>
      <c r="W415" s="92"/>
      <c r="X415" s="103"/>
      <c r="Y415" s="92"/>
      <c r="Z415" s="76"/>
      <c r="AA415" s="76"/>
      <c r="AB415" s="76"/>
      <c r="AC415" s="76"/>
      <c r="AD415" s="104">
        <v>45870</v>
      </c>
      <c r="AE415" s="166" t="s">
        <v>10484</v>
      </c>
    </row>
    <row r="416" spans="1:31" ht="27" customHeight="1" x14ac:dyDescent="0.15">
      <c r="A416" s="76">
        <v>1110802632</v>
      </c>
      <c r="B416" s="165" t="s">
        <v>11746</v>
      </c>
      <c r="C416" s="166" t="s">
        <v>10485</v>
      </c>
      <c r="D416" s="166" t="s">
        <v>72</v>
      </c>
      <c r="E416" s="166" t="s">
        <v>10486</v>
      </c>
      <c r="F416" s="254" t="s">
        <v>2124</v>
      </c>
      <c r="G416" s="72" t="s">
        <v>8951</v>
      </c>
      <c r="H416" s="72" t="s">
        <v>8952</v>
      </c>
      <c r="I416" s="256"/>
      <c r="J416" s="256"/>
      <c r="K416" s="256"/>
      <c r="L416" s="256" t="s">
        <v>49</v>
      </c>
      <c r="M416" s="256" t="s">
        <v>49</v>
      </c>
      <c r="N416" s="256" t="s">
        <v>49</v>
      </c>
      <c r="O416" s="256" t="s">
        <v>49</v>
      </c>
      <c r="P416" s="76"/>
      <c r="Q416" s="103"/>
      <c r="R416" s="92"/>
      <c r="S416" s="76"/>
      <c r="T416" s="76"/>
      <c r="U416" s="76"/>
      <c r="V416" s="103"/>
      <c r="W416" s="92"/>
      <c r="X416" s="103"/>
      <c r="Y416" s="92"/>
      <c r="Z416" s="76"/>
      <c r="AA416" s="76"/>
      <c r="AB416" s="76" t="s">
        <v>49</v>
      </c>
      <c r="AC416" s="76"/>
      <c r="AD416" s="104">
        <v>45870</v>
      </c>
      <c r="AE416" s="166" t="s">
        <v>10487</v>
      </c>
    </row>
    <row r="417" spans="1:31" ht="27" customHeight="1" x14ac:dyDescent="0.15">
      <c r="A417" s="76">
        <v>1110802640</v>
      </c>
      <c r="B417" s="165" t="s">
        <v>11773</v>
      </c>
      <c r="C417" s="166" t="s">
        <v>10488</v>
      </c>
      <c r="D417" s="166" t="s">
        <v>72</v>
      </c>
      <c r="E417" s="166" t="s">
        <v>10489</v>
      </c>
      <c r="F417" s="254" t="s">
        <v>3984</v>
      </c>
      <c r="G417" s="72" t="s">
        <v>10490</v>
      </c>
      <c r="H417" s="72" t="s">
        <v>839</v>
      </c>
      <c r="I417" s="256" t="s">
        <v>49</v>
      </c>
      <c r="J417" s="256" t="s">
        <v>49</v>
      </c>
      <c r="K417" s="256" t="s">
        <v>49</v>
      </c>
      <c r="L417" s="256" t="s">
        <v>49</v>
      </c>
      <c r="M417" s="256" t="s">
        <v>49</v>
      </c>
      <c r="N417" s="256" t="s">
        <v>49</v>
      </c>
      <c r="O417" s="256" t="s">
        <v>49</v>
      </c>
      <c r="P417" s="76"/>
      <c r="Q417" s="103"/>
      <c r="R417" s="92"/>
      <c r="S417" s="76"/>
      <c r="T417" s="76"/>
      <c r="U417" s="76"/>
      <c r="V417" s="103"/>
      <c r="W417" s="92"/>
      <c r="X417" s="103"/>
      <c r="Y417" s="92"/>
      <c r="Z417" s="76"/>
      <c r="AA417" s="76">
        <v>20</v>
      </c>
      <c r="AB417" s="76"/>
      <c r="AC417" s="76"/>
      <c r="AD417" s="104">
        <v>45870</v>
      </c>
      <c r="AE417" s="166" t="s">
        <v>10491</v>
      </c>
    </row>
    <row r="418" spans="1:31" ht="27" customHeight="1" x14ac:dyDescent="0.15">
      <c r="A418" s="76">
        <v>1110802665</v>
      </c>
      <c r="B418" s="165" t="s">
        <v>11948</v>
      </c>
      <c r="C418" s="166" t="s">
        <v>10621</v>
      </c>
      <c r="D418" s="166" t="s">
        <v>72</v>
      </c>
      <c r="E418" s="166" t="s">
        <v>10622</v>
      </c>
      <c r="F418" s="254" t="s">
        <v>8571</v>
      </c>
      <c r="G418" s="72" t="s">
        <v>10623</v>
      </c>
      <c r="H418" s="72" t="s">
        <v>10624</v>
      </c>
      <c r="I418" s="256" t="s">
        <v>49</v>
      </c>
      <c r="J418" s="256" t="s">
        <v>49</v>
      </c>
      <c r="K418" s="256" t="s">
        <v>49</v>
      </c>
      <c r="L418" s="256" t="s">
        <v>49</v>
      </c>
      <c r="M418" s="256" t="s">
        <v>49</v>
      </c>
      <c r="N418" s="256" t="s">
        <v>49</v>
      </c>
      <c r="O418" s="256" t="s">
        <v>49</v>
      </c>
      <c r="P418" s="76"/>
      <c r="Q418" s="103"/>
      <c r="R418" s="92"/>
      <c r="S418" s="76"/>
      <c r="T418" s="76"/>
      <c r="U418" s="76"/>
      <c r="V418" s="103"/>
      <c r="W418" s="92"/>
      <c r="X418" s="103"/>
      <c r="Y418" s="92"/>
      <c r="Z418" s="76">
        <v>20</v>
      </c>
      <c r="AA418" s="76"/>
      <c r="AB418" s="76"/>
      <c r="AC418" s="76"/>
      <c r="AD418" s="104">
        <v>45901</v>
      </c>
      <c r="AE418" s="166" t="s">
        <v>10625</v>
      </c>
    </row>
    <row r="419" spans="1:31" ht="27" customHeight="1" x14ac:dyDescent="0.15">
      <c r="A419" s="76">
        <v>1110802681</v>
      </c>
      <c r="B419" s="165" t="s">
        <v>11774</v>
      </c>
      <c r="C419" s="166" t="s">
        <v>10731</v>
      </c>
      <c r="D419" s="166" t="s">
        <v>72</v>
      </c>
      <c r="E419" s="166" t="s">
        <v>10732</v>
      </c>
      <c r="F419" s="254" t="s">
        <v>10733</v>
      </c>
      <c r="G419" s="72" t="s">
        <v>10734</v>
      </c>
      <c r="H419" s="72" t="s">
        <v>10735</v>
      </c>
      <c r="I419" s="256" t="s">
        <v>49</v>
      </c>
      <c r="J419" s="256" t="s">
        <v>49</v>
      </c>
      <c r="K419" s="256" t="s">
        <v>49</v>
      </c>
      <c r="L419" s="256" t="s">
        <v>49</v>
      </c>
      <c r="M419" s="256" t="s">
        <v>49</v>
      </c>
      <c r="N419" s="256" t="s">
        <v>49</v>
      </c>
      <c r="O419" s="256" t="s">
        <v>49</v>
      </c>
      <c r="P419" s="76"/>
      <c r="Q419" s="103"/>
      <c r="R419" s="92"/>
      <c r="S419" s="76"/>
      <c r="T419" s="76">
        <v>5</v>
      </c>
      <c r="U419" s="76"/>
      <c r="V419" s="103"/>
      <c r="W419" s="92"/>
      <c r="X419" s="103"/>
      <c r="Y419" s="92"/>
      <c r="Z419" s="76"/>
      <c r="AA419" s="76"/>
      <c r="AB419" s="76"/>
      <c r="AC419" s="76"/>
      <c r="AD419" s="104">
        <v>45931</v>
      </c>
      <c r="AE419" s="166" t="s">
        <v>10736</v>
      </c>
    </row>
    <row r="420" spans="1:31" ht="27" customHeight="1" x14ac:dyDescent="0.15">
      <c r="A420" s="76">
        <v>1110802699</v>
      </c>
      <c r="B420" s="165" t="s">
        <v>11775</v>
      </c>
      <c r="C420" s="166" t="s">
        <v>6340</v>
      </c>
      <c r="D420" s="166" t="s">
        <v>72</v>
      </c>
      <c r="E420" s="166" t="s">
        <v>10737</v>
      </c>
      <c r="F420" s="254" t="s">
        <v>6342</v>
      </c>
      <c r="G420" s="72" t="s">
        <v>6343</v>
      </c>
      <c r="H420" s="72" t="s">
        <v>6344</v>
      </c>
      <c r="I420" s="256" t="s">
        <v>49</v>
      </c>
      <c r="J420" s="256"/>
      <c r="K420" s="256"/>
      <c r="L420" s="256" t="s">
        <v>49</v>
      </c>
      <c r="M420" s="256" t="s">
        <v>49</v>
      </c>
      <c r="N420" s="256" t="s">
        <v>49</v>
      </c>
      <c r="O420" s="256" t="s">
        <v>49</v>
      </c>
      <c r="P420" s="76"/>
      <c r="Q420" s="103"/>
      <c r="R420" s="92"/>
      <c r="S420" s="76"/>
      <c r="T420" s="76"/>
      <c r="U420" s="76"/>
      <c r="V420" s="103"/>
      <c r="W420" s="92"/>
      <c r="X420" s="103"/>
      <c r="Y420" s="92"/>
      <c r="Z420" s="76"/>
      <c r="AA420" s="76"/>
      <c r="AB420" s="76"/>
      <c r="AC420" s="76">
        <v>10</v>
      </c>
      <c r="AD420" s="104">
        <v>45931</v>
      </c>
      <c r="AE420" s="166" t="s">
        <v>10738</v>
      </c>
    </row>
    <row r="421" spans="1:31" ht="27" customHeight="1" x14ac:dyDescent="0.15">
      <c r="A421" s="76">
        <v>1110802707</v>
      </c>
      <c r="B421" s="165" t="s">
        <v>12048</v>
      </c>
      <c r="C421" s="166" t="s">
        <v>10907</v>
      </c>
      <c r="D421" s="166" t="s">
        <v>72</v>
      </c>
      <c r="E421" s="166" t="s">
        <v>10908</v>
      </c>
      <c r="F421" s="254">
        <v>3430823</v>
      </c>
      <c r="G421" s="72" t="s">
        <v>10047</v>
      </c>
      <c r="H421" s="72" t="s">
        <v>10048</v>
      </c>
      <c r="I421" s="256"/>
      <c r="J421" s="256"/>
      <c r="K421" s="256"/>
      <c r="L421" s="256" t="s">
        <v>49</v>
      </c>
      <c r="M421" s="256" t="s">
        <v>49</v>
      </c>
      <c r="N421" s="256" t="s">
        <v>49</v>
      </c>
      <c r="O421" s="256" t="s">
        <v>49</v>
      </c>
      <c r="P421" s="76"/>
      <c r="Q421" s="103"/>
      <c r="R421" s="92"/>
      <c r="S421" s="76"/>
      <c r="T421" s="76"/>
      <c r="U421" s="76"/>
      <c r="V421" s="103"/>
      <c r="W421" s="92"/>
      <c r="X421" s="103"/>
      <c r="Y421" s="92"/>
      <c r="Z421" s="76">
        <v>20</v>
      </c>
      <c r="AA421" s="76"/>
      <c r="AB421" s="76"/>
      <c r="AC421" s="76"/>
      <c r="AD421" s="104">
        <v>45992</v>
      </c>
      <c r="AE421" s="166" t="s">
        <v>10909</v>
      </c>
    </row>
    <row r="422" spans="1:31" ht="27" customHeight="1" x14ac:dyDescent="0.15">
      <c r="A422" s="76">
        <v>1110802723</v>
      </c>
      <c r="B422" s="165" t="s">
        <v>11190</v>
      </c>
      <c r="C422" s="166" t="s">
        <v>11175</v>
      </c>
      <c r="D422" s="166" t="s">
        <v>72</v>
      </c>
      <c r="E422" s="166" t="s">
        <v>11176</v>
      </c>
      <c r="F422" s="254" t="s">
        <v>4383</v>
      </c>
      <c r="G422" s="72" t="s">
        <v>11177</v>
      </c>
      <c r="H422" s="72" t="s">
        <v>3077</v>
      </c>
      <c r="I422" s="255"/>
      <c r="J422" s="256"/>
      <c r="K422" s="256"/>
      <c r="L422" s="256"/>
      <c r="M422" s="256" t="s">
        <v>765</v>
      </c>
      <c r="N422" s="158" t="s">
        <v>765</v>
      </c>
      <c r="O422" s="158"/>
      <c r="P422" s="76"/>
      <c r="Q422" s="70"/>
      <c r="R422" s="92"/>
      <c r="S422" s="76"/>
      <c r="T422" s="76"/>
      <c r="U422" s="76"/>
      <c r="V422" s="103"/>
      <c r="W422" s="75"/>
      <c r="X422" s="70"/>
      <c r="Y422" s="92"/>
      <c r="Z422" s="76"/>
      <c r="AA422" s="76">
        <v>20</v>
      </c>
      <c r="AB422" s="76"/>
      <c r="AC422" s="76"/>
      <c r="AD422" s="104">
        <v>46082</v>
      </c>
      <c r="AE422" s="166" t="s">
        <v>11178</v>
      </c>
    </row>
    <row r="423" spans="1:31" ht="27" customHeight="1" x14ac:dyDescent="0.15">
      <c r="A423" s="76">
        <v>1110802756</v>
      </c>
      <c r="B423" s="165" t="s">
        <v>12010</v>
      </c>
      <c r="C423" s="166" t="s">
        <v>11404</v>
      </c>
      <c r="D423" s="166" t="s">
        <v>72</v>
      </c>
      <c r="E423" s="166" t="s">
        <v>11442</v>
      </c>
      <c r="F423" s="254" t="s">
        <v>4779</v>
      </c>
      <c r="G423" s="72" t="s">
        <v>3516</v>
      </c>
      <c r="H423" s="72" t="s">
        <v>11405</v>
      </c>
      <c r="I423" s="256"/>
      <c r="J423" s="256"/>
      <c r="K423" s="256"/>
      <c r="L423" s="256"/>
      <c r="M423" s="256" t="s">
        <v>10951</v>
      </c>
      <c r="N423" s="256" t="s">
        <v>10951</v>
      </c>
      <c r="O423" s="256"/>
      <c r="P423" s="76"/>
      <c r="Q423" s="103"/>
      <c r="R423" s="92"/>
      <c r="S423" s="76"/>
      <c r="T423" s="76"/>
      <c r="U423" s="76"/>
      <c r="V423" s="103"/>
      <c r="W423" s="92"/>
      <c r="X423" s="103"/>
      <c r="Y423" s="92"/>
      <c r="Z423" s="76"/>
      <c r="AA423" s="76"/>
      <c r="AB423" s="76"/>
      <c r="AC423" s="76">
        <v>10</v>
      </c>
      <c r="AD423" s="104">
        <v>46113</v>
      </c>
      <c r="AE423" s="166" t="s">
        <v>11406</v>
      </c>
    </row>
    <row r="424" spans="1:31" ht="27" customHeight="1" x14ac:dyDescent="0.15">
      <c r="A424" s="76">
        <v>1110802772</v>
      </c>
      <c r="B424" s="165" t="s">
        <v>11776</v>
      </c>
      <c r="C424" s="166" t="s">
        <v>11401</v>
      </c>
      <c r="D424" s="166" t="s">
        <v>72</v>
      </c>
      <c r="E424" s="166" t="s">
        <v>11402</v>
      </c>
      <c r="F424" s="254" t="s">
        <v>3927</v>
      </c>
      <c r="G424" s="72" t="s">
        <v>1086</v>
      </c>
      <c r="H424" s="72" t="s">
        <v>1087</v>
      </c>
      <c r="I424" s="256"/>
      <c r="J424" s="256"/>
      <c r="K424" s="256"/>
      <c r="L424" s="256"/>
      <c r="M424" s="256" t="s">
        <v>49</v>
      </c>
      <c r="N424" s="256"/>
      <c r="O424" s="256"/>
      <c r="P424" s="76"/>
      <c r="Q424" s="103"/>
      <c r="R424" s="92"/>
      <c r="S424" s="76"/>
      <c r="T424" s="76">
        <v>20</v>
      </c>
      <c r="U424" s="76"/>
      <c r="V424" s="103"/>
      <c r="W424" s="92"/>
      <c r="X424" s="103"/>
      <c r="Y424" s="92"/>
      <c r="Z424" s="76"/>
      <c r="AA424" s="76"/>
      <c r="AB424" s="76"/>
      <c r="AC424" s="76"/>
      <c r="AD424" s="104">
        <v>46113</v>
      </c>
      <c r="AE424" s="166" t="s">
        <v>11403</v>
      </c>
    </row>
    <row r="425" spans="1:31" ht="27" customHeight="1" x14ac:dyDescent="0.15">
      <c r="A425" s="76">
        <v>1110802780</v>
      </c>
      <c r="B425" s="165" t="s">
        <v>11777</v>
      </c>
      <c r="C425" s="166" t="s">
        <v>11407</v>
      </c>
      <c r="D425" s="166" t="s">
        <v>72</v>
      </c>
      <c r="E425" s="166" t="s">
        <v>11615</v>
      </c>
      <c r="F425" s="254" t="s">
        <v>2175</v>
      </c>
      <c r="G425" s="72" t="s">
        <v>11408</v>
      </c>
      <c r="H425" s="72" t="s">
        <v>2106</v>
      </c>
      <c r="I425" s="256" t="s">
        <v>10951</v>
      </c>
      <c r="J425" s="256"/>
      <c r="K425" s="256"/>
      <c r="L425" s="256"/>
      <c r="M425" s="256" t="s">
        <v>49</v>
      </c>
      <c r="N425" s="256"/>
      <c r="O425" s="256" t="s">
        <v>49</v>
      </c>
      <c r="P425" s="76"/>
      <c r="Q425" s="103"/>
      <c r="R425" s="92"/>
      <c r="S425" s="76"/>
      <c r="T425" s="76">
        <v>5</v>
      </c>
      <c r="U425" s="76"/>
      <c r="V425" s="103"/>
      <c r="W425" s="92"/>
      <c r="X425" s="103"/>
      <c r="Y425" s="92"/>
      <c r="Z425" s="76"/>
      <c r="AA425" s="76"/>
      <c r="AB425" s="76"/>
      <c r="AC425" s="76"/>
      <c r="AD425" s="104">
        <v>46113</v>
      </c>
      <c r="AE425" s="166" t="s">
        <v>11409</v>
      </c>
    </row>
    <row r="426" spans="1:31" s="641" customFormat="1" ht="27" customHeight="1" x14ac:dyDescent="0.15">
      <c r="A426" s="573">
        <v>1110802798</v>
      </c>
      <c r="B426" s="642" t="s">
        <v>12313</v>
      </c>
      <c r="C426" s="643" t="s">
        <v>11606</v>
      </c>
      <c r="D426" s="643" t="s">
        <v>72</v>
      </c>
      <c r="E426" s="643" t="s">
        <v>12314</v>
      </c>
      <c r="F426" s="644" t="s">
        <v>8567</v>
      </c>
      <c r="G426" s="560" t="s">
        <v>12315</v>
      </c>
      <c r="H426" s="539" t="s">
        <v>10865</v>
      </c>
      <c r="I426" s="645"/>
      <c r="J426" s="645"/>
      <c r="K426" s="645" t="s">
        <v>10951</v>
      </c>
      <c r="L426" s="645" t="s">
        <v>10951</v>
      </c>
      <c r="M426" s="645" t="s">
        <v>10951</v>
      </c>
      <c r="N426" s="645" t="s">
        <v>10951</v>
      </c>
      <c r="O426" s="645" t="s">
        <v>10951</v>
      </c>
      <c r="P426" s="573"/>
      <c r="Q426" s="574"/>
      <c r="R426" s="572"/>
      <c r="S426" s="573"/>
      <c r="T426" s="573"/>
      <c r="U426" s="573"/>
      <c r="V426" s="574"/>
      <c r="W426" s="572"/>
      <c r="X426" s="574"/>
      <c r="Y426" s="572"/>
      <c r="Z426" s="573"/>
      <c r="AA426" s="573" t="s">
        <v>10951</v>
      </c>
      <c r="AB426" s="573"/>
      <c r="AC426" s="573"/>
      <c r="AD426" s="571">
        <v>46143</v>
      </c>
      <c r="AE426" s="643" t="s">
        <v>12316</v>
      </c>
    </row>
    <row r="427" spans="1:31" ht="27" customHeight="1" x14ac:dyDescent="0.15">
      <c r="A427" s="76">
        <v>1110802806</v>
      </c>
      <c r="B427" s="165" t="s">
        <v>11778</v>
      </c>
      <c r="C427" s="166" t="s">
        <v>11607</v>
      </c>
      <c r="D427" s="166" t="s">
        <v>72</v>
      </c>
      <c r="E427" s="166" t="s">
        <v>11614</v>
      </c>
      <c r="F427" s="254" t="s">
        <v>4673</v>
      </c>
      <c r="G427" s="72" t="s">
        <v>11608</v>
      </c>
      <c r="H427" s="72" t="s">
        <v>11609</v>
      </c>
      <c r="I427" s="256"/>
      <c r="J427" s="256"/>
      <c r="K427" s="256"/>
      <c r="L427" s="256"/>
      <c r="M427" s="256" t="s">
        <v>10951</v>
      </c>
      <c r="N427" s="256" t="s">
        <v>10951</v>
      </c>
      <c r="O427" s="256" t="s">
        <v>10951</v>
      </c>
      <c r="P427" s="76"/>
      <c r="Q427" s="103"/>
      <c r="R427" s="92"/>
      <c r="S427" s="76"/>
      <c r="T427" s="76"/>
      <c r="U427" s="76"/>
      <c r="V427" s="103"/>
      <c r="W427" s="92"/>
      <c r="X427" s="103"/>
      <c r="Y427" s="92"/>
      <c r="Z427" s="76"/>
      <c r="AA427" s="76">
        <v>20</v>
      </c>
      <c r="AB427" s="76"/>
      <c r="AC427" s="76"/>
      <c r="AD427" s="104">
        <v>46143</v>
      </c>
      <c r="AE427" s="166" t="s">
        <v>6917</v>
      </c>
    </row>
    <row r="428" spans="1:31" ht="27" customHeight="1" x14ac:dyDescent="0.15">
      <c r="A428" s="76">
        <v>1110802822</v>
      </c>
      <c r="B428" s="165" t="s">
        <v>11779</v>
      </c>
      <c r="C428" s="166" t="s">
        <v>11610</v>
      </c>
      <c r="D428" s="166" t="s">
        <v>72</v>
      </c>
      <c r="E428" s="166" t="s">
        <v>11616</v>
      </c>
      <c r="F428" s="254" t="s">
        <v>2175</v>
      </c>
      <c r="G428" s="72" t="s">
        <v>11611</v>
      </c>
      <c r="H428" s="72" t="s">
        <v>11612</v>
      </c>
      <c r="I428" s="256"/>
      <c r="J428" s="256"/>
      <c r="K428" s="256"/>
      <c r="L428" s="256" t="s">
        <v>10951</v>
      </c>
      <c r="M428" s="256" t="s">
        <v>49</v>
      </c>
      <c r="N428" s="256" t="s">
        <v>10951</v>
      </c>
      <c r="O428" s="256"/>
      <c r="P428" s="76"/>
      <c r="Q428" s="103"/>
      <c r="R428" s="92"/>
      <c r="S428" s="76"/>
      <c r="T428" s="76"/>
      <c r="U428" s="76"/>
      <c r="V428" s="103">
        <v>20</v>
      </c>
      <c r="W428" s="92"/>
      <c r="X428" s="103"/>
      <c r="Y428" s="92"/>
      <c r="Z428" s="76"/>
      <c r="AA428" s="76"/>
      <c r="AB428" s="76"/>
      <c r="AC428" s="76"/>
      <c r="AD428" s="104">
        <v>46143</v>
      </c>
      <c r="AE428" s="166" t="s">
        <v>11613</v>
      </c>
    </row>
    <row r="429" spans="1:31" ht="27" customHeight="1" x14ac:dyDescent="0.15">
      <c r="A429" s="76">
        <v>1110802830</v>
      </c>
      <c r="B429" s="165" t="s">
        <v>12223</v>
      </c>
      <c r="C429" s="166" t="s">
        <v>12224</v>
      </c>
      <c r="D429" s="166" t="s">
        <v>72</v>
      </c>
      <c r="E429" s="166" t="s">
        <v>12225</v>
      </c>
      <c r="F429" s="254" t="s">
        <v>12226</v>
      </c>
      <c r="G429" s="72" t="s">
        <v>5796</v>
      </c>
      <c r="H429" s="72" t="s">
        <v>3296</v>
      </c>
      <c r="I429" s="256"/>
      <c r="J429" s="256" t="s">
        <v>10951</v>
      </c>
      <c r="K429" s="256" t="s">
        <v>10951</v>
      </c>
      <c r="L429" s="256" t="s">
        <v>10951</v>
      </c>
      <c r="M429" s="256" t="s">
        <v>49</v>
      </c>
      <c r="N429" s="256" t="s">
        <v>10951</v>
      </c>
      <c r="O429" s="256" t="s">
        <v>10951</v>
      </c>
      <c r="P429" s="76"/>
      <c r="Q429" s="103"/>
      <c r="R429" s="92"/>
      <c r="S429" s="76"/>
      <c r="T429" s="76"/>
      <c r="U429" s="76"/>
      <c r="V429" s="103"/>
      <c r="W429" s="92"/>
      <c r="X429" s="103"/>
      <c r="Y429" s="92"/>
      <c r="Z429" s="76"/>
      <c r="AA429" s="76"/>
      <c r="AB429" s="76" t="s">
        <v>10951</v>
      </c>
      <c r="AC429" s="76"/>
      <c r="AD429" s="104">
        <v>46204</v>
      </c>
      <c r="AE429" s="166" t="s">
        <v>12227</v>
      </c>
    </row>
    <row r="430" spans="1:31" s="218" customFormat="1" ht="26.25" customHeight="1" x14ac:dyDescent="0.15">
      <c r="A430" s="591">
        <v>1110802848</v>
      </c>
      <c r="B430" s="637" t="s">
        <v>12302</v>
      </c>
      <c r="C430" s="638" t="s">
        <v>12303</v>
      </c>
      <c r="D430" s="638" t="s">
        <v>72</v>
      </c>
      <c r="E430" s="638" t="s">
        <v>12304</v>
      </c>
      <c r="F430" s="639" t="s">
        <v>8567</v>
      </c>
      <c r="G430" s="560" t="s">
        <v>12305</v>
      </c>
      <c r="H430" s="560" t="s">
        <v>10865</v>
      </c>
      <c r="I430" s="640" t="s">
        <v>10951</v>
      </c>
      <c r="J430" s="640"/>
      <c r="K430" s="640" t="s">
        <v>10951</v>
      </c>
      <c r="L430" s="640"/>
      <c r="M430" s="640" t="s">
        <v>49</v>
      </c>
      <c r="N430" s="640" t="s">
        <v>10951</v>
      </c>
      <c r="O430" s="640"/>
      <c r="P430" s="591"/>
      <c r="Q430" s="594"/>
      <c r="R430" s="593"/>
      <c r="S430" s="591"/>
      <c r="T430" s="591"/>
      <c r="U430" s="591"/>
      <c r="V430" s="594"/>
      <c r="W430" s="593"/>
      <c r="X430" s="594"/>
      <c r="Y430" s="593"/>
      <c r="Z430" s="591"/>
      <c r="AA430" s="591" t="s">
        <v>10951</v>
      </c>
      <c r="AB430" s="591"/>
      <c r="AC430" s="591"/>
      <c r="AD430" s="595">
        <v>46235</v>
      </c>
      <c r="AE430" s="638" t="s">
        <v>12306</v>
      </c>
    </row>
    <row r="431" spans="1:31" s="641" customFormat="1" ht="27" customHeight="1" x14ac:dyDescent="0.15">
      <c r="A431" s="591">
        <v>1110802855</v>
      </c>
      <c r="B431" s="637" t="s">
        <v>12307</v>
      </c>
      <c r="C431" s="638" t="s">
        <v>12308</v>
      </c>
      <c r="D431" s="638" t="s">
        <v>72</v>
      </c>
      <c r="E431" s="638" t="s">
        <v>12309</v>
      </c>
      <c r="F431" s="639" t="s">
        <v>12310</v>
      </c>
      <c r="G431" s="560" t="s">
        <v>12311</v>
      </c>
      <c r="H431" s="560" t="s">
        <v>10865</v>
      </c>
      <c r="I431" s="640"/>
      <c r="J431" s="640"/>
      <c r="K431" s="640"/>
      <c r="L431" s="640"/>
      <c r="M431" s="640" t="s">
        <v>49</v>
      </c>
      <c r="N431" s="640" t="s">
        <v>10951</v>
      </c>
      <c r="O431" s="640"/>
      <c r="P431" s="591"/>
      <c r="Q431" s="594"/>
      <c r="R431" s="593"/>
      <c r="S431" s="591"/>
      <c r="T431" s="591"/>
      <c r="U431" s="591"/>
      <c r="V431" s="594"/>
      <c r="W431" s="593"/>
      <c r="X431" s="594"/>
      <c r="Y431" s="593"/>
      <c r="Z431" s="591"/>
      <c r="AA431" s="591" t="s">
        <v>10951</v>
      </c>
      <c r="AB431" s="591"/>
      <c r="AC431" s="591"/>
      <c r="AD431" s="595">
        <v>46235</v>
      </c>
      <c r="AE431" s="638" t="s">
        <v>12312</v>
      </c>
    </row>
    <row r="432" spans="1:31" ht="27" customHeight="1" x14ac:dyDescent="0.15">
      <c r="A432" s="105">
        <v>1110900048</v>
      </c>
      <c r="B432" s="130" t="s">
        <v>8563</v>
      </c>
      <c r="C432" s="107" t="s">
        <v>8562</v>
      </c>
      <c r="D432" s="108" t="s">
        <v>1884</v>
      </c>
      <c r="E432" s="108" t="s">
        <v>8558</v>
      </c>
      <c r="F432" s="139" t="s">
        <v>8559</v>
      </c>
      <c r="G432" s="132" t="s">
        <v>8560</v>
      </c>
      <c r="H432" s="132" t="s">
        <v>8561</v>
      </c>
      <c r="I432" s="183" t="s">
        <v>765</v>
      </c>
      <c r="J432" s="134" t="s">
        <v>765</v>
      </c>
      <c r="K432" s="134" t="s">
        <v>765</v>
      </c>
      <c r="L432" s="134" t="s">
        <v>765</v>
      </c>
      <c r="M432" s="134" t="s">
        <v>765</v>
      </c>
      <c r="N432" s="143"/>
      <c r="O432" s="136"/>
      <c r="P432" s="105"/>
      <c r="Q432" s="137"/>
      <c r="R432" s="138"/>
      <c r="S432" s="105"/>
      <c r="T432" s="105">
        <v>40</v>
      </c>
      <c r="U432" s="105"/>
      <c r="V432" s="116"/>
      <c r="W432" s="117"/>
      <c r="X432" s="137"/>
      <c r="Y432" s="138"/>
      <c r="Z432" s="105"/>
      <c r="AA432" s="105"/>
      <c r="AB432" s="105"/>
      <c r="AC432" s="105"/>
      <c r="AD432" s="144">
        <v>41000</v>
      </c>
      <c r="AE432" s="108" t="s">
        <v>8564</v>
      </c>
    </row>
    <row r="433" spans="1:31" ht="27" customHeight="1" x14ac:dyDescent="0.15">
      <c r="A433" s="150">
        <v>1110900071</v>
      </c>
      <c r="B433" s="106" t="s">
        <v>423</v>
      </c>
      <c r="C433" s="107" t="s">
        <v>2768</v>
      </c>
      <c r="D433" s="157" t="s">
        <v>2420</v>
      </c>
      <c r="E433" s="108" t="s">
        <v>2769</v>
      </c>
      <c r="F433" s="151">
        <v>3460037</v>
      </c>
      <c r="G433" s="132" t="s">
        <v>2770</v>
      </c>
      <c r="H433" s="132" t="s">
        <v>2771</v>
      </c>
      <c r="I433" s="133"/>
      <c r="J433" s="180"/>
      <c r="K433" s="180"/>
      <c r="L433" s="180"/>
      <c r="M433" s="154" t="s">
        <v>49</v>
      </c>
      <c r="N433" s="184"/>
      <c r="O433" s="185"/>
      <c r="P433" s="105">
        <v>54</v>
      </c>
      <c r="Q433" s="152" t="s">
        <v>2610</v>
      </c>
      <c r="R433" s="138">
        <v>6</v>
      </c>
      <c r="S433" s="150"/>
      <c r="T433" s="105">
        <v>67</v>
      </c>
      <c r="U433" s="105"/>
      <c r="V433" s="116"/>
      <c r="W433" s="117"/>
      <c r="X433" s="116"/>
      <c r="Y433" s="187"/>
      <c r="Z433" s="105"/>
      <c r="AA433" s="105">
        <v>32</v>
      </c>
      <c r="AB433" s="105"/>
      <c r="AC433" s="105"/>
      <c r="AD433" s="144">
        <v>39965</v>
      </c>
      <c r="AE433" s="108" t="s">
        <v>2679</v>
      </c>
    </row>
    <row r="434" spans="1:31" ht="27" customHeight="1" x14ac:dyDescent="0.15">
      <c r="A434" s="105">
        <v>1110900360</v>
      </c>
      <c r="B434" s="106" t="s">
        <v>1890</v>
      </c>
      <c r="C434" s="107" t="s">
        <v>1894</v>
      </c>
      <c r="D434" s="108" t="s">
        <v>1010</v>
      </c>
      <c r="E434" s="108" t="s">
        <v>7257</v>
      </c>
      <c r="F434" s="139" t="s">
        <v>2952</v>
      </c>
      <c r="G434" s="140" t="s">
        <v>1895</v>
      </c>
      <c r="H434" s="140" t="s">
        <v>1896</v>
      </c>
      <c r="I434" s="141" t="s">
        <v>49</v>
      </c>
      <c r="J434" s="142" t="s">
        <v>49</v>
      </c>
      <c r="K434" s="142" t="s">
        <v>49</v>
      </c>
      <c r="L434" s="142" t="s">
        <v>49</v>
      </c>
      <c r="M434" s="142" t="s">
        <v>49</v>
      </c>
      <c r="N434" s="143"/>
      <c r="O434" s="138"/>
      <c r="P434" s="105"/>
      <c r="Q434" s="137"/>
      <c r="R434" s="138"/>
      <c r="S434" s="105"/>
      <c r="T434" s="105">
        <v>20</v>
      </c>
      <c r="U434" s="105"/>
      <c r="V434" s="116"/>
      <c r="W434" s="117"/>
      <c r="X434" s="116"/>
      <c r="Y434" s="138"/>
      <c r="Z434" s="105"/>
      <c r="AA434" s="105"/>
      <c r="AB434" s="105"/>
      <c r="AC434" s="105"/>
      <c r="AD434" s="144">
        <v>41000</v>
      </c>
      <c r="AE434" s="108" t="s">
        <v>1915</v>
      </c>
    </row>
    <row r="435" spans="1:31" ht="27" customHeight="1" x14ac:dyDescent="0.15">
      <c r="A435" s="105">
        <v>1110900378</v>
      </c>
      <c r="B435" s="106" t="s">
        <v>1890</v>
      </c>
      <c r="C435" s="107" t="s">
        <v>1891</v>
      </c>
      <c r="D435" s="108" t="s">
        <v>1010</v>
      </c>
      <c r="E435" s="108" t="s">
        <v>1892</v>
      </c>
      <c r="F435" s="139" t="s">
        <v>4261</v>
      </c>
      <c r="G435" s="140" t="s">
        <v>1893</v>
      </c>
      <c r="H435" s="140" t="s">
        <v>1893</v>
      </c>
      <c r="I435" s="141" t="s">
        <v>1909</v>
      </c>
      <c r="J435" s="142" t="s">
        <v>1909</v>
      </c>
      <c r="K435" s="142" t="s">
        <v>1909</v>
      </c>
      <c r="L435" s="142" t="s">
        <v>1909</v>
      </c>
      <c r="M435" s="142" t="s">
        <v>1909</v>
      </c>
      <c r="N435" s="143"/>
      <c r="O435" s="138"/>
      <c r="P435" s="105"/>
      <c r="Q435" s="116"/>
      <c r="R435" s="138"/>
      <c r="S435" s="105"/>
      <c r="T435" s="105">
        <v>20</v>
      </c>
      <c r="U435" s="105"/>
      <c r="V435" s="116"/>
      <c r="W435" s="138"/>
      <c r="X435" s="116"/>
      <c r="Y435" s="138"/>
      <c r="Z435" s="105"/>
      <c r="AA435" s="105"/>
      <c r="AB435" s="105"/>
      <c r="AC435" s="105"/>
      <c r="AD435" s="144">
        <v>41000</v>
      </c>
      <c r="AE435" s="108" t="s">
        <v>1914</v>
      </c>
    </row>
    <row r="436" spans="1:31" s="65" customFormat="1" ht="27" customHeight="1" x14ac:dyDescent="0.15">
      <c r="A436" s="105">
        <v>1110900386</v>
      </c>
      <c r="B436" s="106" t="s">
        <v>1883</v>
      </c>
      <c r="C436" s="107" t="s">
        <v>1897</v>
      </c>
      <c r="D436" s="108" t="s">
        <v>1010</v>
      </c>
      <c r="E436" s="108" t="s">
        <v>1898</v>
      </c>
      <c r="F436" s="139" t="s">
        <v>1899</v>
      </c>
      <c r="G436" s="140" t="s">
        <v>1900</v>
      </c>
      <c r="H436" s="140" t="s">
        <v>1900</v>
      </c>
      <c r="I436" s="141" t="s">
        <v>1909</v>
      </c>
      <c r="J436" s="142" t="s">
        <v>1909</v>
      </c>
      <c r="K436" s="142" t="s">
        <v>1909</v>
      </c>
      <c r="L436" s="142" t="s">
        <v>1909</v>
      </c>
      <c r="M436" s="142" t="s">
        <v>1909</v>
      </c>
      <c r="N436" s="143"/>
      <c r="O436" s="138"/>
      <c r="P436" s="105"/>
      <c r="Q436" s="116"/>
      <c r="R436" s="138"/>
      <c r="S436" s="105"/>
      <c r="T436" s="105">
        <v>20</v>
      </c>
      <c r="U436" s="105"/>
      <c r="V436" s="116"/>
      <c r="W436" s="138"/>
      <c r="X436" s="116"/>
      <c r="Y436" s="138"/>
      <c r="Z436" s="105"/>
      <c r="AA436" s="105"/>
      <c r="AB436" s="105"/>
      <c r="AC436" s="105"/>
      <c r="AD436" s="144">
        <v>41000</v>
      </c>
      <c r="AE436" s="108" t="s">
        <v>2098</v>
      </c>
    </row>
    <row r="437" spans="1:31" s="65" customFormat="1" ht="27" customHeight="1" x14ac:dyDescent="0.15">
      <c r="A437" s="105">
        <v>1110900394</v>
      </c>
      <c r="B437" s="106" t="s">
        <v>1883</v>
      </c>
      <c r="C437" s="107" t="s">
        <v>2093</v>
      </c>
      <c r="D437" s="108" t="s">
        <v>1010</v>
      </c>
      <c r="E437" s="108" t="s">
        <v>2094</v>
      </c>
      <c r="F437" s="139" t="s">
        <v>2095</v>
      </c>
      <c r="G437" s="140" t="s">
        <v>2096</v>
      </c>
      <c r="H437" s="140" t="s">
        <v>2096</v>
      </c>
      <c r="I437" s="141" t="s">
        <v>49</v>
      </c>
      <c r="J437" s="142" t="s">
        <v>49</v>
      </c>
      <c r="K437" s="142" t="s">
        <v>49</v>
      </c>
      <c r="L437" s="142" t="s">
        <v>49</v>
      </c>
      <c r="M437" s="142" t="s">
        <v>49</v>
      </c>
      <c r="N437" s="143"/>
      <c r="O437" s="138"/>
      <c r="P437" s="105"/>
      <c r="Q437" s="116"/>
      <c r="R437" s="138"/>
      <c r="S437" s="105"/>
      <c r="T437" s="105">
        <v>15</v>
      </c>
      <c r="U437" s="105"/>
      <c r="V437" s="116"/>
      <c r="W437" s="138"/>
      <c r="X437" s="116"/>
      <c r="Y437" s="138"/>
      <c r="Z437" s="105"/>
      <c r="AA437" s="105">
        <v>15</v>
      </c>
      <c r="AB437" s="105"/>
      <c r="AC437" s="105"/>
      <c r="AD437" s="144">
        <v>41122</v>
      </c>
      <c r="AE437" s="108" t="s">
        <v>2097</v>
      </c>
    </row>
    <row r="438" spans="1:31" ht="27" customHeight="1" x14ac:dyDescent="0.15">
      <c r="A438" s="105">
        <v>1110900477</v>
      </c>
      <c r="B438" s="106" t="s">
        <v>2418</v>
      </c>
      <c r="C438" s="108" t="s">
        <v>2419</v>
      </c>
      <c r="D438" s="108" t="s">
        <v>2420</v>
      </c>
      <c r="E438" s="108" t="s">
        <v>2421</v>
      </c>
      <c r="F438" s="131" t="s">
        <v>2422</v>
      </c>
      <c r="G438" s="132" t="s">
        <v>3200</v>
      </c>
      <c r="H438" s="132" t="s">
        <v>3571</v>
      </c>
      <c r="I438" s="133" t="s">
        <v>49</v>
      </c>
      <c r="J438" s="134"/>
      <c r="K438" s="134" t="s">
        <v>49</v>
      </c>
      <c r="L438" s="134" t="s">
        <v>49</v>
      </c>
      <c r="M438" s="134" t="s">
        <v>49</v>
      </c>
      <c r="N438" s="135" t="s">
        <v>49</v>
      </c>
      <c r="O438" s="136"/>
      <c r="P438" s="105"/>
      <c r="Q438" s="137"/>
      <c r="R438" s="138"/>
      <c r="S438" s="105"/>
      <c r="T438" s="105">
        <v>9</v>
      </c>
      <c r="U438" s="105"/>
      <c r="V438" s="137"/>
      <c r="W438" s="138"/>
      <c r="X438" s="152"/>
      <c r="Y438" s="138"/>
      <c r="Z438" s="105"/>
      <c r="AA438" s="105">
        <v>11</v>
      </c>
      <c r="AB438" s="105"/>
      <c r="AC438" s="105"/>
      <c r="AD438" s="118">
        <v>41730</v>
      </c>
      <c r="AE438" s="108" t="s">
        <v>5587</v>
      </c>
    </row>
    <row r="439" spans="1:31" s="65" customFormat="1" ht="27" customHeight="1" x14ac:dyDescent="0.15">
      <c r="A439" s="105">
        <v>1110900550</v>
      </c>
      <c r="B439" s="106" t="s">
        <v>3415</v>
      </c>
      <c r="C439" s="107" t="s">
        <v>3447</v>
      </c>
      <c r="D439" s="108" t="s">
        <v>1010</v>
      </c>
      <c r="E439" s="108" t="s">
        <v>3416</v>
      </c>
      <c r="F439" s="139" t="s">
        <v>3448</v>
      </c>
      <c r="G439" s="140" t="s">
        <v>3631</v>
      </c>
      <c r="H439" s="140" t="s">
        <v>3449</v>
      </c>
      <c r="I439" s="141" t="s">
        <v>49</v>
      </c>
      <c r="J439" s="142" t="s">
        <v>49</v>
      </c>
      <c r="K439" s="142" t="s">
        <v>49</v>
      </c>
      <c r="L439" s="142" t="s">
        <v>49</v>
      </c>
      <c r="M439" s="142" t="s">
        <v>765</v>
      </c>
      <c r="N439" s="143" t="s">
        <v>765</v>
      </c>
      <c r="O439" s="138" t="s">
        <v>49</v>
      </c>
      <c r="P439" s="105"/>
      <c r="Q439" s="137"/>
      <c r="R439" s="138"/>
      <c r="S439" s="105"/>
      <c r="T439" s="105">
        <v>30</v>
      </c>
      <c r="U439" s="105"/>
      <c r="V439" s="137"/>
      <c r="W439" s="138"/>
      <c r="X439" s="137"/>
      <c r="Y439" s="138"/>
      <c r="Z439" s="105"/>
      <c r="AA439" s="105"/>
      <c r="AB439" s="105"/>
      <c r="AC439" s="105"/>
      <c r="AD439" s="144">
        <v>42491</v>
      </c>
      <c r="AE439" s="108" t="s">
        <v>3417</v>
      </c>
    </row>
    <row r="440" spans="1:31" s="65" customFormat="1" ht="27" customHeight="1" x14ac:dyDescent="0.15">
      <c r="A440" s="105">
        <v>1110900618</v>
      </c>
      <c r="B440" s="130" t="s">
        <v>3945</v>
      </c>
      <c r="C440" s="108" t="s">
        <v>3946</v>
      </c>
      <c r="D440" s="108" t="s">
        <v>1010</v>
      </c>
      <c r="E440" s="108" t="s">
        <v>3947</v>
      </c>
      <c r="F440" s="131" t="s">
        <v>3948</v>
      </c>
      <c r="G440" s="132" t="s">
        <v>3949</v>
      </c>
      <c r="H440" s="132" t="s">
        <v>3950</v>
      </c>
      <c r="I440" s="152" t="s">
        <v>3951</v>
      </c>
      <c r="J440" s="134" t="s">
        <v>3951</v>
      </c>
      <c r="K440" s="134" t="s">
        <v>3951</v>
      </c>
      <c r="L440" s="134" t="s">
        <v>3951</v>
      </c>
      <c r="M440" s="134" t="s">
        <v>3951</v>
      </c>
      <c r="N440" s="135" t="s">
        <v>3951</v>
      </c>
      <c r="O440" s="136"/>
      <c r="P440" s="132"/>
      <c r="Q440" s="152"/>
      <c r="R440" s="136"/>
      <c r="S440" s="132"/>
      <c r="T440" s="132"/>
      <c r="U440" s="132"/>
      <c r="V440" s="152"/>
      <c r="W440" s="136"/>
      <c r="X440" s="152"/>
      <c r="Y440" s="136"/>
      <c r="Z440" s="132"/>
      <c r="AA440" s="105">
        <v>20</v>
      </c>
      <c r="AB440" s="105"/>
      <c r="AC440" s="105"/>
      <c r="AD440" s="118">
        <v>42917</v>
      </c>
      <c r="AE440" s="108" t="s">
        <v>3952</v>
      </c>
    </row>
    <row r="441" spans="1:31" ht="27" customHeight="1" x14ac:dyDescent="0.15">
      <c r="A441" s="105">
        <v>1110900667</v>
      </c>
      <c r="B441" s="130" t="s">
        <v>4214</v>
      </c>
      <c r="C441" s="108" t="s">
        <v>8810</v>
      </c>
      <c r="D441" s="108" t="s">
        <v>1010</v>
      </c>
      <c r="E441" s="108" t="s">
        <v>9025</v>
      </c>
      <c r="F441" s="131" t="s">
        <v>3448</v>
      </c>
      <c r="G441" s="132" t="s">
        <v>9026</v>
      </c>
      <c r="H441" s="132" t="s">
        <v>9027</v>
      </c>
      <c r="I441" s="133" t="s">
        <v>765</v>
      </c>
      <c r="J441" s="134" t="s">
        <v>765</v>
      </c>
      <c r="K441" s="135" t="s">
        <v>765</v>
      </c>
      <c r="L441" s="134" t="s">
        <v>765</v>
      </c>
      <c r="M441" s="134" t="s">
        <v>765</v>
      </c>
      <c r="N441" s="135" t="s">
        <v>765</v>
      </c>
      <c r="O441" s="136" t="s">
        <v>765</v>
      </c>
      <c r="P441" s="105"/>
      <c r="Q441" s="137"/>
      <c r="R441" s="138"/>
      <c r="S441" s="105"/>
      <c r="T441" s="105"/>
      <c r="U441" s="105"/>
      <c r="V441" s="137"/>
      <c r="W441" s="138"/>
      <c r="X441" s="137"/>
      <c r="Y441" s="138"/>
      <c r="Z441" s="105"/>
      <c r="AA441" s="105">
        <v>20</v>
      </c>
      <c r="AB441" s="105"/>
      <c r="AC441" s="105"/>
      <c r="AD441" s="118">
        <v>43101</v>
      </c>
      <c r="AE441" s="108" t="s">
        <v>4215</v>
      </c>
    </row>
    <row r="442" spans="1:31" ht="27" customHeight="1" x14ac:dyDescent="0.15">
      <c r="A442" s="132">
        <v>1110900683</v>
      </c>
      <c r="B442" s="130" t="s">
        <v>1639</v>
      </c>
      <c r="C442" s="108" t="s">
        <v>8494</v>
      </c>
      <c r="D442" s="108" t="s">
        <v>1010</v>
      </c>
      <c r="E442" s="108" t="s">
        <v>4265</v>
      </c>
      <c r="F442" s="131" t="s">
        <v>4261</v>
      </c>
      <c r="G442" s="132" t="s">
        <v>4262</v>
      </c>
      <c r="H442" s="132" t="s">
        <v>4262</v>
      </c>
      <c r="I442" s="133"/>
      <c r="J442" s="134"/>
      <c r="K442" s="134"/>
      <c r="L442" s="134"/>
      <c r="M442" s="134" t="s">
        <v>4263</v>
      </c>
      <c r="N442" s="135"/>
      <c r="O442" s="136"/>
      <c r="P442" s="105"/>
      <c r="Q442" s="152"/>
      <c r="R442" s="138"/>
      <c r="S442" s="132"/>
      <c r="T442" s="105"/>
      <c r="U442" s="132"/>
      <c r="V442" s="137">
        <v>20</v>
      </c>
      <c r="W442" s="138"/>
      <c r="X442" s="152"/>
      <c r="Y442" s="136"/>
      <c r="Z442" s="132"/>
      <c r="AA442" s="132"/>
      <c r="AB442" s="132"/>
      <c r="AC442" s="132"/>
      <c r="AD442" s="155">
        <v>43132</v>
      </c>
      <c r="AE442" s="108" t="s">
        <v>4266</v>
      </c>
    </row>
    <row r="443" spans="1:31" s="65" customFormat="1" ht="27" customHeight="1" x14ac:dyDescent="0.15">
      <c r="A443" s="105">
        <v>1110900709</v>
      </c>
      <c r="B443" s="106" t="s">
        <v>4303</v>
      </c>
      <c r="C443" s="107" t="s">
        <v>4304</v>
      </c>
      <c r="D443" s="108" t="s">
        <v>1010</v>
      </c>
      <c r="E443" s="108" t="s">
        <v>4305</v>
      </c>
      <c r="F443" s="139" t="s">
        <v>4306</v>
      </c>
      <c r="G443" s="140" t="s">
        <v>5068</v>
      </c>
      <c r="H443" s="140" t="s">
        <v>5068</v>
      </c>
      <c r="I443" s="142" t="s">
        <v>4302</v>
      </c>
      <c r="J443" s="142" t="s">
        <v>4302</v>
      </c>
      <c r="K443" s="142" t="s">
        <v>4302</v>
      </c>
      <c r="L443" s="142" t="s">
        <v>4302</v>
      </c>
      <c r="M443" s="142" t="s">
        <v>4302</v>
      </c>
      <c r="N443" s="142" t="s">
        <v>4302</v>
      </c>
      <c r="O443" s="142" t="s">
        <v>4302</v>
      </c>
      <c r="P443" s="105"/>
      <c r="Q443" s="137"/>
      <c r="R443" s="138"/>
      <c r="S443" s="105"/>
      <c r="T443" s="105">
        <v>20</v>
      </c>
      <c r="U443" s="105"/>
      <c r="V443" s="137"/>
      <c r="W443" s="138"/>
      <c r="X443" s="137"/>
      <c r="Y443" s="138"/>
      <c r="Z443" s="105"/>
      <c r="AA443" s="105"/>
      <c r="AB443" s="105"/>
      <c r="AC443" s="105"/>
      <c r="AD443" s="144">
        <v>43191</v>
      </c>
      <c r="AE443" s="108" t="s">
        <v>4307</v>
      </c>
    </row>
    <row r="444" spans="1:31" s="65" customFormat="1" ht="27" customHeight="1" x14ac:dyDescent="0.15">
      <c r="A444" s="105">
        <v>1110900758</v>
      </c>
      <c r="B444" s="106" t="s">
        <v>4864</v>
      </c>
      <c r="C444" s="107" t="s">
        <v>4865</v>
      </c>
      <c r="D444" s="108" t="s">
        <v>1010</v>
      </c>
      <c r="E444" s="108" t="s">
        <v>4866</v>
      </c>
      <c r="F444" s="139" t="s">
        <v>4867</v>
      </c>
      <c r="G444" s="140" t="s">
        <v>4868</v>
      </c>
      <c r="H444" s="140" t="s">
        <v>4869</v>
      </c>
      <c r="I444" s="133" t="s">
        <v>4870</v>
      </c>
      <c r="J444" s="134" t="s">
        <v>4870</v>
      </c>
      <c r="K444" s="134" t="s">
        <v>4870</v>
      </c>
      <c r="L444" s="134" t="s">
        <v>4870</v>
      </c>
      <c r="M444" s="134" t="s">
        <v>4870</v>
      </c>
      <c r="N444" s="135" t="s">
        <v>4870</v>
      </c>
      <c r="O444" s="136" t="s">
        <v>4870</v>
      </c>
      <c r="P444" s="105"/>
      <c r="Q444" s="137"/>
      <c r="R444" s="138"/>
      <c r="S444" s="105"/>
      <c r="T444" s="105">
        <v>20</v>
      </c>
      <c r="U444" s="105"/>
      <c r="V444" s="137"/>
      <c r="W444" s="138"/>
      <c r="X444" s="137"/>
      <c r="Y444" s="138"/>
      <c r="Z444" s="105"/>
      <c r="AA444" s="105"/>
      <c r="AB444" s="105"/>
      <c r="AC444" s="105"/>
      <c r="AD444" s="144">
        <v>43466</v>
      </c>
      <c r="AE444" s="108" t="s">
        <v>4871</v>
      </c>
    </row>
    <row r="445" spans="1:31" s="65" customFormat="1" ht="27" customHeight="1" x14ac:dyDescent="0.15">
      <c r="A445" s="105">
        <v>1110900808</v>
      </c>
      <c r="B445" s="130" t="s">
        <v>5588</v>
      </c>
      <c r="C445" s="108" t="s">
        <v>5589</v>
      </c>
      <c r="D445" s="108" t="s">
        <v>2420</v>
      </c>
      <c r="E445" s="108" t="s">
        <v>5590</v>
      </c>
      <c r="F445" s="131">
        <v>3460014</v>
      </c>
      <c r="G445" s="152" t="s">
        <v>5591</v>
      </c>
      <c r="H445" s="132" t="s">
        <v>6550</v>
      </c>
      <c r="I445" s="183"/>
      <c r="J445" s="134"/>
      <c r="K445" s="134"/>
      <c r="L445" s="134"/>
      <c r="M445" s="134" t="s">
        <v>49</v>
      </c>
      <c r="N445" s="135" t="s">
        <v>765</v>
      </c>
      <c r="O445" s="136"/>
      <c r="P445" s="105"/>
      <c r="Q445" s="137"/>
      <c r="R445" s="138"/>
      <c r="S445" s="105"/>
      <c r="T445" s="105"/>
      <c r="U445" s="105"/>
      <c r="V445" s="137"/>
      <c r="W445" s="138"/>
      <c r="X445" s="137"/>
      <c r="Y445" s="138"/>
      <c r="Z445" s="105"/>
      <c r="AA445" s="105">
        <v>20</v>
      </c>
      <c r="AB445" s="105"/>
      <c r="AC445" s="105"/>
      <c r="AD445" s="118">
        <v>43891</v>
      </c>
      <c r="AE445" s="108" t="s">
        <v>5592</v>
      </c>
    </row>
    <row r="446" spans="1:31" s="65" customFormat="1" ht="27" customHeight="1" x14ac:dyDescent="0.15">
      <c r="A446" s="105">
        <v>1110900832</v>
      </c>
      <c r="B446" s="130" t="s">
        <v>5748</v>
      </c>
      <c r="C446" s="108" t="s">
        <v>3299</v>
      </c>
      <c r="D446" s="108" t="s">
        <v>1010</v>
      </c>
      <c r="E446" s="108" t="s">
        <v>2416</v>
      </c>
      <c r="F446" s="131" t="s">
        <v>3300</v>
      </c>
      <c r="G446" s="132" t="s">
        <v>3301</v>
      </c>
      <c r="H446" s="132" t="s">
        <v>3301</v>
      </c>
      <c r="I446" s="133" t="s">
        <v>49</v>
      </c>
      <c r="J446" s="134" t="s">
        <v>49</v>
      </c>
      <c r="K446" s="134" t="s">
        <v>49</v>
      </c>
      <c r="L446" s="134" t="s">
        <v>49</v>
      </c>
      <c r="M446" s="134" t="s">
        <v>49</v>
      </c>
      <c r="N446" s="134" t="s">
        <v>49</v>
      </c>
      <c r="O446" s="136" t="s">
        <v>49</v>
      </c>
      <c r="P446" s="105"/>
      <c r="Q446" s="137"/>
      <c r="R446" s="138"/>
      <c r="S446" s="105"/>
      <c r="T446" s="105">
        <v>20</v>
      </c>
      <c r="U446" s="105"/>
      <c r="V446" s="137"/>
      <c r="W446" s="138"/>
      <c r="X446" s="152"/>
      <c r="Y446" s="138"/>
      <c r="Z446" s="105"/>
      <c r="AA446" s="105"/>
      <c r="AB446" s="105"/>
      <c r="AC446" s="105"/>
      <c r="AD446" s="118">
        <v>43922</v>
      </c>
      <c r="AE446" s="108" t="s">
        <v>2417</v>
      </c>
    </row>
    <row r="447" spans="1:31" s="65" customFormat="1" ht="27" customHeight="1" x14ac:dyDescent="0.15">
      <c r="A447" s="105">
        <v>1110900857</v>
      </c>
      <c r="B447" s="130" t="s">
        <v>6609</v>
      </c>
      <c r="C447" s="108" t="s">
        <v>6610</v>
      </c>
      <c r="D447" s="108" t="s">
        <v>1010</v>
      </c>
      <c r="E447" s="108" t="s">
        <v>6611</v>
      </c>
      <c r="F447" s="131" t="s">
        <v>6612</v>
      </c>
      <c r="G447" s="132" t="s">
        <v>6613</v>
      </c>
      <c r="H447" s="132" t="s">
        <v>6614</v>
      </c>
      <c r="I447" s="133"/>
      <c r="J447" s="134"/>
      <c r="K447" s="135"/>
      <c r="L447" s="134"/>
      <c r="M447" s="134" t="s">
        <v>765</v>
      </c>
      <c r="N447" s="135"/>
      <c r="O447" s="136"/>
      <c r="P447" s="105"/>
      <c r="Q447" s="137"/>
      <c r="R447" s="138"/>
      <c r="S447" s="105"/>
      <c r="T447" s="105"/>
      <c r="U447" s="105"/>
      <c r="V447" s="137"/>
      <c r="W447" s="138"/>
      <c r="X447" s="137">
        <v>20</v>
      </c>
      <c r="Y447" s="138"/>
      <c r="Z447" s="105"/>
      <c r="AA447" s="105"/>
      <c r="AB447" s="105"/>
      <c r="AC447" s="105"/>
      <c r="AD447" s="118">
        <v>44287</v>
      </c>
      <c r="AE447" s="108" t="s">
        <v>6615</v>
      </c>
    </row>
    <row r="448" spans="1:31" s="65" customFormat="1" ht="27" customHeight="1" x14ac:dyDescent="0.15">
      <c r="A448" s="105">
        <v>1110900857</v>
      </c>
      <c r="B448" s="130" t="s">
        <v>6609</v>
      </c>
      <c r="C448" s="108" t="s">
        <v>6610</v>
      </c>
      <c r="D448" s="108" t="s">
        <v>1010</v>
      </c>
      <c r="E448" s="108" t="s">
        <v>6611</v>
      </c>
      <c r="F448" s="131" t="s">
        <v>6612</v>
      </c>
      <c r="G448" s="132" t="s">
        <v>6613</v>
      </c>
      <c r="H448" s="132" t="s">
        <v>6614</v>
      </c>
      <c r="I448" s="133"/>
      <c r="J448" s="134"/>
      <c r="K448" s="135"/>
      <c r="L448" s="134"/>
      <c r="M448" s="134" t="s">
        <v>765</v>
      </c>
      <c r="N448" s="135"/>
      <c r="O448" s="136"/>
      <c r="P448" s="105"/>
      <c r="Q448" s="137"/>
      <c r="R448" s="138"/>
      <c r="S448" s="105"/>
      <c r="T448" s="105"/>
      <c r="U448" s="105"/>
      <c r="V448" s="137"/>
      <c r="W448" s="138"/>
      <c r="X448" s="137"/>
      <c r="Y448" s="138"/>
      <c r="Z448" s="105"/>
      <c r="AA448" s="105"/>
      <c r="AB448" s="105" t="s">
        <v>4614</v>
      </c>
      <c r="AC448" s="105"/>
      <c r="AD448" s="118">
        <v>44287</v>
      </c>
      <c r="AE448" s="108" t="s">
        <v>6615</v>
      </c>
    </row>
    <row r="449" spans="1:157" s="65" customFormat="1" ht="27" customHeight="1" x14ac:dyDescent="0.15">
      <c r="A449" s="105">
        <v>1110900857</v>
      </c>
      <c r="B449" s="130" t="s">
        <v>6609</v>
      </c>
      <c r="C449" s="108" t="s">
        <v>6610</v>
      </c>
      <c r="D449" s="108" t="s">
        <v>1010</v>
      </c>
      <c r="E449" s="108" t="s">
        <v>6611</v>
      </c>
      <c r="F449" s="131" t="s">
        <v>6612</v>
      </c>
      <c r="G449" s="132" t="s">
        <v>6613</v>
      </c>
      <c r="H449" s="132" t="s">
        <v>6614</v>
      </c>
      <c r="I449" s="133"/>
      <c r="J449" s="134"/>
      <c r="K449" s="135"/>
      <c r="L449" s="134"/>
      <c r="M449" s="134" t="s">
        <v>765</v>
      </c>
      <c r="N449" s="135"/>
      <c r="O449" s="136"/>
      <c r="P449" s="105"/>
      <c r="Q449" s="137"/>
      <c r="R449" s="138"/>
      <c r="S449" s="105"/>
      <c r="T449" s="105"/>
      <c r="U449" s="105"/>
      <c r="V449" s="137"/>
      <c r="W449" s="138"/>
      <c r="X449" s="137"/>
      <c r="Y449" s="138"/>
      <c r="Z449" s="105"/>
      <c r="AA449" s="105"/>
      <c r="AB449" s="105"/>
      <c r="AC449" s="105">
        <v>10</v>
      </c>
      <c r="AD449" s="118">
        <v>46023</v>
      </c>
      <c r="AE449" s="108" t="s">
        <v>6615</v>
      </c>
    </row>
    <row r="450" spans="1:157" s="65" customFormat="1" ht="27" customHeight="1" x14ac:dyDescent="0.15">
      <c r="A450" s="105">
        <v>1110900915</v>
      </c>
      <c r="B450" s="130" t="s">
        <v>7343</v>
      </c>
      <c r="C450" s="108" t="s">
        <v>9127</v>
      </c>
      <c r="D450" s="108" t="s">
        <v>1010</v>
      </c>
      <c r="E450" s="108" t="s">
        <v>4500</v>
      </c>
      <c r="F450" s="131" t="s">
        <v>2829</v>
      </c>
      <c r="G450" s="132" t="s">
        <v>4501</v>
      </c>
      <c r="H450" s="132" t="s">
        <v>7382</v>
      </c>
      <c r="I450" s="133"/>
      <c r="J450" s="134"/>
      <c r="K450" s="134"/>
      <c r="L450" s="134"/>
      <c r="M450" s="134" t="s">
        <v>49</v>
      </c>
      <c r="N450" s="135" t="s">
        <v>49</v>
      </c>
      <c r="O450" s="136" t="s">
        <v>49</v>
      </c>
      <c r="P450" s="105"/>
      <c r="Q450" s="137"/>
      <c r="R450" s="138"/>
      <c r="S450" s="105"/>
      <c r="T450" s="105"/>
      <c r="U450" s="105"/>
      <c r="V450" s="137">
        <v>8</v>
      </c>
      <c r="W450" s="138"/>
      <c r="X450" s="137">
        <v>12</v>
      </c>
      <c r="Y450" s="138"/>
      <c r="Z450" s="105"/>
      <c r="AA450" s="105"/>
      <c r="AB450" s="105"/>
      <c r="AC450" s="105"/>
      <c r="AD450" s="155">
        <v>44652</v>
      </c>
      <c r="AE450" s="217" t="s">
        <v>4502</v>
      </c>
      <c r="AU450" s="229"/>
      <c r="AV450" s="229"/>
      <c r="AW450" s="229"/>
      <c r="AX450" s="229"/>
      <c r="AY450" s="229"/>
      <c r="AZ450" s="229"/>
      <c r="BA450" s="229"/>
      <c r="BB450" s="229"/>
      <c r="BC450" s="229"/>
      <c r="BD450" s="229"/>
      <c r="BE450" s="229"/>
      <c r="BF450" s="229"/>
      <c r="BG450" s="229"/>
      <c r="BH450" s="229"/>
      <c r="BI450" s="229"/>
      <c r="BJ450" s="229"/>
      <c r="BK450" s="229"/>
      <c r="BL450" s="229"/>
      <c r="BM450" s="229"/>
      <c r="BN450" s="229"/>
      <c r="BO450" s="229"/>
      <c r="BP450" s="229"/>
      <c r="BQ450" s="229"/>
      <c r="BR450" s="229"/>
      <c r="BS450" s="229"/>
      <c r="BT450" s="229"/>
      <c r="BU450" s="229"/>
      <c r="BV450" s="229"/>
      <c r="BW450" s="229"/>
      <c r="BX450" s="229"/>
      <c r="BY450" s="229"/>
      <c r="BZ450" s="229"/>
      <c r="CA450" s="229"/>
      <c r="CB450" s="229"/>
      <c r="CC450" s="229"/>
      <c r="CD450" s="229"/>
      <c r="CE450" s="229"/>
      <c r="CF450" s="229"/>
      <c r="CG450" s="229"/>
      <c r="CH450" s="229"/>
      <c r="CI450" s="229"/>
      <c r="CJ450" s="229"/>
      <c r="CK450" s="229"/>
      <c r="CL450" s="229"/>
      <c r="CM450" s="229"/>
      <c r="CN450" s="229"/>
      <c r="CO450" s="229"/>
      <c r="CP450" s="229"/>
      <c r="CQ450" s="229"/>
      <c r="CR450" s="229"/>
      <c r="CS450" s="229"/>
      <c r="CT450" s="229"/>
      <c r="CU450" s="229"/>
      <c r="CV450" s="229"/>
      <c r="CW450" s="229"/>
      <c r="CX450" s="229"/>
      <c r="CY450" s="229"/>
      <c r="CZ450" s="229"/>
      <c r="DA450" s="229"/>
      <c r="DB450" s="229"/>
      <c r="DC450" s="229"/>
      <c r="DD450" s="229"/>
      <c r="DE450" s="229"/>
      <c r="DF450" s="229"/>
      <c r="DG450" s="229"/>
      <c r="DH450" s="229"/>
      <c r="DI450" s="229"/>
      <c r="DJ450" s="229"/>
      <c r="DK450" s="229"/>
      <c r="DL450" s="229"/>
      <c r="DM450" s="229"/>
      <c r="DN450" s="229"/>
      <c r="DO450" s="229"/>
      <c r="DP450" s="229"/>
      <c r="DQ450" s="229"/>
      <c r="DR450" s="229"/>
      <c r="DS450" s="229"/>
      <c r="DT450" s="229"/>
      <c r="DU450" s="229"/>
      <c r="DV450" s="229"/>
      <c r="DW450" s="229"/>
      <c r="DX450" s="229"/>
      <c r="DY450" s="229"/>
      <c r="DZ450" s="229"/>
      <c r="EA450" s="229"/>
      <c r="EB450" s="229"/>
      <c r="EC450" s="229"/>
      <c r="ED450" s="229"/>
      <c r="EE450" s="229"/>
      <c r="EF450" s="229"/>
      <c r="EG450" s="229"/>
      <c r="EH450" s="229"/>
      <c r="EI450" s="229"/>
      <c r="EJ450" s="229"/>
      <c r="EK450" s="229"/>
      <c r="EL450" s="229"/>
      <c r="EM450" s="229"/>
      <c r="EN450" s="229"/>
      <c r="EO450" s="229"/>
      <c r="EP450" s="229"/>
      <c r="EQ450" s="229"/>
      <c r="ER450" s="229"/>
      <c r="ES450" s="229"/>
      <c r="ET450" s="229"/>
      <c r="EU450" s="229"/>
      <c r="EV450" s="229"/>
      <c r="EW450" s="229"/>
      <c r="EX450" s="229"/>
      <c r="EY450" s="229"/>
      <c r="EZ450" s="229"/>
      <c r="FA450" s="229"/>
    </row>
    <row r="451" spans="1:157" s="65" customFormat="1" ht="27" customHeight="1" x14ac:dyDescent="0.15">
      <c r="A451" s="105">
        <v>1110900915</v>
      </c>
      <c r="B451" s="130" t="s">
        <v>7343</v>
      </c>
      <c r="C451" s="108" t="s">
        <v>9127</v>
      </c>
      <c r="D451" s="108" t="s">
        <v>1010</v>
      </c>
      <c r="E451" s="108" t="s">
        <v>4500</v>
      </c>
      <c r="F451" s="131" t="s">
        <v>2829</v>
      </c>
      <c r="G451" s="132" t="s">
        <v>4501</v>
      </c>
      <c r="H451" s="132" t="s">
        <v>7382</v>
      </c>
      <c r="I451" s="133"/>
      <c r="J451" s="134"/>
      <c r="K451" s="134"/>
      <c r="L451" s="134"/>
      <c r="M451" s="134" t="s">
        <v>49</v>
      </c>
      <c r="N451" s="135" t="s">
        <v>49</v>
      </c>
      <c r="O451" s="136" t="s">
        <v>49</v>
      </c>
      <c r="P451" s="105"/>
      <c r="Q451" s="137"/>
      <c r="R451" s="138"/>
      <c r="S451" s="105"/>
      <c r="T451" s="105"/>
      <c r="U451" s="105"/>
      <c r="V451" s="137"/>
      <c r="W451" s="138"/>
      <c r="X451" s="137"/>
      <c r="Y451" s="138"/>
      <c r="Z451" s="105"/>
      <c r="AA451" s="105"/>
      <c r="AB451" s="105" t="s">
        <v>4614</v>
      </c>
      <c r="AC451" s="105"/>
      <c r="AD451" s="155">
        <v>44652</v>
      </c>
      <c r="AE451" s="217" t="s">
        <v>4502</v>
      </c>
      <c r="AU451" s="229"/>
      <c r="AV451" s="229"/>
      <c r="AW451" s="229"/>
      <c r="AX451" s="229"/>
      <c r="AY451" s="229"/>
      <c r="AZ451" s="229"/>
      <c r="BA451" s="229"/>
      <c r="BB451" s="229"/>
      <c r="BC451" s="229"/>
      <c r="BD451" s="229"/>
      <c r="BE451" s="229"/>
      <c r="BF451" s="229"/>
      <c r="BG451" s="229"/>
      <c r="BH451" s="229"/>
      <c r="BI451" s="229"/>
      <c r="BJ451" s="229"/>
      <c r="BK451" s="229"/>
      <c r="BL451" s="229"/>
      <c r="BM451" s="229"/>
      <c r="BN451" s="229"/>
      <c r="BO451" s="229"/>
      <c r="BP451" s="229"/>
      <c r="BQ451" s="229"/>
      <c r="BR451" s="229"/>
      <c r="BS451" s="229"/>
      <c r="BT451" s="229"/>
      <c r="BU451" s="229"/>
      <c r="BV451" s="229"/>
      <c r="BW451" s="229"/>
      <c r="BX451" s="229"/>
      <c r="BY451" s="229"/>
      <c r="BZ451" s="229"/>
      <c r="CA451" s="229"/>
      <c r="CB451" s="229"/>
      <c r="CC451" s="229"/>
      <c r="CD451" s="229"/>
      <c r="CE451" s="229"/>
      <c r="CF451" s="229"/>
      <c r="CG451" s="229"/>
      <c r="CH451" s="229"/>
      <c r="CI451" s="229"/>
      <c r="CJ451" s="229"/>
      <c r="CK451" s="229"/>
      <c r="CL451" s="229"/>
      <c r="CM451" s="229"/>
      <c r="CN451" s="229"/>
      <c r="CO451" s="229"/>
      <c r="CP451" s="229"/>
      <c r="CQ451" s="229"/>
      <c r="CR451" s="229"/>
      <c r="CS451" s="229"/>
      <c r="CT451" s="229"/>
      <c r="CU451" s="229"/>
      <c r="CV451" s="229"/>
      <c r="CW451" s="229"/>
      <c r="CX451" s="229"/>
      <c r="CY451" s="229"/>
      <c r="CZ451" s="229"/>
      <c r="DA451" s="229"/>
      <c r="DB451" s="229"/>
      <c r="DC451" s="229"/>
      <c r="DD451" s="229"/>
      <c r="DE451" s="229"/>
      <c r="DF451" s="229"/>
      <c r="DG451" s="229"/>
      <c r="DH451" s="229"/>
      <c r="DI451" s="229"/>
      <c r="DJ451" s="229"/>
      <c r="DK451" s="229"/>
      <c r="DL451" s="229"/>
      <c r="DM451" s="229"/>
      <c r="DN451" s="229"/>
      <c r="DO451" s="229"/>
      <c r="DP451" s="229"/>
      <c r="DQ451" s="229"/>
      <c r="DR451" s="229"/>
      <c r="DS451" s="229"/>
      <c r="DT451" s="229"/>
      <c r="DU451" s="229"/>
      <c r="DV451" s="229"/>
      <c r="DW451" s="229"/>
      <c r="DX451" s="229"/>
      <c r="DY451" s="229"/>
      <c r="DZ451" s="229"/>
      <c r="EA451" s="229"/>
      <c r="EB451" s="229"/>
      <c r="EC451" s="229"/>
      <c r="ED451" s="229"/>
      <c r="EE451" s="229"/>
      <c r="EF451" s="229"/>
      <c r="EG451" s="229"/>
      <c r="EH451" s="229"/>
      <c r="EI451" s="229"/>
      <c r="EJ451" s="229"/>
      <c r="EK451" s="229"/>
      <c r="EL451" s="229"/>
      <c r="EM451" s="229"/>
      <c r="EN451" s="229"/>
      <c r="EO451" s="229"/>
      <c r="EP451" s="229"/>
      <c r="EQ451" s="229"/>
      <c r="ER451" s="229"/>
      <c r="ES451" s="229"/>
      <c r="ET451" s="229"/>
      <c r="EU451" s="229"/>
      <c r="EV451" s="229"/>
      <c r="EW451" s="229"/>
      <c r="EX451" s="229"/>
      <c r="EY451" s="229"/>
      <c r="EZ451" s="229"/>
      <c r="FA451" s="229"/>
    </row>
    <row r="452" spans="1:157" s="65" customFormat="1" ht="27" customHeight="1" x14ac:dyDescent="0.15">
      <c r="A452" s="105">
        <v>1110900923</v>
      </c>
      <c r="B452" s="106" t="s">
        <v>7397</v>
      </c>
      <c r="C452" s="106" t="s">
        <v>8217</v>
      </c>
      <c r="D452" s="108" t="s">
        <v>1010</v>
      </c>
      <c r="E452" s="108" t="s">
        <v>10827</v>
      </c>
      <c r="F452" s="139" t="s">
        <v>3448</v>
      </c>
      <c r="G452" s="140" t="s">
        <v>8218</v>
      </c>
      <c r="H452" s="140" t="s">
        <v>8219</v>
      </c>
      <c r="I452" s="141"/>
      <c r="J452" s="142"/>
      <c r="K452" s="142"/>
      <c r="L452" s="142"/>
      <c r="M452" s="142" t="s">
        <v>6457</v>
      </c>
      <c r="N452" s="143" t="s">
        <v>6457</v>
      </c>
      <c r="O452" s="138" t="s">
        <v>6457</v>
      </c>
      <c r="P452" s="105"/>
      <c r="Q452" s="137"/>
      <c r="R452" s="138"/>
      <c r="S452" s="105"/>
      <c r="T452" s="105">
        <v>10</v>
      </c>
      <c r="U452" s="105"/>
      <c r="V452" s="116"/>
      <c r="W452" s="117"/>
      <c r="X452" s="137"/>
      <c r="Y452" s="138"/>
      <c r="Z452" s="105"/>
      <c r="AA452" s="105"/>
      <c r="AB452" s="105"/>
      <c r="AC452" s="105"/>
      <c r="AD452" s="144">
        <v>44652</v>
      </c>
      <c r="AE452" s="108" t="s">
        <v>10828</v>
      </c>
      <c r="AU452" s="229"/>
      <c r="AV452" s="229"/>
      <c r="AW452" s="229"/>
      <c r="AX452" s="229"/>
      <c r="AY452" s="229"/>
      <c r="AZ452" s="229"/>
      <c r="BA452" s="229"/>
      <c r="BB452" s="229"/>
      <c r="BC452" s="229"/>
      <c r="BD452" s="229"/>
      <c r="BE452" s="229"/>
      <c r="BF452" s="229"/>
      <c r="BG452" s="229"/>
      <c r="BH452" s="229"/>
      <c r="BI452" s="229"/>
      <c r="BJ452" s="229"/>
      <c r="BK452" s="229"/>
      <c r="BL452" s="229"/>
      <c r="BM452" s="229"/>
      <c r="BN452" s="229"/>
      <c r="BO452" s="229"/>
      <c r="BP452" s="229"/>
      <c r="BQ452" s="229"/>
      <c r="BR452" s="229"/>
      <c r="BS452" s="229"/>
      <c r="BT452" s="229"/>
      <c r="BU452" s="229"/>
      <c r="BV452" s="229"/>
      <c r="BW452" s="229"/>
      <c r="BX452" s="229"/>
      <c r="BY452" s="229"/>
      <c r="BZ452" s="229"/>
      <c r="CA452" s="229"/>
      <c r="CB452" s="229"/>
      <c r="CC452" s="229"/>
      <c r="CD452" s="229"/>
      <c r="CE452" s="229"/>
      <c r="CF452" s="229"/>
      <c r="CG452" s="229"/>
      <c r="CH452" s="229"/>
      <c r="CI452" s="229"/>
      <c r="CJ452" s="229"/>
      <c r="CK452" s="229"/>
      <c r="CL452" s="229"/>
      <c r="CM452" s="229"/>
      <c r="CN452" s="229"/>
      <c r="CO452" s="229"/>
      <c r="CP452" s="229"/>
      <c r="CQ452" s="229"/>
      <c r="CR452" s="229"/>
      <c r="CS452" s="229"/>
      <c r="CT452" s="229"/>
      <c r="CU452" s="229"/>
      <c r="CV452" s="229"/>
      <c r="CW452" s="229"/>
      <c r="CX452" s="229"/>
      <c r="CY452" s="229"/>
      <c r="CZ452" s="229"/>
      <c r="DA452" s="229"/>
      <c r="DB452" s="229"/>
      <c r="DC452" s="229"/>
      <c r="DD452" s="229"/>
      <c r="DE452" s="229"/>
      <c r="DF452" s="229"/>
      <c r="DG452" s="229"/>
      <c r="DH452" s="229"/>
      <c r="DI452" s="229"/>
      <c r="DJ452" s="229"/>
      <c r="DK452" s="229"/>
      <c r="DL452" s="229"/>
      <c r="DM452" s="229"/>
      <c r="DN452" s="229"/>
      <c r="DO452" s="229"/>
      <c r="DP452" s="229"/>
      <c r="DQ452" s="229"/>
      <c r="DR452" s="229"/>
      <c r="DS452" s="229"/>
      <c r="DT452" s="229"/>
      <c r="DU452" s="229"/>
      <c r="DV452" s="229"/>
      <c r="DW452" s="229"/>
      <c r="DX452" s="229"/>
      <c r="DY452" s="229"/>
      <c r="DZ452" s="229"/>
      <c r="EA452" s="229"/>
      <c r="EB452" s="229"/>
      <c r="EC452" s="229"/>
      <c r="ED452" s="229"/>
      <c r="EE452" s="229"/>
      <c r="EF452" s="229"/>
      <c r="EG452" s="229"/>
      <c r="EH452" s="229"/>
      <c r="EI452" s="229"/>
      <c r="EJ452" s="229"/>
      <c r="EK452" s="229"/>
      <c r="EL452" s="229"/>
      <c r="EM452" s="229"/>
      <c r="EN452" s="229"/>
      <c r="EO452" s="229"/>
      <c r="EP452" s="229"/>
      <c r="EQ452" s="229"/>
      <c r="ER452" s="229"/>
      <c r="ES452" s="229"/>
      <c r="ET452" s="229"/>
      <c r="EU452" s="229"/>
      <c r="EV452" s="229"/>
      <c r="EW452" s="229"/>
      <c r="EX452" s="229"/>
      <c r="EY452" s="229"/>
      <c r="EZ452" s="229"/>
      <c r="FA452" s="229"/>
    </row>
    <row r="453" spans="1:157" ht="27" customHeight="1" x14ac:dyDescent="0.15">
      <c r="A453" s="105">
        <v>1110900956</v>
      </c>
      <c r="B453" s="130" t="s">
        <v>7598</v>
      </c>
      <c r="C453" s="108" t="s">
        <v>7599</v>
      </c>
      <c r="D453" s="108" t="s">
        <v>1010</v>
      </c>
      <c r="E453" s="108" t="s">
        <v>7600</v>
      </c>
      <c r="F453" s="131" t="s">
        <v>7601</v>
      </c>
      <c r="G453" s="132" t="s">
        <v>7602</v>
      </c>
      <c r="H453" s="132" t="s">
        <v>7603</v>
      </c>
      <c r="I453" s="133"/>
      <c r="J453" s="134"/>
      <c r="K453" s="134"/>
      <c r="L453" s="134" t="s">
        <v>765</v>
      </c>
      <c r="M453" s="134" t="s">
        <v>765</v>
      </c>
      <c r="N453" s="135" t="s">
        <v>765</v>
      </c>
      <c r="O453" s="135" t="s">
        <v>765</v>
      </c>
      <c r="P453" s="105"/>
      <c r="Q453" s="137"/>
      <c r="R453" s="138"/>
      <c r="S453" s="105"/>
      <c r="T453" s="105"/>
      <c r="U453" s="105"/>
      <c r="V453" s="137"/>
      <c r="W453" s="138"/>
      <c r="X453" s="137">
        <v>15</v>
      </c>
      <c r="Y453" s="138"/>
      <c r="Z453" s="105"/>
      <c r="AA453" s="105"/>
      <c r="AB453" s="105"/>
      <c r="AC453" s="105"/>
      <c r="AD453" s="155">
        <v>44713</v>
      </c>
      <c r="AE453" s="108" t="s">
        <v>7604</v>
      </c>
    </row>
    <row r="454" spans="1:157" ht="27" customHeight="1" x14ac:dyDescent="0.15">
      <c r="A454" s="105">
        <v>1110900956</v>
      </c>
      <c r="B454" s="130" t="s">
        <v>7598</v>
      </c>
      <c r="C454" s="108" t="s">
        <v>7599</v>
      </c>
      <c r="D454" s="108" t="s">
        <v>1010</v>
      </c>
      <c r="E454" s="108" t="s">
        <v>7600</v>
      </c>
      <c r="F454" s="131" t="s">
        <v>7601</v>
      </c>
      <c r="G454" s="132" t="s">
        <v>10521</v>
      </c>
      <c r="H454" s="132" t="s">
        <v>10522</v>
      </c>
      <c r="I454" s="133"/>
      <c r="J454" s="134"/>
      <c r="K454" s="134"/>
      <c r="L454" s="134" t="s">
        <v>765</v>
      </c>
      <c r="M454" s="134" t="s">
        <v>765</v>
      </c>
      <c r="N454" s="135" t="s">
        <v>765</v>
      </c>
      <c r="O454" s="135" t="s">
        <v>765</v>
      </c>
      <c r="P454" s="105"/>
      <c r="Q454" s="137"/>
      <c r="R454" s="138"/>
      <c r="S454" s="105"/>
      <c r="T454" s="105"/>
      <c r="U454" s="105"/>
      <c r="V454" s="137"/>
      <c r="W454" s="138"/>
      <c r="X454" s="137"/>
      <c r="Y454" s="138"/>
      <c r="Z454" s="105"/>
      <c r="AA454" s="105"/>
      <c r="AB454" s="105" t="s">
        <v>49</v>
      </c>
      <c r="AC454" s="105"/>
      <c r="AD454" s="144">
        <v>45870</v>
      </c>
      <c r="AE454" s="108" t="s">
        <v>10523</v>
      </c>
    </row>
    <row r="455" spans="1:157" ht="27" customHeight="1" x14ac:dyDescent="0.15">
      <c r="A455" s="105">
        <v>1110900956</v>
      </c>
      <c r="B455" s="130" t="s">
        <v>7598</v>
      </c>
      <c r="C455" s="108" t="s">
        <v>7599</v>
      </c>
      <c r="D455" s="108" t="s">
        <v>1010</v>
      </c>
      <c r="E455" s="108" t="s">
        <v>7600</v>
      </c>
      <c r="F455" s="131" t="s">
        <v>7601</v>
      </c>
      <c r="G455" s="132" t="s">
        <v>10521</v>
      </c>
      <c r="H455" s="132" t="s">
        <v>10522</v>
      </c>
      <c r="I455" s="133"/>
      <c r="J455" s="134"/>
      <c r="K455" s="134"/>
      <c r="L455" s="134" t="s">
        <v>765</v>
      </c>
      <c r="M455" s="134" t="s">
        <v>765</v>
      </c>
      <c r="N455" s="135" t="s">
        <v>765</v>
      </c>
      <c r="O455" s="135" t="s">
        <v>765</v>
      </c>
      <c r="P455" s="105"/>
      <c r="Q455" s="137"/>
      <c r="R455" s="138"/>
      <c r="S455" s="105"/>
      <c r="T455" s="105"/>
      <c r="U455" s="105"/>
      <c r="V455" s="137"/>
      <c r="W455" s="138"/>
      <c r="X455" s="137"/>
      <c r="Y455" s="138"/>
      <c r="Z455" s="105"/>
      <c r="AA455" s="105"/>
      <c r="AB455" s="105"/>
      <c r="AC455" s="105">
        <v>10</v>
      </c>
      <c r="AD455" s="144">
        <v>46023</v>
      </c>
      <c r="AE455" s="108" t="s">
        <v>10523</v>
      </c>
    </row>
    <row r="456" spans="1:157" ht="27" customHeight="1" x14ac:dyDescent="0.15">
      <c r="A456" s="105">
        <v>1110901004</v>
      </c>
      <c r="B456" s="106" t="s">
        <v>8315</v>
      </c>
      <c r="C456" s="107" t="s">
        <v>10978</v>
      </c>
      <c r="D456" s="108" t="s">
        <v>1010</v>
      </c>
      <c r="E456" s="108" t="s">
        <v>8316</v>
      </c>
      <c r="F456" s="139" t="s">
        <v>3154</v>
      </c>
      <c r="G456" s="140" t="s">
        <v>8317</v>
      </c>
      <c r="H456" s="140" t="s">
        <v>8318</v>
      </c>
      <c r="I456" s="141"/>
      <c r="J456" s="142"/>
      <c r="K456" s="142"/>
      <c r="L456" s="142"/>
      <c r="M456" s="142" t="s">
        <v>765</v>
      </c>
      <c r="N456" s="143" t="s">
        <v>765</v>
      </c>
      <c r="O456" s="143"/>
      <c r="P456" s="105"/>
      <c r="Q456" s="137"/>
      <c r="R456" s="138"/>
      <c r="S456" s="105"/>
      <c r="T456" s="105"/>
      <c r="U456" s="105"/>
      <c r="V456" s="116">
        <v>10</v>
      </c>
      <c r="W456" s="117"/>
      <c r="X456" s="137">
        <v>10</v>
      </c>
      <c r="Y456" s="138"/>
      <c r="Z456" s="105"/>
      <c r="AA456" s="105">
        <v>20</v>
      </c>
      <c r="AB456" s="105"/>
      <c r="AC456" s="105"/>
      <c r="AD456" s="144">
        <v>45047</v>
      </c>
      <c r="AE456" s="108" t="s">
        <v>8319</v>
      </c>
    </row>
    <row r="457" spans="1:157" ht="27" customHeight="1" x14ac:dyDescent="0.15">
      <c r="A457" s="105">
        <v>1110901004</v>
      </c>
      <c r="B457" s="106" t="s">
        <v>8315</v>
      </c>
      <c r="C457" s="107" t="s">
        <v>10978</v>
      </c>
      <c r="D457" s="108" t="s">
        <v>1010</v>
      </c>
      <c r="E457" s="108" t="s">
        <v>8316</v>
      </c>
      <c r="F457" s="139" t="s">
        <v>3154</v>
      </c>
      <c r="G457" s="140" t="s">
        <v>8317</v>
      </c>
      <c r="H457" s="140" t="s">
        <v>8318</v>
      </c>
      <c r="I457" s="141"/>
      <c r="J457" s="142"/>
      <c r="K457" s="142"/>
      <c r="L457" s="142"/>
      <c r="M457" s="142" t="s">
        <v>765</v>
      </c>
      <c r="N457" s="143" t="s">
        <v>765</v>
      </c>
      <c r="O457" s="143"/>
      <c r="P457" s="105"/>
      <c r="Q457" s="137"/>
      <c r="R457" s="138"/>
      <c r="S457" s="105"/>
      <c r="T457" s="105"/>
      <c r="U457" s="105"/>
      <c r="V457" s="116"/>
      <c r="W457" s="117"/>
      <c r="X457" s="137"/>
      <c r="Y457" s="138"/>
      <c r="Z457" s="105"/>
      <c r="AA457" s="105"/>
      <c r="AB457" s="105" t="s">
        <v>49</v>
      </c>
      <c r="AC457" s="105"/>
      <c r="AD457" s="144">
        <v>46113</v>
      </c>
      <c r="AE457" s="108" t="s">
        <v>8319</v>
      </c>
    </row>
    <row r="458" spans="1:157" ht="27" customHeight="1" x14ac:dyDescent="0.15">
      <c r="A458" s="105">
        <v>1110901020</v>
      </c>
      <c r="B458" s="106" t="s">
        <v>8511</v>
      </c>
      <c r="C458" s="107" t="s">
        <v>8512</v>
      </c>
      <c r="D458" s="108" t="s">
        <v>1010</v>
      </c>
      <c r="E458" s="108" t="s">
        <v>8513</v>
      </c>
      <c r="F458" s="139" t="s">
        <v>2829</v>
      </c>
      <c r="G458" s="140" t="s">
        <v>8514</v>
      </c>
      <c r="H458" s="140" t="s">
        <v>8515</v>
      </c>
      <c r="I458" s="141"/>
      <c r="J458" s="142"/>
      <c r="K458" s="142"/>
      <c r="L458" s="142"/>
      <c r="M458" s="142"/>
      <c r="N458" s="143" t="s">
        <v>765</v>
      </c>
      <c r="O458" s="143"/>
      <c r="P458" s="105"/>
      <c r="Q458" s="137"/>
      <c r="R458" s="138"/>
      <c r="S458" s="105"/>
      <c r="T458" s="105"/>
      <c r="U458" s="105"/>
      <c r="V458" s="116"/>
      <c r="W458" s="117"/>
      <c r="X458" s="137">
        <v>20</v>
      </c>
      <c r="Y458" s="138"/>
      <c r="Z458" s="105"/>
      <c r="AA458" s="105"/>
      <c r="AB458" s="105"/>
      <c r="AC458" s="105"/>
      <c r="AD458" s="144">
        <v>45139</v>
      </c>
      <c r="AE458" s="108" t="s">
        <v>8516</v>
      </c>
    </row>
    <row r="459" spans="1:157" ht="27" customHeight="1" x14ac:dyDescent="0.15">
      <c r="A459" s="105">
        <v>1110901020</v>
      </c>
      <c r="B459" s="106" t="s">
        <v>8511</v>
      </c>
      <c r="C459" s="107" t="s">
        <v>8512</v>
      </c>
      <c r="D459" s="108" t="s">
        <v>1010</v>
      </c>
      <c r="E459" s="108" t="s">
        <v>8513</v>
      </c>
      <c r="F459" s="139" t="s">
        <v>2829</v>
      </c>
      <c r="G459" s="140" t="s">
        <v>8514</v>
      </c>
      <c r="H459" s="140" t="s">
        <v>8515</v>
      </c>
      <c r="I459" s="141"/>
      <c r="J459" s="142"/>
      <c r="K459" s="142"/>
      <c r="L459" s="142"/>
      <c r="M459" s="142"/>
      <c r="N459" s="143" t="s">
        <v>765</v>
      </c>
      <c r="O459" s="143"/>
      <c r="P459" s="105"/>
      <c r="Q459" s="137"/>
      <c r="R459" s="138"/>
      <c r="S459" s="105"/>
      <c r="T459" s="105"/>
      <c r="U459" s="105"/>
      <c r="V459" s="116"/>
      <c r="W459" s="117"/>
      <c r="X459" s="137"/>
      <c r="Y459" s="138"/>
      <c r="Z459" s="105"/>
      <c r="AA459" s="105"/>
      <c r="AB459" s="105"/>
      <c r="AC459" s="105">
        <v>10</v>
      </c>
      <c r="AD459" s="144">
        <v>46143</v>
      </c>
      <c r="AE459" s="108" t="s">
        <v>8516</v>
      </c>
    </row>
    <row r="460" spans="1:157" s="218" customFormat="1" ht="27" customHeight="1" x14ac:dyDescent="0.15">
      <c r="A460" s="132">
        <v>1110901061</v>
      </c>
      <c r="B460" s="130" t="s">
        <v>9104</v>
      </c>
      <c r="C460" s="108" t="s">
        <v>1637</v>
      </c>
      <c r="D460" s="108" t="s">
        <v>1010</v>
      </c>
      <c r="E460" s="108" t="s">
        <v>9105</v>
      </c>
      <c r="F460" s="131" t="s">
        <v>9106</v>
      </c>
      <c r="G460" s="132" t="s">
        <v>9107</v>
      </c>
      <c r="H460" s="132" t="s">
        <v>9108</v>
      </c>
      <c r="I460" s="133"/>
      <c r="J460" s="134"/>
      <c r="K460" s="134"/>
      <c r="L460" s="134" t="s">
        <v>49</v>
      </c>
      <c r="M460" s="134" t="s">
        <v>49</v>
      </c>
      <c r="N460" s="135" t="s">
        <v>49</v>
      </c>
      <c r="O460" s="136" t="s">
        <v>49</v>
      </c>
      <c r="P460" s="105"/>
      <c r="Q460" s="152"/>
      <c r="R460" s="138"/>
      <c r="S460" s="132"/>
      <c r="T460" s="105"/>
      <c r="U460" s="132"/>
      <c r="V460" s="116"/>
      <c r="W460" s="117"/>
      <c r="X460" s="152"/>
      <c r="Y460" s="136"/>
      <c r="Z460" s="132">
        <v>20</v>
      </c>
      <c r="AA460" s="132"/>
      <c r="AB460" s="132"/>
      <c r="AC460" s="132"/>
      <c r="AD460" s="155">
        <v>45383</v>
      </c>
      <c r="AE460" s="108" t="s">
        <v>9109</v>
      </c>
    </row>
    <row r="461" spans="1:157" s="65" customFormat="1" ht="27" customHeight="1" x14ac:dyDescent="0.15">
      <c r="A461" s="105">
        <v>1110901087</v>
      </c>
      <c r="B461" s="130" t="s">
        <v>9290</v>
      </c>
      <c r="C461" s="108" t="s">
        <v>9291</v>
      </c>
      <c r="D461" s="108" t="s">
        <v>1010</v>
      </c>
      <c r="E461" s="108" t="s">
        <v>9292</v>
      </c>
      <c r="F461" s="131" t="s">
        <v>9293</v>
      </c>
      <c r="G461" s="132" t="s">
        <v>9294</v>
      </c>
      <c r="H461" s="132" t="s">
        <v>9294</v>
      </c>
      <c r="I461" s="133"/>
      <c r="J461" s="134"/>
      <c r="K461" s="135" t="s">
        <v>765</v>
      </c>
      <c r="L461" s="134" t="s">
        <v>765</v>
      </c>
      <c r="M461" s="134" t="s">
        <v>765</v>
      </c>
      <c r="N461" s="135" t="s">
        <v>765</v>
      </c>
      <c r="O461" s="136" t="s">
        <v>765</v>
      </c>
      <c r="P461" s="105"/>
      <c r="Q461" s="137"/>
      <c r="R461" s="138"/>
      <c r="S461" s="105"/>
      <c r="T461" s="105"/>
      <c r="U461" s="105"/>
      <c r="V461" s="137"/>
      <c r="W461" s="138"/>
      <c r="X461" s="137"/>
      <c r="Y461" s="138"/>
      <c r="Z461" s="105"/>
      <c r="AA461" s="105">
        <v>20</v>
      </c>
      <c r="AB461" s="105"/>
      <c r="AC461" s="175"/>
      <c r="AD461" s="227">
        <v>45474</v>
      </c>
      <c r="AE461" s="108" t="s">
        <v>9295</v>
      </c>
    </row>
    <row r="462" spans="1:157" s="65" customFormat="1" ht="27" customHeight="1" x14ac:dyDescent="0.15">
      <c r="A462" s="105">
        <v>1110901111</v>
      </c>
      <c r="B462" s="130" t="s">
        <v>8901</v>
      </c>
      <c r="C462" s="108" t="s">
        <v>9878</v>
      </c>
      <c r="D462" s="108" t="s">
        <v>1010</v>
      </c>
      <c r="E462" s="108" t="s">
        <v>9879</v>
      </c>
      <c r="F462" s="131" t="s">
        <v>3154</v>
      </c>
      <c r="G462" s="132" t="s">
        <v>12070</v>
      </c>
      <c r="H462" s="132" t="s">
        <v>8904</v>
      </c>
      <c r="I462" s="133"/>
      <c r="J462" s="134"/>
      <c r="K462" s="134"/>
      <c r="L462" s="134"/>
      <c r="M462" s="134"/>
      <c r="N462" s="135" t="s">
        <v>49</v>
      </c>
      <c r="O462" s="136"/>
      <c r="P462" s="105"/>
      <c r="Q462" s="137"/>
      <c r="R462" s="138"/>
      <c r="S462" s="105"/>
      <c r="T462" s="105"/>
      <c r="U462" s="105"/>
      <c r="V462" s="137"/>
      <c r="W462" s="138"/>
      <c r="X462" s="137"/>
      <c r="Y462" s="138"/>
      <c r="Z462" s="105"/>
      <c r="AA462" s="105">
        <v>20</v>
      </c>
      <c r="AB462" s="105"/>
      <c r="AC462" s="105"/>
      <c r="AD462" s="155">
        <v>45689</v>
      </c>
      <c r="AE462" s="108" t="s">
        <v>9880</v>
      </c>
    </row>
    <row r="463" spans="1:157" ht="27" customHeight="1" x14ac:dyDescent="0.15">
      <c r="A463" s="105">
        <v>1110901137</v>
      </c>
      <c r="B463" s="130" t="s">
        <v>11649</v>
      </c>
      <c r="C463" s="108" t="s">
        <v>9924</v>
      </c>
      <c r="D463" s="108" t="s">
        <v>1010</v>
      </c>
      <c r="E463" s="108" t="s">
        <v>9925</v>
      </c>
      <c r="F463" s="131" t="s">
        <v>9926</v>
      </c>
      <c r="G463" s="132" t="s">
        <v>9927</v>
      </c>
      <c r="H463" s="132" t="s">
        <v>9927</v>
      </c>
      <c r="I463" s="133"/>
      <c r="J463" s="134"/>
      <c r="K463" s="134"/>
      <c r="L463" s="134"/>
      <c r="M463" s="134" t="s">
        <v>765</v>
      </c>
      <c r="N463" s="135" t="s">
        <v>49</v>
      </c>
      <c r="O463" s="136"/>
      <c r="P463" s="105"/>
      <c r="Q463" s="137"/>
      <c r="R463" s="138"/>
      <c r="S463" s="105"/>
      <c r="T463" s="105"/>
      <c r="U463" s="105"/>
      <c r="V463" s="137"/>
      <c r="W463" s="138"/>
      <c r="X463" s="137"/>
      <c r="Y463" s="138"/>
      <c r="Z463" s="105"/>
      <c r="AA463" s="105">
        <v>20</v>
      </c>
      <c r="AB463" s="105"/>
      <c r="AC463" s="105"/>
      <c r="AD463" s="118">
        <v>45717</v>
      </c>
      <c r="AE463" s="108" t="s">
        <v>9928</v>
      </c>
    </row>
    <row r="464" spans="1:157" ht="27" customHeight="1" x14ac:dyDescent="0.15">
      <c r="A464" s="76">
        <v>1110901145</v>
      </c>
      <c r="B464" s="163" t="s">
        <v>5425</v>
      </c>
      <c r="C464" s="164" t="s">
        <v>10235</v>
      </c>
      <c r="D464" s="166" t="s">
        <v>1884</v>
      </c>
      <c r="E464" s="166" t="s">
        <v>10236</v>
      </c>
      <c r="F464" s="167" t="s">
        <v>3154</v>
      </c>
      <c r="G464" s="168" t="s">
        <v>10237</v>
      </c>
      <c r="H464" s="168" t="s">
        <v>10238</v>
      </c>
      <c r="I464" s="178"/>
      <c r="J464" s="170" t="s">
        <v>49</v>
      </c>
      <c r="K464" s="170" t="s">
        <v>49</v>
      </c>
      <c r="L464" s="170" t="s">
        <v>49</v>
      </c>
      <c r="M464" s="170" t="s">
        <v>765</v>
      </c>
      <c r="N464" s="148" t="s">
        <v>765</v>
      </c>
      <c r="O464" s="92" t="s">
        <v>49</v>
      </c>
      <c r="P464" s="76"/>
      <c r="Q464" s="70"/>
      <c r="R464" s="92"/>
      <c r="S464" s="76"/>
      <c r="T464" s="76"/>
      <c r="U464" s="76"/>
      <c r="V464" s="103"/>
      <c r="W464" s="75"/>
      <c r="X464" s="70">
        <v>20</v>
      </c>
      <c r="Y464" s="92"/>
      <c r="Z464" s="76"/>
      <c r="AA464" s="76"/>
      <c r="AB464" s="76"/>
      <c r="AC464" s="76"/>
      <c r="AD464" s="145">
        <v>45778</v>
      </c>
      <c r="AE464" s="166" t="s">
        <v>10239</v>
      </c>
    </row>
    <row r="465" spans="1:31" s="65" customFormat="1" ht="27" customHeight="1" x14ac:dyDescent="0.15">
      <c r="A465" s="105">
        <v>1110901160</v>
      </c>
      <c r="B465" s="130" t="s">
        <v>10836</v>
      </c>
      <c r="C465" s="108" t="s">
        <v>10835</v>
      </c>
      <c r="D465" s="108" t="s">
        <v>1010</v>
      </c>
      <c r="E465" s="108" t="s">
        <v>10832</v>
      </c>
      <c r="F465" s="131" t="s">
        <v>10833</v>
      </c>
      <c r="G465" s="132" t="s">
        <v>10949</v>
      </c>
      <c r="H465" s="132" t="s">
        <v>10950</v>
      </c>
      <c r="I465" s="133"/>
      <c r="J465" s="134"/>
      <c r="K465" s="134"/>
      <c r="L465" s="134"/>
      <c r="M465" s="134" t="s">
        <v>765</v>
      </c>
      <c r="N465" s="135" t="s">
        <v>765</v>
      </c>
      <c r="O465" s="136"/>
      <c r="P465" s="105"/>
      <c r="Q465" s="137"/>
      <c r="R465" s="138"/>
      <c r="S465" s="105"/>
      <c r="T465" s="105"/>
      <c r="U465" s="105"/>
      <c r="V465" s="137"/>
      <c r="W465" s="138"/>
      <c r="X465" s="137"/>
      <c r="Y465" s="138"/>
      <c r="Z465" s="105"/>
      <c r="AA465" s="105">
        <v>20</v>
      </c>
      <c r="AB465" s="105"/>
      <c r="AC465" s="105"/>
      <c r="AD465" s="118">
        <v>45931</v>
      </c>
      <c r="AE465" s="108" t="s">
        <v>10834</v>
      </c>
    </row>
    <row r="466" spans="1:31" s="65" customFormat="1" ht="27" customHeight="1" x14ac:dyDescent="0.15">
      <c r="A466" s="132">
        <v>1110901178</v>
      </c>
      <c r="B466" s="130" t="s">
        <v>10892</v>
      </c>
      <c r="C466" s="108" t="s">
        <v>10893</v>
      </c>
      <c r="D466" s="108" t="s">
        <v>1010</v>
      </c>
      <c r="E466" s="108" t="s">
        <v>10381</v>
      </c>
      <c r="F466" s="131" t="s">
        <v>2829</v>
      </c>
      <c r="G466" s="132" t="s">
        <v>10894</v>
      </c>
      <c r="H466" s="132" t="s">
        <v>10895</v>
      </c>
      <c r="I466" s="133"/>
      <c r="J466" s="134" t="s">
        <v>49</v>
      </c>
      <c r="K466" s="134" t="s">
        <v>49</v>
      </c>
      <c r="L466" s="134" t="s">
        <v>49</v>
      </c>
      <c r="M466" s="134" t="s">
        <v>49</v>
      </c>
      <c r="N466" s="135" t="s">
        <v>49</v>
      </c>
      <c r="O466" s="136" t="s">
        <v>49</v>
      </c>
      <c r="P466" s="105"/>
      <c r="Q466" s="152"/>
      <c r="R466" s="138"/>
      <c r="S466" s="132"/>
      <c r="T466" s="105"/>
      <c r="U466" s="132"/>
      <c r="V466" s="116"/>
      <c r="W466" s="117"/>
      <c r="X466" s="152"/>
      <c r="Y466" s="136"/>
      <c r="Z466" s="132">
        <v>20</v>
      </c>
      <c r="AA466" s="132"/>
      <c r="AB466" s="132"/>
      <c r="AC466" s="132"/>
      <c r="AD466" s="118">
        <v>45962</v>
      </c>
      <c r="AE466" s="108" t="s">
        <v>10382</v>
      </c>
    </row>
    <row r="467" spans="1:31" s="65" customFormat="1" ht="27" customHeight="1" x14ac:dyDescent="0.15">
      <c r="A467" s="105">
        <v>1110901186</v>
      </c>
      <c r="B467" s="106" t="s">
        <v>10960</v>
      </c>
      <c r="C467" s="107" t="s">
        <v>10961</v>
      </c>
      <c r="D467" s="108" t="s">
        <v>2420</v>
      </c>
      <c r="E467" s="108" t="s">
        <v>10962</v>
      </c>
      <c r="F467" s="139" t="s">
        <v>10963</v>
      </c>
      <c r="G467" s="140" t="s">
        <v>10964</v>
      </c>
      <c r="H467" s="140" t="s">
        <v>10965</v>
      </c>
      <c r="I467" s="141"/>
      <c r="J467" s="142"/>
      <c r="K467" s="142"/>
      <c r="L467" s="142"/>
      <c r="M467" s="142" t="s">
        <v>49</v>
      </c>
      <c r="N467" s="143" t="s">
        <v>765</v>
      </c>
      <c r="O467" s="138"/>
      <c r="P467" s="105"/>
      <c r="Q467" s="137"/>
      <c r="R467" s="138"/>
      <c r="S467" s="105"/>
      <c r="T467" s="105">
        <v>20</v>
      </c>
      <c r="U467" s="105"/>
      <c r="V467" s="137"/>
      <c r="W467" s="138"/>
      <c r="X467" s="137"/>
      <c r="Y467" s="138"/>
      <c r="Z467" s="105"/>
      <c r="AA467" s="105"/>
      <c r="AB467" s="105"/>
      <c r="AC467" s="105"/>
      <c r="AD467" s="144">
        <v>46023</v>
      </c>
      <c r="AE467" s="108" t="s">
        <v>10966</v>
      </c>
    </row>
    <row r="468" spans="1:31" s="65" customFormat="1" ht="27" customHeight="1" x14ac:dyDescent="0.15">
      <c r="A468" s="150">
        <v>1110901202</v>
      </c>
      <c r="B468" s="130" t="s">
        <v>11136</v>
      </c>
      <c r="C468" s="108" t="s">
        <v>11137</v>
      </c>
      <c r="D468" s="108" t="s">
        <v>1010</v>
      </c>
      <c r="E468" s="108" t="s">
        <v>11138</v>
      </c>
      <c r="F468" s="131" t="s">
        <v>2829</v>
      </c>
      <c r="G468" s="132" t="s">
        <v>11139</v>
      </c>
      <c r="H468" s="132" t="s">
        <v>11140</v>
      </c>
      <c r="I468" s="133"/>
      <c r="J468" s="134"/>
      <c r="K468" s="135"/>
      <c r="L468" s="134"/>
      <c r="M468" s="134" t="s">
        <v>49</v>
      </c>
      <c r="N468" s="135" t="s">
        <v>49</v>
      </c>
      <c r="O468" s="136" t="s">
        <v>49</v>
      </c>
      <c r="P468" s="105"/>
      <c r="Q468" s="137"/>
      <c r="R468" s="138"/>
      <c r="S468" s="105"/>
      <c r="T468" s="105"/>
      <c r="U468" s="105"/>
      <c r="V468" s="137"/>
      <c r="W468" s="138"/>
      <c r="X468" s="137"/>
      <c r="Y468" s="138"/>
      <c r="Z468" s="105"/>
      <c r="AA468" s="105"/>
      <c r="AB468" s="105"/>
      <c r="AC468" s="105">
        <v>10</v>
      </c>
      <c r="AD468" s="118">
        <v>46054</v>
      </c>
      <c r="AE468" s="108" t="s">
        <v>11141</v>
      </c>
    </row>
    <row r="469" spans="1:31" s="65" customFormat="1" ht="27" customHeight="1" x14ac:dyDescent="0.15">
      <c r="A469" s="105">
        <v>1110901210</v>
      </c>
      <c r="B469" s="106" t="s">
        <v>6609</v>
      </c>
      <c r="C469" s="107" t="s">
        <v>11423</v>
      </c>
      <c r="D469" s="108" t="s">
        <v>1010</v>
      </c>
      <c r="E469" s="108" t="s">
        <v>11424</v>
      </c>
      <c r="F469" s="139" t="s">
        <v>11425</v>
      </c>
      <c r="G469" s="140" t="s">
        <v>6613</v>
      </c>
      <c r="H469" s="140" t="s">
        <v>6614</v>
      </c>
      <c r="I469" s="141"/>
      <c r="J469" s="142"/>
      <c r="K469" s="142"/>
      <c r="L469" s="142"/>
      <c r="M469" s="142" t="s">
        <v>765</v>
      </c>
      <c r="N469" s="143"/>
      <c r="O469" s="138"/>
      <c r="P469" s="105"/>
      <c r="Q469" s="137"/>
      <c r="R469" s="138"/>
      <c r="S469" s="105"/>
      <c r="T469" s="105">
        <v>20</v>
      </c>
      <c r="U469" s="105"/>
      <c r="V469" s="137"/>
      <c r="W469" s="138"/>
      <c r="X469" s="137"/>
      <c r="Y469" s="138"/>
      <c r="Z469" s="105"/>
      <c r="AA469" s="105"/>
      <c r="AB469" s="105"/>
      <c r="AC469" s="105"/>
      <c r="AD469" s="144">
        <v>46113</v>
      </c>
      <c r="AE469" s="108" t="s">
        <v>11426</v>
      </c>
    </row>
    <row r="470" spans="1:31" s="262" customFormat="1" ht="27" customHeight="1" x14ac:dyDescent="0.15">
      <c r="A470" s="105">
        <v>1110901236</v>
      </c>
      <c r="B470" s="130" t="s">
        <v>12150</v>
      </c>
      <c r="C470" s="108" t="s">
        <v>12151</v>
      </c>
      <c r="D470" s="108" t="s">
        <v>1884</v>
      </c>
      <c r="E470" s="108" t="s">
        <v>12152</v>
      </c>
      <c r="F470" s="131" t="s">
        <v>12153</v>
      </c>
      <c r="G470" s="132" t="s">
        <v>12154</v>
      </c>
      <c r="H470" s="132"/>
      <c r="I470" s="133"/>
      <c r="J470" s="134"/>
      <c r="K470" s="134"/>
      <c r="L470" s="134" t="s">
        <v>765</v>
      </c>
      <c r="M470" s="134" t="s">
        <v>765</v>
      </c>
      <c r="N470" s="135" t="s">
        <v>765</v>
      </c>
      <c r="O470" s="136" t="s">
        <v>765</v>
      </c>
      <c r="P470" s="105"/>
      <c r="Q470" s="137"/>
      <c r="R470" s="138"/>
      <c r="S470" s="105"/>
      <c r="T470" s="105"/>
      <c r="U470" s="105"/>
      <c r="V470" s="137"/>
      <c r="W470" s="138"/>
      <c r="X470" s="137"/>
      <c r="Y470" s="138"/>
      <c r="Z470" s="105"/>
      <c r="AA470" s="105">
        <v>20</v>
      </c>
      <c r="AB470" s="105"/>
      <c r="AC470" s="105"/>
      <c r="AD470" s="118">
        <v>46174</v>
      </c>
      <c r="AE470" s="108" t="s">
        <v>12155</v>
      </c>
    </row>
    <row r="471" spans="1:31" ht="27" customHeight="1" x14ac:dyDescent="0.15">
      <c r="A471" s="105">
        <v>1111000095</v>
      </c>
      <c r="B471" s="106" t="s">
        <v>401</v>
      </c>
      <c r="C471" s="107" t="s">
        <v>451</v>
      </c>
      <c r="D471" s="108" t="s">
        <v>452</v>
      </c>
      <c r="E471" s="108" t="s">
        <v>6913</v>
      </c>
      <c r="F471" s="139">
        <v>3400808</v>
      </c>
      <c r="G471" s="140" t="s">
        <v>288</v>
      </c>
      <c r="H471" s="140" t="s">
        <v>288</v>
      </c>
      <c r="I471" s="141"/>
      <c r="J471" s="142"/>
      <c r="K471" s="142"/>
      <c r="L471" s="142"/>
      <c r="M471" s="142" t="s">
        <v>289</v>
      </c>
      <c r="N471" s="143"/>
      <c r="O471" s="138"/>
      <c r="P471" s="105"/>
      <c r="Q471" s="116"/>
      <c r="R471" s="138"/>
      <c r="S471" s="105"/>
      <c r="T471" s="105"/>
      <c r="U471" s="105"/>
      <c r="V471" s="116"/>
      <c r="W471" s="138"/>
      <c r="X471" s="116"/>
      <c r="Y471" s="138"/>
      <c r="Z471" s="105"/>
      <c r="AA471" s="105">
        <v>20</v>
      </c>
      <c r="AB471" s="105"/>
      <c r="AC471" s="105"/>
      <c r="AD471" s="144">
        <v>39904</v>
      </c>
      <c r="AE471" s="108" t="s">
        <v>454</v>
      </c>
    </row>
    <row r="472" spans="1:31" s="65" customFormat="1" ht="27" customHeight="1" x14ac:dyDescent="0.15">
      <c r="A472" s="175">
        <v>1111000103</v>
      </c>
      <c r="B472" s="161" t="s">
        <v>2470</v>
      </c>
      <c r="C472" s="263" t="s">
        <v>2471</v>
      </c>
      <c r="D472" s="108" t="s">
        <v>452</v>
      </c>
      <c r="E472" s="108" t="s">
        <v>1345</v>
      </c>
      <c r="F472" s="139">
        <v>3400802</v>
      </c>
      <c r="G472" s="140" t="s">
        <v>1346</v>
      </c>
      <c r="H472" s="140" t="s">
        <v>1346</v>
      </c>
      <c r="I472" s="141"/>
      <c r="J472" s="142"/>
      <c r="K472" s="142"/>
      <c r="L472" s="142"/>
      <c r="M472" s="142" t="s">
        <v>49</v>
      </c>
      <c r="N472" s="143"/>
      <c r="O472" s="138"/>
      <c r="P472" s="105"/>
      <c r="Q472" s="137"/>
      <c r="R472" s="138"/>
      <c r="S472" s="105"/>
      <c r="T472" s="105">
        <v>10</v>
      </c>
      <c r="U472" s="105"/>
      <c r="V472" s="137"/>
      <c r="W472" s="138"/>
      <c r="X472" s="137"/>
      <c r="Y472" s="138"/>
      <c r="Z472" s="105"/>
      <c r="AA472" s="105">
        <v>30</v>
      </c>
      <c r="AB472" s="105"/>
      <c r="AC472" s="105"/>
      <c r="AD472" s="144">
        <v>40634</v>
      </c>
      <c r="AE472" s="108" t="s">
        <v>1347</v>
      </c>
    </row>
    <row r="473" spans="1:31" s="65" customFormat="1" ht="27" customHeight="1" x14ac:dyDescent="0.15">
      <c r="A473" s="105">
        <v>1111000129</v>
      </c>
      <c r="B473" s="106" t="s">
        <v>1433</v>
      </c>
      <c r="C473" s="107" t="s">
        <v>2083</v>
      </c>
      <c r="D473" s="108" t="s">
        <v>452</v>
      </c>
      <c r="E473" s="108" t="s">
        <v>2084</v>
      </c>
      <c r="F473" s="139" t="s">
        <v>2085</v>
      </c>
      <c r="G473" s="140" t="s">
        <v>2086</v>
      </c>
      <c r="H473" s="140" t="s">
        <v>2086</v>
      </c>
      <c r="I473" s="141"/>
      <c r="J473" s="142"/>
      <c r="K473" s="142"/>
      <c r="L473" s="142"/>
      <c r="M473" s="142" t="s">
        <v>49</v>
      </c>
      <c r="N473" s="143"/>
      <c r="O473" s="138"/>
      <c r="P473" s="105"/>
      <c r="Q473" s="137"/>
      <c r="R473" s="138"/>
      <c r="S473" s="105"/>
      <c r="T473" s="105">
        <v>20</v>
      </c>
      <c r="U473" s="105"/>
      <c r="V473" s="137"/>
      <c r="W473" s="138"/>
      <c r="X473" s="137"/>
      <c r="Y473" s="138"/>
      <c r="Z473" s="105"/>
      <c r="AA473" s="105"/>
      <c r="AB473" s="105"/>
      <c r="AC473" s="105"/>
      <c r="AD473" s="144">
        <v>41091</v>
      </c>
      <c r="AE473" s="108" t="s">
        <v>2087</v>
      </c>
    </row>
    <row r="474" spans="1:31" ht="27" customHeight="1" x14ac:dyDescent="0.15">
      <c r="A474" s="105">
        <v>1111000152</v>
      </c>
      <c r="B474" s="130" t="s">
        <v>5242</v>
      </c>
      <c r="C474" s="108" t="s">
        <v>5548</v>
      </c>
      <c r="D474" s="108" t="s">
        <v>452</v>
      </c>
      <c r="E474" s="108" t="s">
        <v>5549</v>
      </c>
      <c r="F474" s="131" t="s">
        <v>5550</v>
      </c>
      <c r="G474" s="132" t="s">
        <v>5551</v>
      </c>
      <c r="H474" s="132" t="s">
        <v>5552</v>
      </c>
      <c r="I474" s="133"/>
      <c r="J474" s="134"/>
      <c r="K474" s="134"/>
      <c r="L474" s="134"/>
      <c r="M474" s="134" t="s">
        <v>5553</v>
      </c>
      <c r="N474" s="135"/>
      <c r="O474" s="136"/>
      <c r="P474" s="105"/>
      <c r="Q474" s="137"/>
      <c r="R474" s="138">
        <v>12</v>
      </c>
      <c r="S474" s="105"/>
      <c r="T474" s="105">
        <v>40</v>
      </c>
      <c r="U474" s="105"/>
      <c r="V474" s="137"/>
      <c r="W474" s="138"/>
      <c r="X474" s="152"/>
      <c r="Y474" s="138"/>
      <c r="Z474" s="105"/>
      <c r="AA474" s="105"/>
      <c r="AB474" s="105"/>
      <c r="AC474" s="105"/>
      <c r="AD474" s="118">
        <v>41730</v>
      </c>
      <c r="AE474" s="108" t="s">
        <v>5554</v>
      </c>
    </row>
    <row r="475" spans="1:31" s="65" customFormat="1" ht="27" customHeight="1" x14ac:dyDescent="0.15">
      <c r="A475" s="105">
        <v>1111000210</v>
      </c>
      <c r="B475" s="106" t="s">
        <v>2833</v>
      </c>
      <c r="C475" s="108" t="s">
        <v>2834</v>
      </c>
      <c r="D475" s="108" t="s">
        <v>452</v>
      </c>
      <c r="E475" s="108" t="s">
        <v>2835</v>
      </c>
      <c r="F475" s="131" t="s">
        <v>4055</v>
      </c>
      <c r="G475" s="132" t="s">
        <v>4056</v>
      </c>
      <c r="H475" s="132" t="s">
        <v>4057</v>
      </c>
      <c r="I475" s="133" t="s">
        <v>4058</v>
      </c>
      <c r="J475" s="134" t="s">
        <v>4058</v>
      </c>
      <c r="K475" s="134" t="s">
        <v>4058</v>
      </c>
      <c r="L475" s="134" t="s">
        <v>4058</v>
      </c>
      <c r="M475" s="134" t="s">
        <v>4058</v>
      </c>
      <c r="N475" s="135" t="s">
        <v>4058</v>
      </c>
      <c r="O475" s="136" t="s">
        <v>4058</v>
      </c>
      <c r="P475" s="105"/>
      <c r="Q475" s="137"/>
      <c r="R475" s="138"/>
      <c r="S475" s="105"/>
      <c r="T475" s="105"/>
      <c r="U475" s="105"/>
      <c r="V475" s="137"/>
      <c r="W475" s="138"/>
      <c r="X475" s="152"/>
      <c r="Y475" s="138"/>
      <c r="Z475" s="105"/>
      <c r="AA475" s="105">
        <v>20</v>
      </c>
      <c r="AB475" s="105"/>
      <c r="AC475" s="105"/>
      <c r="AD475" s="118">
        <v>42095</v>
      </c>
      <c r="AE475" s="108" t="s">
        <v>2836</v>
      </c>
    </row>
    <row r="476" spans="1:31" ht="27" customHeight="1" x14ac:dyDescent="0.15">
      <c r="A476" s="105">
        <v>1111000335</v>
      </c>
      <c r="B476" s="106" t="s">
        <v>2833</v>
      </c>
      <c r="C476" s="107" t="s">
        <v>4531</v>
      </c>
      <c r="D476" s="108" t="s">
        <v>452</v>
      </c>
      <c r="E476" s="108" t="s">
        <v>4532</v>
      </c>
      <c r="F476" s="139" t="s">
        <v>4533</v>
      </c>
      <c r="G476" s="140" t="s">
        <v>4534</v>
      </c>
      <c r="H476" s="140" t="s">
        <v>4535</v>
      </c>
      <c r="I476" s="141"/>
      <c r="J476" s="142"/>
      <c r="K476" s="142"/>
      <c r="L476" s="142"/>
      <c r="M476" s="142" t="s">
        <v>4536</v>
      </c>
      <c r="N476" s="177" t="s">
        <v>4536</v>
      </c>
      <c r="O476" s="176"/>
      <c r="P476" s="105"/>
      <c r="Q476" s="137"/>
      <c r="R476" s="138"/>
      <c r="S476" s="105"/>
      <c r="T476" s="105">
        <v>20</v>
      </c>
      <c r="U476" s="105"/>
      <c r="V476" s="137"/>
      <c r="W476" s="138"/>
      <c r="X476" s="137"/>
      <c r="Y476" s="138"/>
      <c r="Z476" s="105"/>
      <c r="AA476" s="105"/>
      <c r="AB476" s="105"/>
      <c r="AC476" s="105"/>
      <c r="AD476" s="144">
        <v>43282</v>
      </c>
      <c r="AE476" s="108" t="s">
        <v>4537</v>
      </c>
    </row>
    <row r="477" spans="1:31" s="65" customFormat="1" ht="27" customHeight="1" x14ac:dyDescent="0.15">
      <c r="A477" s="105">
        <v>1111000350</v>
      </c>
      <c r="B477" s="130" t="s">
        <v>12068</v>
      </c>
      <c r="C477" s="108" t="s">
        <v>4681</v>
      </c>
      <c r="D477" s="108" t="s">
        <v>452</v>
      </c>
      <c r="E477" s="108" t="s">
        <v>8509</v>
      </c>
      <c r="F477" s="131" t="s">
        <v>10613</v>
      </c>
      <c r="G477" s="132" t="s">
        <v>10614</v>
      </c>
      <c r="H477" s="132" t="s">
        <v>10615</v>
      </c>
      <c r="I477" s="133"/>
      <c r="J477" s="134"/>
      <c r="K477" s="135"/>
      <c r="L477" s="134"/>
      <c r="M477" s="134" t="s">
        <v>765</v>
      </c>
      <c r="N477" s="135" t="s">
        <v>765</v>
      </c>
      <c r="O477" s="136"/>
      <c r="P477" s="105"/>
      <c r="Q477" s="137"/>
      <c r="R477" s="138"/>
      <c r="S477" s="105"/>
      <c r="T477" s="105"/>
      <c r="U477" s="105"/>
      <c r="V477" s="137"/>
      <c r="W477" s="138"/>
      <c r="X477" s="137"/>
      <c r="Y477" s="138"/>
      <c r="Z477" s="105">
        <v>20</v>
      </c>
      <c r="AA477" s="105"/>
      <c r="AB477" s="105"/>
      <c r="AC477" s="105"/>
      <c r="AD477" s="118">
        <v>43374</v>
      </c>
      <c r="AE477" s="108" t="s">
        <v>8510</v>
      </c>
    </row>
    <row r="478" spans="1:31" ht="27" customHeight="1" x14ac:dyDescent="0.15">
      <c r="A478" s="105">
        <v>1111000392</v>
      </c>
      <c r="B478" s="106" t="s">
        <v>5741</v>
      </c>
      <c r="C478" s="107" t="s">
        <v>5742</v>
      </c>
      <c r="D478" s="108" t="s">
        <v>452</v>
      </c>
      <c r="E478" s="108" t="s">
        <v>5743</v>
      </c>
      <c r="F478" s="139" t="s">
        <v>5744</v>
      </c>
      <c r="G478" s="140" t="s">
        <v>5745</v>
      </c>
      <c r="H478" s="140" t="s">
        <v>5746</v>
      </c>
      <c r="I478" s="141"/>
      <c r="J478" s="142"/>
      <c r="K478" s="142"/>
      <c r="L478" s="142"/>
      <c r="M478" s="142" t="s">
        <v>49</v>
      </c>
      <c r="N478" s="143" t="s">
        <v>765</v>
      </c>
      <c r="O478" s="138"/>
      <c r="P478" s="105"/>
      <c r="Q478" s="137"/>
      <c r="R478" s="138"/>
      <c r="S478" s="105"/>
      <c r="T478" s="105">
        <v>10</v>
      </c>
      <c r="U478" s="105"/>
      <c r="V478" s="137"/>
      <c r="W478" s="138"/>
      <c r="X478" s="137"/>
      <c r="Y478" s="138"/>
      <c r="Z478" s="105"/>
      <c r="AA478" s="105">
        <v>10</v>
      </c>
      <c r="AB478" s="105"/>
      <c r="AC478" s="105"/>
      <c r="AD478" s="144">
        <v>43922</v>
      </c>
      <c r="AE478" s="108" t="s">
        <v>5747</v>
      </c>
    </row>
    <row r="479" spans="1:31" ht="27" customHeight="1" x14ac:dyDescent="0.15">
      <c r="A479" s="132">
        <v>1111000400</v>
      </c>
      <c r="B479" s="130" t="s">
        <v>6256</v>
      </c>
      <c r="C479" s="108" t="s">
        <v>6257</v>
      </c>
      <c r="D479" s="108" t="s">
        <v>452</v>
      </c>
      <c r="E479" s="108" t="s">
        <v>6258</v>
      </c>
      <c r="F479" s="131" t="s">
        <v>2085</v>
      </c>
      <c r="G479" s="132" t="s">
        <v>6259</v>
      </c>
      <c r="H479" s="132" t="s">
        <v>6260</v>
      </c>
      <c r="I479" s="116" t="s">
        <v>765</v>
      </c>
      <c r="J479" s="154" t="s">
        <v>765</v>
      </c>
      <c r="K479" s="154" t="s">
        <v>765</v>
      </c>
      <c r="L479" s="154" t="s">
        <v>765</v>
      </c>
      <c r="M479" s="154" t="s">
        <v>765</v>
      </c>
      <c r="N479" s="143" t="s">
        <v>765</v>
      </c>
      <c r="O479" s="138" t="s">
        <v>765</v>
      </c>
      <c r="P479" s="105"/>
      <c r="Q479" s="137"/>
      <c r="R479" s="138">
        <v>3</v>
      </c>
      <c r="S479" s="105"/>
      <c r="T479" s="105">
        <v>20</v>
      </c>
      <c r="U479" s="105"/>
      <c r="V479" s="137"/>
      <c r="W479" s="138"/>
      <c r="X479" s="137"/>
      <c r="Y479" s="138"/>
      <c r="Z479" s="105"/>
      <c r="AA479" s="105"/>
      <c r="AB479" s="105"/>
      <c r="AC479" s="105"/>
      <c r="AD479" s="118">
        <v>44075</v>
      </c>
      <c r="AE479" s="108" t="s">
        <v>10099</v>
      </c>
    </row>
    <row r="480" spans="1:31" ht="27" customHeight="1" x14ac:dyDescent="0.15">
      <c r="A480" s="105">
        <v>1111000418</v>
      </c>
      <c r="B480" s="106" t="s">
        <v>1433</v>
      </c>
      <c r="C480" s="107" t="s">
        <v>1348</v>
      </c>
      <c r="D480" s="108" t="s">
        <v>452</v>
      </c>
      <c r="E480" s="108" t="s">
        <v>1349</v>
      </c>
      <c r="F480" s="139">
        <v>3400802</v>
      </c>
      <c r="G480" s="140" t="s">
        <v>1350</v>
      </c>
      <c r="H480" s="140" t="s">
        <v>1350</v>
      </c>
      <c r="I480" s="141"/>
      <c r="J480" s="142"/>
      <c r="K480" s="142"/>
      <c r="L480" s="142"/>
      <c r="M480" s="142" t="s">
        <v>49</v>
      </c>
      <c r="N480" s="143"/>
      <c r="O480" s="138"/>
      <c r="P480" s="105"/>
      <c r="Q480" s="137"/>
      <c r="R480" s="138"/>
      <c r="S480" s="105"/>
      <c r="T480" s="105">
        <v>20</v>
      </c>
      <c r="U480" s="105"/>
      <c r="V480" s="137"/>
      <c r="W480" s="138"/>
      <c r="X480" s="137"/>
      <c r="Y480" s="138"/>
      <c r="Z480" s="105"/>
      <c r="AA480" s="105"/>
      <c r="AB480" s="105"/>
      <c r="AC480" s="105"/>
      <c r="AD480" s="118">
        <v>44287</v>
      </c>
      <c r="AE480" s="108" t="s">
        <v>6644</v>
      </c>
    </row>
    <row r="481" spans="1:31" s="65" customFormat="1" ht="27" customHeight="1" x14ac:dyDescent="0.15">
      <c r="A481" s="105">
        <v>1111000442</v>
      </c>
      <c r="B481" s="106" t="s">
        <v>7404</v>
      </c>
      <c r="C481" s="107" t="s">
        <v>7405</v>
      </c>
      <c r="D481" s="108" t="s">
        <v>452</v>
      </c>
      <c r="E481" s="108" t="s">
        <v>7406</v>
      </c>
      <c r="F481" s="139" t="s">
        <v>2423</v>
      </c>
      <c r="G481" s="140" t="s">
        <v>7627</v>
      </c>
      <c r="H481" s="140"/>
      <c r="I481" s="141"/>
      <c r="J481" s="142"/>
      <c r="K481" s="142"/>
      <c r="L481" s="142"/>
      <c r="M481" s="134" t="s">
        <v>6433</v>
      </c>
      <c r="N481" s="134" t="s">
        <v>6433</v>
      </c>
      <c r="O481" s="138"/>
      <c r="P481" s="105"/>
      <c r="Q481" s="137"/>
      <c r="R481" s="138"/>
      <c r="S481" s="105"/>
      <c r="T481" s="105"/>
      <c r="U481" s="105"/>
      <c r="V481" s="137"/>
      <c r="W481" s="138"/>
      <c r="X481" s="137"/>
      <c r="Y481" s="138"/>
      <c r="Z481" s="105"/>
      <c r="AA481" s="105">
        <v>20</v>
      </c>
      <c r="AB481" s="105"/>
      <c r="AC481" s="105"/>
      <c r="AD481" s="155">
        <v>44652</v>
      </c>
      <c r="AE481" s="108" t="s">
        <v>7407</v>
      </c>
    </row>
    <row r="482" spans="1:31" s="65" customFormat="1" ht="27" customHeight="1" x14ac:dyDescent="0.15">
      <c r="A482" s="132">
        <v>1111000483</v>
      </c>
      <c r="B482" s="130" t="s">
        <v>8206</v>
      </c>
      <c r="C482" s="108" t="s">
        <v>6908</v>
      </c>
      <c r="D482" s="108" t="s">
        <v>452</v>
      </c>
      <c r="E482" s="108" t="s">
        <v>6909</v>
      </c>
      <c r="F482" s="131" t="s">
        <v>6910</v>
      </c>
      <c r="G482" s="132" t="s">
        <v>6911</v>
      </c>
      <c r="H482" s="132"/>
      <c r="I482" s="133"/>
      <c r="J482" s="134"/>
      <c r="K482" s="134"/>
      <c r="L482" s="134" t="s">
        <v>49</v>
      </c>
      <c r="M482" s="134" t="s">
        <v>49</v>
      </c>
      <c r="N482" s="135" t="s">
        <v>49</v>
      </c>
      <c r="O482" s="136" t="s">
        <v>49</v>
      </c>
      <c r="P482" s="105"/>
      <c r="Q482" s="152"/>
      <c r="R482" s="138"/>
      <c r="S482" s="132"/>
      <c r="T482" s="105"/>
      <c r="U482" s="132"/>
      <c r="V482" s="116"/>
      <c r="W482" s="117"/>
      <c r="X482" s="152"/>
      <c r="Y482" s="136"/>
      <c r="Z482" s="132">
        <v>20</v>
      </c>
      <c r="AA482" s="132"/>
      <c r="AB482" s="132"/>
      <c r="AC482" s="132"/>
      <c r="AD482" s="118">
        <v>45017</v>
      </c>
      <c r="AE482" s="108" t="s">
        <v>6912</v>
      </c>
    </row>
    <row r="483" spans="1:31" ht="27" customHeight="1" x14ac:dyDescent="0.15">
      <c r="A483" s="105">
        <v>1111000491</v>
      </c>
      <c r="B483" s="106" t="s">
        <v>11987</v>
      </c>
      <c r="C483" s="108" t="s">
        <v>9030</v>
      </c>
      <c r="D483" s="108" t="s">
        <v>452</v>
      </c>
      <c r="E483" s="108" t="s">
        <v>9031</v>
      </c>
      <c r="F483" s="131" t="s">
        <v>9032</v>
      </c>
      <c r="G483" s="132" t="s">
        <v>9033</v>
      </c>
      <c r="H483" s="132" t="s">
        <v>9033</v>
      </c>
      <c r="I483" s="133"/>
      <c r="J483" s="134" t="s">
        <v>765</v>
      </c>
      <c r="K483" s="134" t="s">
        <v>765</v>
      </c>
      <c r="L483" s="134" t="s">
        <v>765</v>
      </c>
      <c r="M483" s="134" t="s">
        <v>765</v>
      </c>
      <c r="N483" s="135" t="s">
        <v>765</v>
      </c>
      <c r="O483" s="136" t="s">
        <v>765</v>
      </c>
      <c r="P483" s="105"/>
      <c r="Q483" s="137"/>
      <c r="R483" s="138"/>
      <c r="S483" s="105"/>
      <c r="T483" s="105"/>
      <c r="U483" s="105"/>
      <c r="V483" s="137"/>
      <c r="W483" s="138"/>
      <c r="X483" s="152"/>
      <c r="Y483" s="138"/>
      <c r="Z483" s="105"/>
      <c r="AA483" s="105">
        <v>20</v>
      </c>
      <c r="AB483" s="105"/>
      <c r="AC483" s="105"/>
      <c r="AD483" s="118">
        <v>45352</v>
      </c>
      <c r="AE483" s="108" t="s">
        <v>9034</v>
      </c>
    </row>
    <row r="484" spans="1:31" ht="27" customHeight="1" x14ac:dyDescent="0.15">
      <c r="A484" s="150">
        <v>1111000517</v>
      </c>
      <c r="B484" s="130" t="s">
        <v>9688</v>
      </c>
      <c r="C484" s="108" t="s">
        <v>9689</v>
      </c>
      <c r="D484" s="108" t="s">
        <v>4105</v>
      </c>
      <c r="E484" s="108" t="s">
        <v>9690</v>
      </c>
      <c r="F484" s="230" t="s">
        <v>7536</v>
      </c>
      <c r="G484" s="132" t="s">
        <v>9691</v>
      </c>
      <c r="H484" s="132" t="s">
        <v>9691</v>
      </c>
      <c r="I484" s="178"/>
      <c r="J484" s="154" t="s">
        <v>49</v>
      </c>
      <c r="K484" s="154" t="s">
        <v>49</v>
      </c>
      <c r="L484" s="154" t="s">
        <v>765</v>
      </c>
      <c r="M484" s="154" t="s">
        <v>49</v>
      </c>
      <c r="N484" s="143" t="s">
        <v>49</v>
      </c>
      <c r="O484" s="138" t="s">
        <v>49</v>
      </c>
      <c r="P484" s="105"/>
      <c r="Q484" s="116"/>
      <c r="R484" s="138"/>
      <c r="S484" s="105"/>
      <c r="T484" s="105"/>
      <c r="U484" s="105"/>
      <c r="V484" s="116"/>
      <c r="W484" s="138"/>
      <c r="X484" s="116"/>
      <c r="Y484" s="138"/>
      <c r="Z484" s="105"/>
      <c r="AA484" s="105">
        <v>20</v>
      </c>
      <c r="AB484" s="105"/>
      <c r="AC484" s="105"/>
      <c r="AD484" s="118">
        <v>45627</v>
      </c>
      <c r="AE484" s="108" t="s">
        <v>9692</v>
      </c>
    </row>
    <row r="485" spans="1:31" s="65" customFormat="1" ht="27" customHeight="1" x14ac:dyDescent="0.15">
      <c r="A485" s="132">
        <v>1111000558</v>
      </c>
      <c r="B485" s="130" t="s">
        <v>10352</v>
      </c>
      <c r="C485" s="108" t="s">
        <v>10353</v>
      </c>
      <c r="D485" s="108" t="s">
        <v>4105</v>
      </c>
      <c r="E485" s="108" t="s">
        <v>10354</v>
      </c>
      <c r="F485" s="264" t="s">
        <v>2423</v>
      </c>
      <c r="G485" s="168" t="s">
        <v>10355</v>
      </c>
      <c r="H485" s="137"/>
      <c r="I485" s="141"/>
      <c r="J485" s="142"/>
      <c r="K485" s="142"/>
      <c r="L485" s="142"/>
      <c r="M485" s="142" t="s">
        <v>6433</v>
      </c>
      <c r="N485" s="143" t="s">
        <v>6433</v>
      </c>
      <c r="O485" s="92"/>
      <c r="P485" s="105"/>
      <c r="Q485" s="137"/>
      <c r="R485" s="138"/>
      <c r="S485" s="105"/>
      <c r="T485" s="105"/>
      <c r="U485" s="105"/>
      <c r="V485" s="137"/>
      <c r="W485" s="138"/>
      <c r="X485" s="137"/>
      <c r="Y485" s="138"/>
      <c r="Z485" s="105"/>
      <c r="AA485" s="105">
        <v>20</v>
      </c>
      <c r="AB485" s="105"/>
      <c r="AC485" s="105"/>
      <c r="AD485" s="118">
        <v>45809</v>
      </c>
      <c r="AE485" s="108" t="s">
        <v>10356</v>
      </c>
    </row>
    <row r="486" spans="1:31" s="65" customFormat="1" ht="27" customHeight="1" x14ac:dyDescent="0.15">
      <c r="A486" s="105">
        <v>1111000574</v>
      </c>
      <c r="B486" s="130" t="s">
        <v>11184</v>
      </c>
      <c r="C486" s="108" t="s">
        <v>11185</v>
      </c>
      <c r="D486" s="108" t="s">
        <v>452</v>
      </c>
      <c r="E486" s="108" t="s">
        <v>11186</v>
      </c>
      <c r="F486" s="131" t="s">
        <v>5673</v>
      </c>
      <c r="G486" s="132" t="s">
        <v>11187</v>
      </c>
      <c r="H486" s="132" t="s">
        <v>11188</v>
      </c>
      <c r="I486" s="133"/>
      <c r="J486" s="134" t="s">
        <v>765</v>
      </c>
      <c r="K486" s="135" t="s">
        <v>765</v>
      </c>
      <c r="L486" s="134" t="s">
        <v>765</v>
      </c>
      <c r="M486" s="134" t="s">
        <v>765</v>
      </c>
      <c r="N486" s="135" t="s">
        <v>765</v>
      </c>
      <c r="O486" s="136" t="s">
        <v>765</v>
      </c>
      <c r="P486" s="105"/>
      <c r="Q486" s="137"/>
      <c r="R486" s="138"/>
      <c r="S486" s="105"/>
      <c r="T486" s="105"/>
      <c r="U486" s="105"/>
      <c r="V486" s="137"/>
      <c r="W486" s="138"/>
      <c r="X486" s="137"/>
      <c r="Y486" s="138"/>
      <c r="Z486" s="105">
        <v>20</v>
      </c>
      <c r="AA486" s="105"/>
      <c r="AB486" s="105"/>
      <c r="AC486" s="105"/>
      <c r="AD486" s="144">
        <v>46082</v>
      </c>
      <c r="AE486" s="108" t="s">
        <v>11189</v>
      </c>
    </row>
    <row r="487" spans="1:31" ht="27" customHeight="1" x14ac:dyDescent="0.15">
      <c r="A487" s="105">
        <v>1111000590</v>
      </c>
      <c r="B487" s="106" t="s">
        <v>12129</v>
      </c>
      <c r="C487" s="107" t="s">
        <v>12130</v>
      </c>
      <c r="D487" s="108" t="s">
        <v>452</v>
      </c>
      <c r="E487" s="108" t="s">
        <v>12131</v>
      </c>
      <c r="F487" s="139" t="s">
        <v>12132</v>
      </c>
      <c r="G487" s="140" t="s">
        <v>12133</v>
      </c>
      <c r="H487" s="140" t="s">
        <v>12134</v>
      </c>
      <c r="I487" s="141" t="s">
        <v>765</v>
      </c>
      <c r="J487" s="142" t="s">
        <v>765</v>
      </c>
      <c r="K487" s="142" t="s">
        <v>765</v>
      </c>
      <c r="L487" s="142" t="s">
        <v>765</v>
      </c>
      <c r="M487" s="142" t="s">
        <v>765</v>
      </c>
      <c r="N487" s="142" t="s">
        <v>765</v>
      </c>
      <c r="O487" s="138" t="s">
        <v>765</v>
      </c>
      <c r="P487" s="105"/>
      <c r="Q487" s="137"/>
      <c r="R487" s="138"/>
      <c r="S487" s="105"/>
      <c r="T487" s="105">
        <v>20</v>
      </c>
      <c r="U487" s="105"/>
      <c r="V487" s="137"/>
      <c r="W487" s="138"/>
      <c r="X487" s="137"/>
      <c r="Y487" s="138"/>
      <c r="Z487" s="105"/>
      <c r="AA487" s="105"/>
      <c r="AB487" s="105"/>
      <c r="AC487" s="105"/>
      <c r="AD487" s="144">
        <v>46174</v>
      </c>
      <c r="AE487" s="108" t="s">
        <v>12135</v>
      </c>
    </row>
    <row r="488" spans="1:31" s="65" customFormat="1" ht="27" customHeight="1" x14ac:dyDescent="0.15">
      <c r="A488" s="150">
        <v>1111150031</v>
      </c>
      <c r="B488" s="106" t="s">
        <v>871</v>
      </c>
      <c r="C488" s="107" t="s">
        <v>888</v>
      </c>
      <c r="D488" s="108" t="s">
        <v>889</v>
      </c>
      <c r="E488" s="108" t="s">
        <v>912</v>
      </c>
      <c r="F488" s="230">
        <v>3450014</v>
      </c>
      <c r="G488" s="132" t="s">
        <v>913</v>
      </c>
      <c r="H488" s="132" t="s">
        <v>914</v>
      </c>
      <c r="I488" s="116"/>
      <c r="J488" s="154"/>
      <c r="K488" s="154"/>
      <c r="L488" s="154"/>
      <c r="M488" s="154" t="s">
        <v>939</v>
      </c>
      <c r="N488" s="143"/>
      <c r="O488" s="138"/>
      <c r="P488" s="105">
        <v>50</v>
      </c>
      <c r="Q488" s="137" t="s">
        <v>2681</v>
      </c>
      <c r="R488" s="138">
        <v>7</v>
      </c>
      <c r="S488" s="105"/>
      <c r="T488" s="105">
        <v>50</v>
      </c>
      <c r="U488" s="105"/>
      <c r="V488" s="137"/>
      <c r="W488" s="138"/>
      <c r="X488" s="137"/>
      <c r="Y488" s="138"/>
      <c r="Z488" s="105"/>
      <c r="AA488" s="105"/>
      <c r="AB488" s="105"/>
      <c r="AC488" s="105"/>
      <c r="AD488" s="118">
        <v>40269</v>
      </c>
      <c r="AE488" s="108" t="s">
        <v>998</v>
      </c>
    </row>
    <row r="489" spans="1:31" s="65" customFormat="1" ht="27" customHeight="1" x14ac:dyDescent="0.15">
      <c r="A489" s="150">
        <v>1111150049</v>
      </c>
      <c r="B489" s="106" t="s">
        <v>871</v>
      </c>
      <c r="C489" s="107" t="s">
        <v>1772</v>
      </c>
      <c r="D489" s="108" t="s">
        <v>889</v>
      </c>
      <c r="E489" s="108" t="s">
        <v>1773</v>
      </c>
      <c r="F489" s="230">
        <v>3450034</v>
      </c>
      <c r="G489" s="132" t="s">
        <v>1774</v>
      </c>
      <c r="H489" s="132" t="s">
        <v>1775</v>
      </c>
      <c r="I489" s="116"/>
      <c r="J489" s="154"/>
      <c r="K489" s="154"/>
      <c r="L489" s="154"/>
      <c r="M489" s="154" t="s">
        <v>49</v>
      </c>
      <c r="N489" s="143"/>
      <c r="O489" s="138"/>
      <c r="P489" s="105"/>
      <c r="Q489" s="137"/>
      <c r="R489" s="138"/>
      <c r="S489" s="105"/>
      <c r="T489" s="105">
        <v>15</v>
      </c>
      <c r="U489" s="105"/>
      <c r="V489" s="137"/>
      <c r="W489" s="138"/>
      <c r="X489" s="137"/>
      <c r="Y489" s="138"/>
      <c r="Z489" s="105"/>
      <c r="AA489" s="105">
        <v>15</v>
      </c>
      <c r="AB489" s="105"/>
      <c r="AC489" s="105"/>
      <c r="AD489" s="118">
        <v>41000</v>
      </c>
      <c r="AE489" s="108" t="s">
        <v>1776</v>
      </c>
    </row>
    <row r="490" spans="1:31" s="65" customFormat="1" ht="27" customHeight="1" x14ac:dyDescent="0.15">
      <c r="A490" s="150">
        <v>1111175020</v>
      </c>
      <c r="B490" s="106" t="s">
        <v>1993</v>
      </c>
      <c r="C490" s="107" t="s">
        <v>1999</v>
      </c>
      <c r="D490" s="108" t="s">
        <v>1994</v>
      </c>
      <c r="E490" s="108" t="s">
        <v>1995</v>
      </c>
      <c r="F490" s="156" t="s">
        <v>1996</v>
      </c>
      <c r="G490" s="132" t="s">
        <v>1997</v>
      </c>
      <c r="H490" s="132" t="s">
        <v>1998</v>
      </c>
      <c r="I490" s="116"/>
      <c r="J490" s="154"/>
      <c r="K490" s="154"/>
      <c r="L490" s="154"/>
      <c r="M490" s="154" t="s">
        <v>49</v>
      </c>
      <c r="N490" s="143"/>
      <c r="O490" s="138"/>
      <c r="P490" s="105"/>
      <c r="Q490" s="152" t="s">
        <v>2610</v>
      </c>
      <c r="R490" s="138">
        <v>5</v>
      </c>
      <c r="S490" s="105">
        <v>72</v>
      </c>
      <c r="T490" s="105">
        <v>10</v>
      </c>
      <c r="U490" s="105"/>
      <c r="V490" s="137"/>
      <c r="W490" s="138"/>
      <c r="X490" s="137"/>
      <c r="Y490" s="138"/>
      <c r="Z490" s="105"/>
      <c r="AA490" s="105"/>
      <c r="AB490" s="105"/>
      <c r="AC490" s="105"/>
      <c r="AD490" s="118">
        <v>41000</v>
      </c>
      <c r="AE490" s="108" t="s">
        <v>11435</v>
      </c>
    </row>
    <row r="491" spans="1:31" s="65" customFormat="1" ht="27" customHeight="1" x14ac:dyDescent="0.15">
      <c r="A491" s="150">
        <v>1111175038</v>
      </c>
      <c r="B491" s="106" t="s">
        <v>875</v>
      </c>
      <c r="C491" s="107" t="s">
        <v>895</v>
      </c>
      <c r="D491" s="108" t="s">
        <v>896</v>
      </c>
      <c r="E491" s="108" t="s">
        <v>921</v>
      </c>
      <c r="F491" s="230">
        <v>3430114</v>
      </c>
      <c r="G491" s="132" t="s">
        <v>922</v>
      </c>
      <c r="H491" s="132" t="s">
        <v>923</v>
      </c>
      <c r="I491" s="116" t="s">
        <v>49</v>
      </c>
      <c r="J491" s="154" t="s">
        <v>49</v>
      </c>
      <c r="K491" s="154" t="s">
        <v>49</v>
      </c>
      <c r="L491" s="154" t="s">
        <v>49</v>
      </c>
      <c r="M491" s="154" t="s">
        <v>977</v>
      </c>
      <c r="N491" s="143" t="s">
        <v>977</v>
      </c>
      <c r="O491" s="138" t="s">
        <v>2170</v>
      </c>
      <c r="P491" s="105"/>
      <c r="Q491" s="137"/>
      <c r="R491" s="138"/>
      <c r="S491" s="105"/>
      <c r="T491" s="105"/>
      <c r="U491" s="105"/>
      <c r="V491" s="137"/>
      <c r="W491" s="138"/>
      <c r="X491" s="137">
        <v>6</v>
      </c>
      <c r="Y491" s="138"/>
      <c r="Z491" s="105"/>
      <c r="AA491" s="105">
        <v>34</v>
      </c>
      <c r="AB491" s="105"/>
      <c r="AC491" s="105"/>
      <c r="AD491" s="118">
        <v>40269</v>
      </c>
      <c r="AE491" s="108" t="s">
        <v>4219</v>
      </c>
    </row>
    <row r="492" spans="1:31" s="65" customFormat="1" ht="27" customHeight="1" x14ac:dyDescent="0.15">
      <c r="A492" s="150">
        <v>1111175111</v>
      </c>
      <c r="B492" s="130" t="s">
        <v>1151</v>
      </c>
      <c r="C492" s="107" t="s">
        <v>1152</v>
      </c>
      <c r="D492" s="108" t="s">
        <v>889</v>
      </c>
      <c r="E492" s="108" t="s">
        <v>1153</v>
      </c>
      <c r="F492" s="264">
        <v>3450034</v>
      </c>
      <c r="G492" s="105" t="s">
        <v>1154</v>
      </c>
      <c r="H492" s="105" t="s">
        <v>1154</v>
      </c>
      <c r="I492" s="116"/>
      <c r="J492" s="154"/>
      <c r="K492" s="154"/>
      <c r="L492" s="154"/>
      <c r="M492" s="154" t="s">
        <v>49</v>
      </c>
      <c r="N492" s="143"/>
      <c r="O492" s="138"/>
      <c r="P492" s="105"/>
      <c r="Q492" s="137"/>
      <c r="R492" s="138"/>
      <c r="S492" s="105"/>
      <c r="T492" s="105">
        <v>25</v>
      </c>
      <c r="U492" s="105"/>
      <c r="V492" s="137"/>
      <c r="W492" s="138"/>
      <c r="X492" s="137"/>
      <c r="Y492" s="138"/>
      <c r="Z492" s="105"/>
      <c r="AA492" s="105"/>
      <c r="AB492" s="105"/>
      <c r="AC492" s="105"/>
      <c r="AD492" s="118">
        <v>40634</v>
      </c>
      <c r="AE492" s="108" t="s">
        <v>1155</v>
      </c>
    </row>
    <row r="493" spans="1:31" ht="27" customHeight="1" x14ac:dyDescent="0.15">
      <c r="A493" s="132">
        <v>1111175137</v>
      </c>
      <c r="B493" s="130" t="s">
        <v>1815</v>
      </c>
      <c r="C493" s="108" t="s">
        <v>1814</v>
      </c>
      <c r="D493" s="108" t="s">
        <v>1916</v>
      </c>
      <c r="E493" s="108" t="s">
        <v>1917</v>
      </c>
      <c r="F493" s="264" t="s">
        <v>1918</v>
      </c>
      <c r="G493" s="105" t="s">
        <v>1919</v>
      </c>
      <c r="H493" s="105" t="s">
        <v>1816</v>
      </c>
      <c r="I493" s="116" t="s">
        <v>1920</v>
      </c>
      <c r="J493" s="154" t="s">
        <v>1920</v>
      </c>
      <c r="K493" s="154" t="s">
        <v>1920</v>
      </c>
      <c r="L493" s="154"/>
      <c r="M493" s="154" t="s">
        <v>1920</v>
      </c>
      <c r="N493" s="143"/>
      <c r="O493" s="138"/>
      <c r="P493" s="105"/>
      <c r="Q493" s="137"/>
      <c r="R493" s="138"/>
      <c r="S493" s="105"/>
      <c r="T493" s="105">
        <v>15</v>
      </c>
      <c r="U493" s="105"/>
      <c r="V493" s="137"/>
      <c r="W493" s="138"/>
      <c r="X493" s="137"/>
      <c r="Y493" s="138"/>
      <c r="Z493" s="105"/>
      <c r="AA493" s="105">
        <v>10</v>
      </c>
      <c r="AB493" s="105"/>
      <c r="AC493" s="105"/>
      <c r="AD493" s="118">
        <v>41000</v>
      </c>
      <c r="AE493" s="108" t="s">
        <v>1921</v>
      </c>
    </row>
    <row r="494" spans="1:31" ht="27" customHeight="1" x14ac:dyDescent="0.15">
      <c r="A494" s="105">
        <v>1111175152</v>
      </c>
      <c r="B494" s="130" t="s">
        <v>2162</v>
      </c>
      <c r="C494" s="108" t="s">
        <v>2163</v>
      </c>
      <c r="D494" s="108" t="s">
        <v>2165</v>
      </c>
      <c r="E494" s="108" t="s">
        <v>2180</v>
      </c>
      <c r="F494" s="131" t="s">
        <v>2181</v>
      </c>
      <c r="G494" s="132" t="s">
        <v>2182</v>
      </c>
      <c r="H494" s="132" t="s">
        <v>2164</v>
      </c>
      <c r="I494" s="133"/>
      <c r="J494" s="134"/>
      <c r="K494" s="134"/>
      <c r="L494" s="134"/>
      <c r="M494" s="134" t="s">
        <v>2184</v>
      </c>
      <c r="N494" s="135"/>
      <c r="O494" s="136"/>
      <c r="P494" s="132"/>
      <c r="Q494" s="152"/>
      <c r="R494" s="136"/>
      <c r="S494" s="132"/>
      <c r="T494" s="132">
        <v>20</v>
      </c>
      <c r="U494" s="132"/>
      <c r="V494" s="152"/>
      <c r="W494" s="136"/>
      <c r="X494" s="152"/>
      <c r="Y494" s="136"/>
      <c r="Z494" s="132"/>
      <c r="AA494" s="105"/>
      <c r="AB494" s="105"/>
      <c r="AC494" s="105"/>
      <c r="AD494" s="118">
        <v>41365</v>
      </c>
      <c r="AE494" s="108" t="s">
        <v>2183</v>
      </c>
    </row>
    <row r="495" spans="1:31" ht="27" customHeight="1" x14ac:dyDescent="0.15">
      <c r="A495" s="150">
        <v>1111175194</v>
      </c>
      <c r="B495" s="130" t="s">
        <v>2819</v>
      </c>
      <c r="C495" s="108" t="s">
        <v>2820</v>
      </c>
      <c r="D495" s="108" t="s">
        <v>2165</v>
      </c>
      <c r="E495" s="108" t="s">
        <v>2821</v>
      </c>
      <c r="F495" s="230" t="s">
        <v>2822</v>
      </c>
      <c r="G495" s="132" t="s">
        <v>2823</v>
      </c>
      <c r="H495" s="132" t="s">
        <v>2823</v>
      </c>
      <c r="I495" s="116"/>
      <c r="J495" s="154"/>
      <c r="K495" s="154"/>
      <c r="L495" s="154"/>
      <c r="M495" s="154" t="s">
        <v>2824</v>
      </c>
      <c r="N495" s="143"/>
      <c r="O495" s="138"/>
      <c r="P495" s="105"/>
      <c r="Q495" s="116"/>
      <c r="R495" s="138"/>
      <c r="S495" s="105"/>
      <c r="T495" s="105"/>
      <c r="U495" s="105"/>
      <c r="V495" s="116"/>
      <c r="W495" s="138"/>
      <c r="X495" s="116"/>
      <c r="Y495" s="138"/>
      <c r="Z495" s="105"/>
      <c r="AA495" s="105">
        <v>20</v>
      </c>
      <c r="AB495" s="105"/>
      <c r="AC495" s="105"/>
      <c r="AD495" s="118">
        <v>42095</v>
      </c>
      <c r="AE495" s="108" t="s">
        <v>2825</v>
      </c>
    </row>
    <row r="496" spans="1:31" ht="27" customHeight="1" x14ac:dyDescent="0.15">
      <c r="A496" s="105">
        <v>1111175269</v>
      </c>
      <c r="B496" s="106" t="s">
        <v>4059</v>
      </c>
      <c r="C496" s="107" t="s">
        <v>4060</v>
      </c>
      <c r="D496" s="108" t="s">
        <v>4061</v>
      </c>
      <c r="E496" s="108" t="s">
        <v>4062</v>
      </c>
      <c r="F496" s="139" t="s">
        <v>4063</v>
      </c>
      <c r="G496" s="140" t="s">
        <v>4064</v>
      </c>
      <c r="H496" s="140" t="s">
        <v>4065</v>
      </c>
      <c r="I496" s="141" t="s">
        <v>4058</v>
      </c>
      <c r="J496" s="142" t="s">
        <v>4058</v>
      </c>
      <c r="K496" s="142" t="s">
        <v>4058</v>
      </c>
      <c r="L496" s="142" t="s">
        <v>4058</v>
      </c>
      <c r="M496" s="142" t="s">
        <v>4058</v>
      </c>
      <c r="N496" s="143" t="s">
        <v>4058</v>
      </c>
      <c r="O496" s="138" t="s">
        <v>4058</v>
      </c>
      <c r="P496" s="105"/>
      <c r="Q496" s="137"/>
      <c r="R496" s="138"/>
      <c r="S496" s="105"/>
      <c r="T496" s="105">
        <v>20</v>
      </c>
      <c r="U496" s="105"/>
      <c r="V496" s="137"/>
      <c r="W496" s="138"/>
      <c r="X496" s="137"/>
      <c r="Y496" s="138"/>
      <c r="Z496" s="105"/>
      <c r="AA496" s="105"/>
      <c r="AB496" s="105"/>
      <c r="AC496" s="105"/>
      <c r="AD496" s="144">
        <v>43040</v>
      </c>
      <c r="AE496" s="108" t="s">
        <v>4218</v>
      </c>
    </row>
    <row r="497" spans="1:31" s="65" customFormat="1" ht="27" customHeight="1" x14ac:dyDescent="0.15">
      <c r="A497" s="105">
        <v>1111175277</v>
      </c>
      <c r="B497" s="106" t="s">
        <v>4192</v>
      </c>
      <c r="C497" s="107" t="s">
        <v>4193</v>
      </c>
      <c r="D497" s="108" t="s">
        <v>4061</v>
      </c>
      <c r="E497" s="108" t="s">
        <v>4194</v>
      </c>
      <c r="F497" s="139" t="s">
        <v>3500</v>
      </c>
      <c r="G497" s="140" t="s">
        <v>4195</v>
      </c>
      <c r="H497" s="140" t="s">
        <v>4196</v>
      </c>
      <c r="I497" s="141"/>
      <c r="J497" s="142"/>
      <c r="K497" s="142"/>
      <c r="L497" s="142"/>
      <c r="M497" s="142" t="s">
        <v>49</v>
      </c>
      <c r="N497" s="143"/>
      <c r="O497" s="138"/>
      <c r="P497" s="105"/>
      <c r="Q497" s="137"/>
      <c r="R497" s="138"/>
      <c r="S497" s="105"/>
      <c r="T497" s="105">
        <v>10</v>
      </c>
      <c r="U497" s="105"/>
      <c r="V497" s="137"/>
      <c r="W497" s="138"/>
      <c r="X497" s="137"/>
      <c r="Y497" s="138"/>
      <c r="Z497" s="105"/>
      <c r="AA497" s="105">
        <v>10</v>
      </c>
      <c r="AB497" s="105"/>
      <c r="AC497" s="105"/>
      <c r="AD497" s="144">
        <v>43101</v>
      </c>
      <c r="AE497" s="108" t="s">
        <v>4217</v>
      </c>
    </row>
    <row r="498" spans="1:31" ht="27" customHeight="1" x14ac:dyDescent="0.15">
      <c r="A498" s="105">
        <v>1111175319</v>
      </c>
      <c r="B498" s="106" t="s">
        <v>4954</v>
      </c>
      <c r="C498" s="107" t="s">
        <v>4955</v>
      </c>
      <c r="D498" s="108" t="s">
        <v>1994</v>
      </c>
      <c r="E498" s="108" t="s">
        <v>4956</v>
      </c>
      <c r="F498" s="139" t="s">
        <v>4957</v>
      </c>
      <c r="G498" s="140" t="s">
        <v>4958</v>
      </c>
      <c r="H498" s="140" t="s">
        <v>4958</v>
      </c>
      <c r="I498" s="141"/>
      <c r="J498" s="142"/>
      <c r="K498" s="142"/>
      <c r="L498" s="142"/>
      <c r="M498" s="142" t="s">
        <v>4959</v>
      </c>
      <c r="N498" s="177"/>
      <c r="O498" s="176"/>
      <c r="P498" s="105"/>
      <c r="Q498" s="137"/>
      <c r="R498" s="138"/>
      <c r="S498" s="105"/>
      <c r="T498" s="105">
        <v>20</v>
      </c>
      <c r="U498" s="105"/>
      <c r="V498" s="137"/>
      <c r="W498" s="138"/>
      <c r="X498" s="137"/>
      <c r="Y498" s="138"/>
      <c r="Z498" s="105"/>
      <c r="AA498" s="105"/>
      <c r="AB498" s="105"/>
      <c r="AC498" s="105"/>
      <c r="AD498" s="144">
        <v>43556</v>
      </c>
      <c r="AE498" s="108" t="s">
        <v>4960</v>
      </c>
    </row>
    <row r="499" spans="1:31" s="65" customFormat="1" ht="27" customHeight="1" x14ac:dyDescent="0.15">
      <c r="A499" s="175">
        <v>1111175442</v>
      </c>
      <c r="B499" s="162" t="s">
        <v>12257</v>
      </c>
      <c r="C499" s="162" t="s">
        <v>12258</v>
      </c>
      <c r="D499" s="162" t="s">
        <v>1994</v>
      </c>
      <c r="E499" s="162" t="s">
        <v>12259</v>
      </c>
      <c r="F499" s="309" t="s">
        <v>4957</v>
      </c>
      <c r="G499" s="175" t="s">
        <v>12260</v>
      </c>
      <c r="H499" s="175" t="s">
        <v>12261</v>
      </c>
      <c r="I499" s="178" t="s">
        <v>765</v>
      </c>
      <c r="J499" s="170" t="s">
        <v>765</v>
      </c>
      <c r="K499" s="170" t="s">
        <v>765</v>
      </c>
      <c r="L499" s="170" t="s">
        <v>765</v>
      </c>
      <c r="M499" s="170" t="s">
        <v>49</v>
      </c>
      <c r="N499" s="148"/>
      <c r="O499" s="170" t="s">
        <v>49</v>
      </c>
      <c r="P499" s="175"/>
      <c r="Q499" s="209"/>
      <c r="R499" s="210"/>
      <c r="S499" s="175"/>
      <c r="T499" s="175">
        <v>7</v>
      </c>
      <c r="U499" s="175"/>
      <c r="V499" s="209"/>
      <c r="W499" s="210"/>
      <c r="X499" s="209"/>
      <c r="Y499" s="210"/>
      <c r="Z499" s="175"/>
      <c r="AA499" s="175"/>
      <c r="AB499" s="175"/>
      <c r="AC499" s="175"/>
      <c r="AD499" s="211">
        <v>46204</v>
      </c>
      <c r="AE499" s="308"/>
    </row>
    <row r="500" spans="1:31" s="65" customFormat="1" ht="27" customHeight="1" x14ac:dyDescent="0.15">
      <c r="A500" s="105">
        <v>1111175335</v>
      </c>
      <c r="B500" s="130" t="s">
        <v>5536</v>
      </c>
      <c r="C500" s="108" t="s">
        <v>5537</v>
      </c>
      <c r="D500" s="108" t="s">
        <v>7523</v>
      </c>
      <c r="E500" s="108" t="s">
        <v>5538</v>
      </c>
      <c r="F500" s="131">
        <v>3450023</v>
      </c>
      <c r="G500" s="152" t="s">
        <v>5539</v>
      </c>
      <c r="H500" s="132" t="s">
        <v>5539</v>
      </c>
      <c r="I500" s="183" t="s">
        <v>5540</v>
      </c>
      <c r="J500" s="134" t="s">
        <v>5540</v>
      </c>
      <c r="K500" s="134" t="s">
        <v>5540</v>
      </c>
      <c r="L500" s="134" t="s">
        <v>5540</v>
      </c>
      <c r="M500" s="134" t="s">
        <v>5540</v>
      </c>
      <c r="N500" s="135" t="s">
        <v>765</v>
      </c>
      <c r="O500" s="136" t="s">
        <v>5540</v>
      </c>
      <c r="P500" s="105"/>
      <c r="Q500" s="137"/>
      <c r="R500" s="138"/>
      <c r="S500" s="105"/>
      <c r="T500" s="105"/>
      <c r="U500" s="105"/>
      <c r="V500" s="137"/>
      <c r="W500" s="138"/>
      <c r="X500" s="137"/>
      <c r="Y500" s="138"/>
      <c r="Z500" s="105"/>
      <c r="AA500" s="105">
        <v>20</v>
      </c>
      <c r="AB500" s="105"/>
      <c r="AC500" s="105"/>
      <c r="AD500" s="118">
        <v>43831</v>
      </c>
      <c r="AE500" s="108" t="s">
        <v>5541</v>
      </c>
    </row>
    <row r="501" spans="1:31" s="65" customFormat="1" ht="27" customHeight="1" x14ac:dyDescent="0.15">
      <c r="A501" s="105">
        <v>1111175384</v>
      </c>
      <c r="B501" s="157" t="s">
        <v>7942</v>
      </c>
      <c r="C501" s="108" t="s">
        <v>7943</v>
      </c>
      <c r="D501" s="108" t="s">
        <v>7523</v>
      </c>
      <c r="E501" s="108" t="s">
        <v>7944</v>
      </c>
      <c r="F501" s="264" t="s">
        <v>7945</v>
      </c>
      <c r="G501" s="105" t="s">
        <v>7946</v>
      </c>
      <c r="H501" s="105"/>
      <c r="I501" s="160"/>
      <c r="J501" s="142"/>
      <c r="K501" s="142"/>
      <c r="L501" s="142"/>
      <c r="M501" s="142" t="s">
        <v>765</v>
      </c>
      <c r="N501" s="143" t="s">
        <v>765</v>
      </c>
      <c r="O501" s="138"/>
      <c r="P501" s="105"/>
      <c r="Q501" s="116"/>
      <c r="R501" s="117"/>
      <c r="S501" s="105"/>
      <c r="T501" s="105"/>
      <c r="U501" s="105"/>
      <c r="V501" s="137"/>
      <c r="W501" s="138"/>
      <c r="X501" s="116"/>
      <c r="Y501" s="117"/>
      <c r="Z501" s="105"/>
      <c r="AA501" s="105">
        <v>20</v>
      </c>
      <c r="AB501" s="105"/>
      <c r="AC501" s="105"/>
      <c r="AD501" s="144">
        <v>44866</v>
      </c>
      <c r="AE501" s="157" t="s">
        <v>7947</v>
      </c>
    </row>
    <row r="502" spans="1:31" s="65" customFormat="1" ht="27" customHeight="1" x14ac:dyDescent="0.15">
      <c r="A502" s="105">
        <v>1111200075</v>
      </c>
      <c r="B502" s="130" t="s">
        <v>73</v>
      </c>
      <c r="C502" s="108" t="s">
        <v>1211</v>
      </c>
      <c r="D502" s="108" t="s">
        <v>73</v>
      </c>
      <c r="E502" s="108" t="s">
        <v>2469</v>
      </c>
      <c r="F502" s="131">
        <v>3410025</v>
      </c>
      <c r="G502" s="132" t="s">
        <v>1210</v>
      </c>
      <c r="H502" s="132" t="s">
        <v>1209</v>
      </c>
      <c r="I502" s="133"/>
      <c r="J502" s="134"/>
      <c r="K502" s="134"/>
      <c r="L502" s="134"/>
      <c r="M502" s="134" t="s">
        <v>1196</v>
      </c>
      <c r="N502" s="135"/>
      <c r="O502" s="136"/>
      <c r="P502" s="132"/>
      <c r="Q502" s="152"/>
      <c r="R502" s="136"/>
      <c r="S502" s="132"/>
      <c r="T502" s="105">
        <v>20</v>
      </c>
      <c r="U502" s="132"/>
      <c r="V502" s="152"/>
      <c r="W502" s="136"/>
      <c r="X502" s="152"/>
      <c r="Y502" s="136"/>
      <c r="Z502" s="132"/>
      <c r="AA502" s="105">
        <v>35</v>
      </c>
      <c r="AB502" s="105"/>
      <c r="AC502" s="105"/>
      <c r="AD502" s="155">
        <v>40634</v>
      </c>
      <c r="AE502" s="108" t="s">
        <v>1208</v>
      </c>
    </row>
    <row r="503" spans="1:31" s="65" customFormat="1" ht="27" customHeight="1" x14ac:dyDescent="0.15">
      <c r="A503" s="175">
        <v>1111200166</v>
      </c>
      <c r="B503" s="204" t="s">
        <v>761</v>
      </c>
      <c r="C503" s="162" t="s">
        <v>5270</v>
      </c>
      <c r="D503" s="108" t="s">
        <v>73</v>
      </c>
      <c r="E503" s="108" t="s">
        <v>2520</v>
      </c>
      <c r="F503" s="131">
        <v>3410018</v>
      </c>
      <c r="G503" s="132" t="s">
        <v>610</v>
      </c>
      <c r="H503" s="132" t="s">
        <v>625</v>
      </c>
      <c r="I503" s="133"/>
      <c r="J503" s="134"/>
      <c r="K503" s="134"/>
      <c r="L503" s="134"/>
      <c r="M503" s="134" t="s">
        <v>5271</v>
      </c>
      <c r="N503" s="135" t="s">
        <v>5271</v>
      </c>
      <c r="O503" s="136"/>
      <c r="P503" s="105"/>
      <c r="Q503" s="137"/>
      <c r="R503" s="138"/>
      <c r="S503" s="105"/>
      <c r="T503" s="105">
        <v>15</v>
      </c>
      <c r="U503" s="105"/>
      <c r="V503" s="137"/>
      <c r="W503" s="138"/>
      <c r="X503" s="137"/>
      <c r="Y503" s="138"/>
      <c r="Z503" s="105"/>
      <c r="AA503" s="105">
        <v>14</v>
      </c>
      <c r="AB503" s="105"/>
      <c r="AC503" s="105"/>
      <c r="AD503" s="144">
        <v>38991</v>
      </c>
      <c r="AE503" s="108" t="s">
        <v>290</v>
      </c>
    </row>
    <row r="504" spans="1:31" ht="27" customHeight="1" x14ac:dyDescent="0.15">
      <c r="A504" s="132">
        <v>1111200174</v>
      </c>
      <c r="B504" s="130" t="s">
        <v>762</v>
      </c>
      <c r="C504" s="108" t="s">
        <v>529</v>
      </c>
      <c r="D504" s="108" t="s">
        <v>73</v>
      </c>
      <c r="E504" s="108" t="s">
        <v>135</v>
      </c>
      <c r="F504" s="131">
        <v>3410012</v>
      </c>
      <c r="G504" s="132" t="s">
        <v>611</v>
      </c>
      <c r="H504" s="132" t="s">
        <v>611</v>
      </c>
      <c r="I504" s="133"/>
      <c r="J504" s="134"/>
      <c r="K504" s="134"/>
      <c r="L504" s="134"/>
      <c r="M504" s="134" t="s">
        <v>2333</v>
      </c>
      <c r="N504" s="135"/>
      <c r="O504" s="136"/>
      <c r="P504" s="105"/>
      <c r="Q504" s="137"/>
      <c r="R504" s="138"/>
      <c r="S504" s="105"/>
      <c r="T504" s="105">
        <v>35</v>
      </c>
      <c r="U504" s="105"/>
      <c r="V504" s="137"/>
      <c r="W504" s="138"/>
      <c r="X504" s="137"/>
      <c r="Y504" s="138"/>
      <c r="Z504" s="105"/>
      <c r="AA504" s="105">
        <v>20</v>
      </c>
      <c r="AB504" s="105"/>
      <c r="AC504" s="105"/>
      <c r="AD504" s="118">
        <v>39173</v>
      </c>
      <c r="AE504" s="108" t="s">
        <v>291</v>
      </c>
    </row>
    <row r="505" spans="1:31" ht="27" customHeight="1" x14ac:dyDescent="0.15">
      <c r="A505" s="105">
        <v>1111200232</v>
      </c>
      <c r="B505" s="106" t="s">
        <v>1591</v>
      </c>
      <c r="C505" s="107" t="s">
        <v>1588</v>
      </c>
      <c r="D505" s="108" t="s">
        <v>73</v>
      </c>
      <c r="E505" s="108" t="s">
        <v>8305</v>
      </c>
      <c r="F505" s="131">
        <v>3410008</v>
      </c>
      <c r="G505" s="132" t="s">
        <v>1589</v>
      </c>
      <c r="H505" s="132" t="s">
        <v>1589</v>
      </c>
      <c r="I505" s="133"/>
      <c r="J505" s="134"/>
      <c r="K505" s="134"/>
      <c r="L505" s="134"/>
      <c r="M505" s="134" t="s">
        <v>49</v>
      </c>
      <c r="N505" s="135"/>
      <c r="O505" s="136"/>
      <c r="P505" s="105"/>
      <c r="Q505" s="137"/>
      <c r="R505" s="138"/>
      <c r="S505" s="105"/>
      <c r="T505" s="105"/>
      <c r="U505" s="105"/>
      <c r="V505" s="137"/>
      <c r="W505" s="138"/>
      <c r="X505" s="137"/>
      <c r="Y505" s="138"/>
      <c r="Z505" s="105"/>
      <c r="AA505" s="105">
        <v>20</v>
      </c>
      <c r="AB505" s="105"/>
      <c r="AC505" s="105"/>
      <c r="AD505" s="118">
        <v>40909</v>
      </c>
      <c r="AE505" s="108" t="s">
        <v>1590</v>
      </c>
    </row>
    <row r="506" spans="1:31" s="198" customFormat="1" ht="27" customHeight="1" x14ac:dyDescent="0.15">
      <c r="A506" s="132">
        <v>1111200240</v>
      </c>
      <c r="B506" s="130" t="s">
        <v>1659</v>
      </c>
      <c r="C506" s="108" t="s">
        <v>1660</v>
      </c>
      <c r="D506" s="108" t="s">
        <v>73</v>
      </c>
      <c r="E506" s="108" t="s">
        <v>1661</v>
      </c>
      <c r="F506" s="131" t="s">
        <v>3055</v>
      </c>
      <c r="G506" s="132" t="s">
        <v>3302</v>
      </c>
      <c r="H506" s="132" t="s">
        <v>3303</v>
      </c>
      <c r="I506" s="133" t="s">
        <v>765</v>
      </c>
      <c r="J506" s="134"/>
      <c r="K506" s="134"/>
      <c r="L506" s="134" t="s">
        <v>765</v>
      </c>
      <c r="M506" s="134" t="s">
        <v>765</v>
      </c>
      <c r="N506" s="135" t="s">
        <v>765</v>
      </c>
      <c r="O506" s="136" t="s">
        <v>765</v>
      </c>
      <c r="P506" s="105"/>
      <c r="Q506" s="137"/>
      <c r="R506" s="138"/>
      <c r="S506" s="105"/>
      <c r="T506" s="105"/>
      <c r="U506" s="105"/>
      <c r="V506" s="137"/>
      <c r="W506" s="138"/>
      <c r="X506" s="137">
        <v>20</v>
      </c>
      <c r="Y506" s="138"/>
      <c r="Z506" s="105"/>
      <c r="AA506" s="105"/>
      <c r="AB506" s="105"/>
      <c r="AC506" s="105"/>
      <c r="AD506" s="118">
        <v>40969</v>
      </c>
      <c r="AE506" s="108" t="s">
        <v>1662</v>
      </c>
    </row>
    <row r="507" spans="1:31" s="65" customFormat="1" ht="27" customHeight="1" x14ac:dyDescent="0.15">
      <c r="A507" s="105">
        <v>1111200265</v>
      </c>
      <c r="B507" s="130" t="s">
        <v>1723</v>
      </c>
      <c r="C507" s="108" t="s">
        <v>1722</v>
      </c>
      <c r="D507" s="108" t="s">
        <v>73</v>
      </c>
      <c r="E507" s="108" t="s">
        <v>1721</v>
      </c>
      <c r="F507" s="131">
        <v>3410034</v>
      </c>
      <c r="G507" s="132" t="s">
        <v>1720</v>
      </c>
      <c r="H507" s="132" t="s">
        <v>1719</v>
      </c>
      <c r="I507" s="133"/>
      <c r="J507" s="134"/>
      <c r="K507" s="134"/>
      <c r="L507" s="134"/>
      <c r="M507" s="134" t="s">
        <v>1702</v>
      </c>
      <c r="N507" s="135"/>
      <c r="O507" s="136"/>
      <c r="P507" s="105"/>
      <c r="Q507" s="137"/>
      <c r="R507" s="138"/>
      <c r="S507" s="105"/>
      <c r="T507" s="105">
        <v>20</v>
      </c>
      <c r="U507" s="105"/>
      <c r="V507" s="116"/>
      <c r="W507" s="117"/>
      <c r="X507" s="116"/>
      <c r="Y507" s="138"/>
      <c r="Z507" s="105"/>
      <c r="AA507" s="105"/>
      <c r="AB507" s="105"/>
      <c r="AC507" s="105"/>
      <c r="AD507" s="118">
        <v>41000</v>
      </c>
      <c r="AE507" s="108" t="s">
        <v>8320</v>
      </c>
    </row>
    <row r="508" spans="1:31" s="65" customFormat="1" ht="27" customHeight="1" x14ac:dyDescent="0.15">
      <c r="A508" s="105">
        <v>1111200448</v>
      </c>
      <c r="B508" s="106" t="s">
        <v>3717</v>
      </c>
      <c r="C508" s="107" t="s">
        <v>3121</v>
      </c>
      <c r="D508" s="108" t="s">
        <v>73</v>
      </c>
      <c r="E508" s="108" t="s">
        <v>3122</v>
      </c>
      <c r="F508" s="139" t="s">
        <v>3718</v>
      </c>
      <c r="G508" s="140" t="s">
        <v>3719</v>
      </c>
      <c r="H508" s="140" t="s">
        <v>3720</v>
      </c>
      <c r="I508" s="141"/>
      <c r="J508" s="142" t="s">
        <v>3721</v>
      </c>
      <c r="K508" s="142" t="s">
        <v>3721</v>
      </c>
      <c r="L508" s="142" t="s">
        <v>3721</v>
      </c>
      <c r="M508" s="142" t="s">
        <v>3721</v>
      </c>
      <c r="N508" s="143" t="s">
        <v>3721</v>
      </c>
      <c r="O508" s="138" t="s">
        <v>3721</v>
      </c>
      <c r="P508" s="105"/>
      <c r="Q508" s="137"/>
      <c r="R508" s="138"/>
      <c r="S508" s="105"/>
      <c r="T508" s="105"/>
      <c r="U508" s="105"/>
      <c r="V508" s="137"/>
      <c r="W508" s="138"/>
      <c r="X508" s="137"/>
      <c r="Y508" s="138"/>
      <c r="Z508" s="105">
        <v>20</v>
      </c>
      <c r="AA508" s="105"/>
      <c r="AB508" s="105"/>
      <c r="AC508" s="105"/>
      <c r="AD508" s="144">
        <v>42767</v>
      </c>
      <c r="AE508" s="108" t="s">
        <v>3123</v>
      </c>
    </row>
    <row r="509" spans="1:31" ht="27" customHeight="1" x14ac:dyDescent="0.15">
      <c r="A509" s="105">
        <v>1111200455</v>
      </c>
      <c r="B509" s="106" t="s">
        <v>3786</v>
      </c>
      <c r="C509" s="107" t="s">
        <v>3787</v>
      </c>
      <c r="D509" s="108" t="s">
        <v>73</v>
      </c>
      <c r="E509" s="108" t="s">
        <v>3839</v>
      </c>
      <c r="F509" s="139" t="s">
        <v>3788</v>
      </c>
      <c r="G509" s="140" t="s">
        <v>4432</v>
      </c>
      <c r="H509" s="140" t="s">
        <v>4433</v>
      </c>
      <c r="I509" s="141"/>
      <c r="J509" s="142"/>
      <c r="K509" s="142"/>
      <c r="L509" s="142" t="s">
        <v>3789</v>
      </c>
      <c r="M509" s="142" t="s">
        <v>3789</v>
      </c>
      <c r="N509" s="143" t="s">
        <v>3789</v>
      </c>
      <c r="O509" s="138" t="s">
        <v>3789</v>
      </c>
      <c r="P509" s="105"/>
      <c r="Q509" s="137"/>
      <c r="R509" s="138"/>
      <c r="S509" s="105"/>
      <c r="T509" s="105"/>
      <c r="U509" s="105"/>
      <c r="V509" s="137"/>
      <c r="W509" s="138"/>
      <c r="X509" s="137"/>
      <c r="Y509" s="138"/>
      <c r="Z509" s="105">
        <v>20</v>
      </c>
      <c r="AA509" s="105"/>
      <c r="AB509" s="105"/>
      <c r="AC509" s="105"/>
      <c r="AD509" s="118">
        <v>42826</v>
      </c>
      <c r="AE509" s="108" t="s">
        <v>3790</v>
      </c>
    </row>
    <row r="510" spans="1:31" ht="27" customHeight="1" x14ac:dyDescent="0.15">
      <c r="A510" s="105">
        <v>1111200471</v>
      </c>
      <c r="B510" s="130" t="s">
        <v>3425</v>
      </c>
      <c r="C510" s="108" t="s">
        <v>4202</v>
      </c>
      <c r="D510" s="108" t="s">
        <v>73</v>
      </c>
      <c r="E510" s="108" t="s">
        <v>4220</v>
      </c>
      <c r="F510" s="131" t="s">
        <v>4203</v>
      </c>
      <c r="G510" s="132" t="s">
        <v>4204</v>
      </c>
      <c r="H510" s="132" t="s">
        <v>4205</v>
      </c>
      <c r="I510" s="133"/>
      <c r="J510" s="134"/>
      <c r="K510" s="135"/>
      <c r="L510" s="134" t="s">
        <v>4197</v>
      </c>
      <c r="M510" s="134" t="s">
        <v>4197</v>
      </c>
      <c r="N510" s="135" t="s">
        <v>4197</v>
      </c>
      <c r="O510" s="136"/>
      <c r="P510" s="105"/>
      <c r="Q510" s="137"/>
      <c r="R510" s="138"/>
      <c r="S510" s="105"/>
      <c r="T510" s="105"/>
      <c r="U510" s="105"/>
      <c r="V510" s="137"/>
      <c r="W510" s="138"/>
      <c r="X510" s="137">
        <v>20</v>
      </c>
      <c r="Y510" s="138"/>
      <c r="Z510" s="105"/>
      <c r="AA510" s="105"/>
      <c r="AB510" s="105"/>
      <c r="AC510" s="105"/>
      <c r="AD510" s="118">
        <v>43101</v>
      </c>
      <c r="AE510" s="108" t="s">
        <v>4206</v>
      </c>
    </row>
    <row r="511" spans="1:31" s="65" customFormat="1" ht="27" customHeight="1" x14ac:dyDescent="0.15">
      <c r="A511" s="105">
        <v>1111200471</v>
      </c>
      <c r="B511" s="130" t="s">
        <v>3425</v>
      </c>
      <c r="C511" s="108" t="s">
        <v>9197</v>
      </c>
      <c r="D511" s="108" t="s">
        <v>73</v>
      </c>
      <c r="E511" s="108" t="s">
        <v>4220</v>
      </c>
      <c r="F511" s="131" t="s">
        <v>4203</v>
      </c>
      <c r="G511" s="132" t="s">
        <v>4204</v>
      </c>
      <c r="H511" s="132" t="s">
        <v>4205</v>
      </c>
      <c r="I511" s="133"/>
      <c r="J511" s="134"/>
      <c r="K511" s="135"/>
      <c r="L511" s="134" t="s">
        <v>49</v>
      </c>
      <c r="M511" s="134" t="s">
        <v>49</v>
      </c>
      <c r="N511" s="135" t="s">
        <v>49</v>
      </c>
      <c r="O511" s="136"/>
      <c r="P511" s="105"/>
      <c r="Q511" s="137"/>
      <c r="R511" s="138"/>
      <c r="S511" s="105"/>
      <c r="T511" s="105"/>
      <c r="U511" s="105"/>
      <c r="V511" s="137"/>
      <c r="W511" s="138"/>
      <c r="X511" s="137"/>
      <c r="Y511" s="138"/>
      <c r="Z511" s="105"/>
      <c r="AA511" s="105"/>
      <c r="AB511" s="105" t="s">
        <v>49</v>
      </c>
      <c r="AC511" s="105"/>
      <c r="AD511" s="118">
        <v>45413</v>
      </c>
      <c r="AE511" s="108" t="s">
        <v>4206</v>
      </c>
    </row>
    <row r="512" spans="1:31" ht="27" customHeight="1" x14ac:dyDescent="0.15">
      <c r="A512" s="105">
        <v>1111200521</v>
      </c>
      <c r="B512" s="106" t="s">
        <v>4903</v>
      </c>
      <c r="C512" s="107" t="s">
        <v>4904</v>
      </c>
      <c r="D512" s="108" t="s">
        <v>73</v>
      </c>
      <c r="E512" s="108" t="s">
        <v>4905</v>
      </c>
      <c r="F512" s="139" t="s">
        <v>4906</v>
      </c>
      <c r="G512" s="140" t="s">
        <v>4907</v>
      </c>
      <c r="H512" s="140" t="s">
        <v>4908</v>
      </c>
      <c r="I512" s="141"/>
      <c r="J512" s="142"/>
      <c r="K512" s="142"/>
      <c r="L512" s="142"/>
      <c r="M512" s="142" t="s">
        <v>4909</v>
      </c>
      <c r="N512" s="177" t="s">
        <v>4909</v>
      </c>
      <c r="O512" s="176"/>
      <c r="P512" s="105"/>
      <c r="Q512" s="137"/>
      <c r="R512" s="138"/>
      <c r="S512" s="105"/>
      <c r="T512" s="105">
        <v>20</v>
      </c>
      <c r="U512" s="105"/>
      <c r="V512" s="137"/>
      <c r="W512" s="138"/>
      <c r="X512" s="137"/>
      <c r="Y512" s="138"/>
      <c r="Z512" s="105"/>
      <c r="AA512" s="105"/>
      <c r="AB512" s="105"/>
      <c r="AC512" s="105"/>
      <c r="AD512" s="144">
        <v>43525</v>
      </c>
      <c r="AE512" s="108" t="s">
        <v>4910</v>
      </c>
    </row>
    <row r="513" spans="1:31" ht="27" customHeight="1" x14ac:dyDescent="0.15">
      <c r="A513" s="105">
        <v>1111200554</v>
      </c>
      <c r="B513" s="130" t="s">
        <v>5312</v>
      </c>
      <c r="C513" s="108" t="s">
        <v>6352</v>
      </c>
      <c r="D513" s="108" t="s">
        <v>73</v>
      </c>
      <c r="E513" s="108" t="s">
        <v>6353</v>
      </c>
      <c r="F513" s="131" t="s">
        <v>4203</v>
      </c>
      <c r="G513" s="132" t="s">
        <v>6354</v>
      </c>
      <c r="H513" s="132" t="s">
        <v>6354</v>
      </c>
      <c r="I513" s="133"/>
      <c r="J513" s="134"/>
      <c r="K513" s="134"/>
      <c r="L513" s="134"/>
      <c r="M513" s="134" t="s">
        <v>49</v>
      </c>
      <c r="N513" s="134" t="s">
        <v>49</v>
      </c>
      <c r="O513" s="136"/>
      <c r="P513" s="105"/>
      <c r="Q513" s="137"/>
      <c r="R513" s="138"/>
      <c r="S513" s="105"/>
      <c r="T513" s="105"/>
      <c r="U513" s="105"/>
      <c r="V513" s="137"/>
      <c r="W513" s="138"/>
      <c r="X513" s="137"/>
      <c r="Y513" s="138"/>
      <c r="Z513" s="105"/>
      <c r="AA513" s="105">
        <v>20</v>
      </c>
      <c r="AB513" s="105"/>
      <c r="AC513" s="105"/>
      <c r="AD513" s="144">
        <v>44136</v>
      </c>
      <c r="AE513" s="108" t="s">
        <v>6355</v>
      </c>
    </row>
    <row r="514" spans="1:31" ht="27" customHeight="1" x14ac:dyDescent="0.15">
      <c r="A514" s="132">
        <v>1111200562</v>
      </c>
      <c r="B514" s="130" t="s">
        <v>6493</v>
      </c>
      <c r="C514" s="108" t="s">
        <v>6494</v>
      </c>
      <c r="D514" s="108" t="s">
        <v>73</v>
      </c>
      <c r="E514" s="108" t="s">
        <v>6495</v>
      </c>
      <c r="F514" s="139">
        <v>3410018</v>
      </c>
      <c r="G514" s="140" t="s">
        <v>6496</v>
      </c>
      <c r="H514" s="140" t="s">
        <v>6497</v>
      </c>
      <c r="I514" s="133" t="s">
        <v>49</v>
      </c>
      <c r="J514" s="134" t="s">
        <v>49</v>
      </c>
      <c r="K514" s="134" t="s">
        <v>49</v>
      </c>
      <c r="L514" s="134" t="s">
        <v>49</v>
      </c>
      <c r="M514" s="134" t="s">
        <v>49</v>
      </c>
      <c r="N514" s="135" t="s">
        <v>49</v>
      </c>
      <c r="O514" s="136" t="s">
        <v>49</v>
      </c>
      <c r="P514" s="105"/>
      <c r="Q514" s="137"/>
      <c r="R514" s="138"/>
      <c r="S514" s="105"/>
      <c r="T514" s="105"/>
      <c r="U514" s="105"/>
      <c r="V514" s="116"/>
      <c r="W514" s="117"/>
      <c r="X514" s="137"/>
      <c r="Y514" s="138"/>
      <c r="Z514" s="105"/>
      <c r="AA514" s="105">
        <v>20</v>
      </c>
      <c r="AB514" s="105"/>
      <c r="AC514" s="105"/>
      <c r="AD514" s="118">
        <v>44197</v>
      </c>
      <c r="AE514" s="108" t="s">
        <v>6498</v>
      </c>
    </row>
    <row r="515" spans="1:31" ht="27" customHeight="1" x14ac:dyDescent="0.15">
      <c r="A515" s="105">
        <v>1111200620</v>
      </c>
      <c r="B515" s="106" t="s">
        <v>7391</v>
      </c>
      <c r="C515" s="107" t="s">
        <v>7392</v>
      </c>
      <c r="D515" s="108" t="s">
        <v>73</v>
      </c>
      <c r="E515" s="108" t="s">
        <v>7393</v>
      </c>
      <c r="F515" s="139" t="s">
        <v>7394</v>
      </c>
      <c r="G515" s="140" t="s">
        <v>7395</v>
      </c>
      <c r="H515" s="140"/>
      <c r="I515" s="141"/>
      <c r="J515" s="142"/>
      <c r="K515" s="142"/>
      <c r="L515" s="142"/>
      <c r="M515" s="142" t="s">
        <v>765</v>
      </c>
      <c r="N515" s="142"/>
      <c r="O515" s="138"/>
      <c r="P515" s="105"/>
      <c r="Q515" s="137"/>
      <c r="R515" s="138"/>
      <c r="S515" s="105"/>
      <c r="T515" s="105">
        <v>20</v>
      </c>
      <c r="U515" s="105"/>
      <c r="V515" s="137"/>
      <c r="W515" s="138"/>
      <c r="X515" s="137"/>
      <c r="Y515" s="138"/>
      <c r="Z515" s="105"/>
      <c r="AA515" s="105"/>
      <c r="AB515" s="105"/>
      <c r="AC515" s="105"/>
      <c r="AD515" s="155">
        <v>44652</v>
      </c>
      <c r="AE515" s="108" t="s">
        <v>7396</v>
      </c>
    </row>
    <row r="516" spans="1:31" ht="27" customHeight="1" x14ac:dyDescent="0.15">
      <c r="A516" s="105">
        <v>1111200638</v>
      </c>
      <c r="B516" s="106" t="s">
        <v>7398</v>
      </c>
      <c r="C516" s="107" t="s">
        <v>7399</v>
      </c>
      <c r="D516" s="108" t="s">
        <v>73</v>
      </c>
      <c r="E516" s="108" t="s">
        <v>7400</v>
      </c>
      <c r="F516" s="139" t="s">
        <v>7394</v>
      </c>
      <c r="G516" s="140" t="s">
        <v>7401</v>
      </c>
      <c r="H516" s="140" t="s">
        <v>7402</v>
      </c>
      <c r="I516" s="141"/>
      <c r="J516" s="142"/>
      <c r="K516" s="142"/>
      <c r="L516" s="142"/>
      <c r="M516" s="134" t="s">
        <v>6433</v>
      </c>
      <c r="N516" s="134" t="s">
        <v>6433</v>
      </c>
      <c r="O516" s="134" t="s">
        <v>6433</v>
      </c>
      <c r="P516" s="105"/>
      <c r="Q516" s="137"/>
      <c r="R516" s="138"/>
      <c r="S516" s="105"/>
      <c r="T516" s="105"/>
      <c r="U516" s="105"/>
      <c r="V516" s="137"/>
      <c r="W516" s="138"/>
      <c r="X516" s="137"/>
      <c r="Y516" s="138"/>
      <c r="Z516" s="105"/>
      <c r="AA516" s="105">
        <v>20</v>
      </c>
      <c r="AB516" s="105"/>
      <c r="AC516" s="105"/>
      <c r="AD516" s="155">
        <v>44652</v>
      </c>
      <c r="AE516" s="108" t="s">
        <v>7403</v>
      </c>
    </row>
    <row r="517" spans="1:31" s="65" customFormat="1" ht="27" customHeight="1" x14ac:dyDescent="0.15">
      <c r="A517" s="105">
        <v>1111200679</v>
      </c>
      <c r="B517" s="106" t="s">
        <v>8102</v>
      </c>
      <c r="C517" s="107" t="s">
        <v>8103</v>
      </c>
      <c r="D517" s="108" t="s">
        <v>73</v>
      </c>
      <c r="E517" s="108" t="s">
        <v>8104</v>
      </c>
      <c r="F517" s="139" t="s">
        <v>8105</v>
      </c>
      <c r="G517" s="140" t="s">
        <v>4432</v>
      </c>
      <c r="H517" s="140" t="s">
        <v>4433</v>
      </c>
      <c r="I517" s="141"/>
      <c r="J517" s="142"/>
      <c r="K517" s="142"/>
      <c r="L517" s="142" t="s">
        <v>765</v>
      </c>
      <c r="M517" s="142" t="s">
        <v>765</v>
      </c>
      <c r="N517" s="143" t="s">
        <v>765</v>
      </c>
      <c r="O517" s="138" t="s">
        <v>765</v>
      </c>
      <c r="P517" s="105"/>
      <c r="Q517" s="137"/>
      <c r="R517" s="138"/>
      <c r="S517" s="105"/>
      <c r="T517" s="105"/>
      <c r="U517" s="105"/>
      <c r="V517" s="116"/>
      <c r="W517" s="117"/>
      <c r="X517" s="116"/>
      <c r="Y517" s="138"/>
      <c r="Z517" s="105"/>
      <c r="AA517" s="105">
        <v>20</v>
      </c>
      <c r="AB517" s="105"/>
      <c r="AC517" s="105"/>
      <c r="AD517" s="144">
        <v>44958</v>
      </c>
      <c r="AE517" s="108" t="s">
        <v>8106</v>
      </c>
    </row>
    <row r="518" spans="1:31" s="65" customFormat="1" ht="32.450000000000003" customHeight="1" x14ac:dyDescent="0.15">
      <c r="A518" s="132">
        <v>1111200695</v>
      </c>
      <c r="B518" s="130" t="s">
        <v>8220</v>
      </c>
      <c r="C518" s="108" t="s">
        <v>8221</v>
      </c>
      <c r="D518" s="108" t="s">
        <v>73</v>
      </c>
      <c r="E518" s="108" t="s">
        <v>8222</v>
      </c>
      <c r="F518" s="131" t="s">
        <v>4906</v>
      </c>
      <c r="G518" s="132" t="s">
        <v>8223</v>
      </c>
      <c r="H518" s="132" t="s">
        <v>8224</v>
      </c>
      <c r="I518" s="133"/>
      <c r="J518" s="134"/>
      <c r="K518" s="134"/>
      <c r="L518" s="134"/>
      <c r="M518" s="134" t="s">
        <v>49</v>
      </c>
      <c r="N518" s="135" t="s">
        <v>49</v>
      </c>
      <c r="O518" s="136" t="s">
        <v>49</v>
      </c>
      <c r="P518" s="105"/>
      <c r="Q518" s="152"/>
      <c r="R518" s="138"/>
      <c r="S518" s="132"/>
      <c r="T518" s="105"/>
      <c r="U518" s="132"/>
      <c r="V518" s="116"/>
      <c r="W518" s="117"/>
      <c r="X518" s="152"/>
      <c r="Y518" s="136"/>
      <c r="Z518" s="132">
        <v>20</v>
      </c>
      <c r="AA518" s="132"/>
      <c r="AB518" s="132"/>
      <c r="AC518" s="132"/>
      <c r="AD518" s="118">
        <v>45017</v>
      </c>
      <c r="AE518" s="108" t="s">
        <v>8225</v>
      </c>
    </row>
    <row r="519" spans="1:31" ht="27" customHeight="1" x14ac:dyDescent="0.15">
      <c r="A519" s="175">
        <v>1111200745</v>
      </c>
      <c r="B519" s="204" t="s">
        <v>9893</v>
      </c>
      <c r="C519" s="162" t="s">
        <v>9894</v>
      </c>
      <c r="D519" s="162" t="s">
        <v>73</v>
      </c>
      <c r="E519" s="162" t="s">
        <v>9895</v>
      </c>
      <c r="F519" s="268" t="s">
        <v>7394</v>
      </c>
      <c r="G519" s="203" t="s">
        <v>9896</v>
      </c>
      <c r="H519" s="203"/>
      <c r="I519" s="133" t="s">
        <v>765</v>
      </c>
      <c r="J519" s="134" t="s">
        <v>765</v>
      </c>
      <c r="K519" s="134" t="s">
        <v>765</v>
      </c>
      <c r="L519" s="134" t="s">
        <v>765</v>
      </c>
      <c r="M519" s="134" t="s">
        <v>765</v>
      </c>
      <c r="N519" s="135" t="s">
        <v>765</v>
      </c>
      <c r="O519" s="136" t="s">
        <v>765</v>
      </c>
      <c r="P519" s="175"/>
      <c r="Q519" s="209"/>
      <c r="R519" s="210"/>
      <c r="S519" s="175"/>
      <c r="T519" s="175"/>
      <c r="U519" s="175"/>
      <c r="V519" s="209"/>
      <c r="W519" s="210"/>
      <c r="X519" s="209"/>
      <c r="Y519" s="210"/>
      <c r="Z519" s="175"/>
      <c r="AA519" s="175">
        <v>20</v>
      </c>
      <c r="AB519" s="175"/>
      <c r="AC519" s="175"/>
      <c r="AD519" s="227">
        <v>46174</v>
      </c>
      <c r="AE519" s="162" t="s">
        <v>9897</v>
      </c>
    </row>
    <row r="520" spans="1:31" ht="27" customHeight="1" x14ac:dyDescent="0.15">
      <c r="A520" s="105">
        <v>1111200760</v>
      </c>
      <c r="B520" s="106" t="s">
        <v>7517</v>
      </c>
      <c r="C520" s="107" t="s">
        <v>10243</v>
      </c>
      <c r="D520" s="108" t="s">
        <v>10244</v>
      </c>
      <c r="E520" s="108" t="s">
        <v>10245</v>
      </c>
      <c r="F520" s="139" t="s">
        <v>10246</v>
      </c>
      <c r="G520" s="140" t="s">
        <v>10247</v>
      </c>
      <c r="H520" s="140" t="s">
        <v>10248</v>
      </c>
      <c r="I520" s="141"/>
      <c r="J520" s="142"/>
      <c r="K520" s="142"/>
      <c r="L520" s="142" t="s">
        <v>6457</v>
      </c>
      <c r="M520" s="134" t="s">
        <v>6457</v>
      </c>
      <c r="N520" s="134" t="s">
        <v>6457</v>
      </c>
      <c r="O520" s="138" t="s">
        <v>6457</v>
      </c>
      <c r="P520" s="105"/>
      <c r="Q520" s="137"/>
      <c r="R520" s="138"/>
      <c r="S520" s="105"/>
      <c r="T520" s="105"/>
      <c r="U520" s="105"/>
      <c r="V520" s="137"/>
      <c r="W520" s="138"/>
      <c r="X520" s="137"/>
      <c r="Y520" s="138"/>
      <c r="Z520" s="105"/>
      <c r="AA520" s="105">
        <v>20</v>
      </c>
      <c r="AB520" s="105"/>
      <c r="AC520" s="105"/>
      <c r="AD520" s="155">
        <v>45778</v>
      </c>
      <c r="AE520" s="108" t="s">
        <v>10249</v>
      </c>
    </row>
    <row r="521" spans="1:31" s="65" customFormat="1" ht="27" customHeight="1" x14ac:dyDescent="0.15">
      <c r="A521" s="105">
        <v>1111200778</v>
      </c>
      <c r="B521" s="130" t="s">
        <v>11653</v>
      </c>
      <c r="C521" s="108" t="s">
        <v>10608</v>
      </c>
      <c r="D521" s="108" t="s">
        <v>73</v>
      </c>
      <c r="E521" s="108" t="s">
        <v>10609</v>
      </c>
      <c r="F521" s="131" t="s">
        <v>10610</v>
      </c>
      <c r="G521" s="132" t="s">
        <v>10611</v>
      </c>
      <c r="H521" s="132" t="s">
        <v>10611</v>
      </c>
      <c r="I521" s="133"/>
      <c r="J521" s="134"/>
      <c r="K521" s="134"/>
      <c r="L521" s="134"/>
      <c r="M521" s="134" t="s">
        <v>765</v>
      </c>
      <c r="N521" s="135" t="s">
        <v>765</v>
      </c>
      <c r="O521" s="136"/>
      <c r="P521" s="105"/>
      <c r="Q521" s="137"/>
      <c r="R521" s="138"/>
      <c r="S521" s="105"/>
      <c r="T521" s="105"/>
      <c r="U521" s="105"/>
      <c r="V521" s="116"/>
      <c r="W521" s="117"/>
      <c r="X521" s="116"/>
      <c r="Y521" s="138"/>
      <c r="Z521" s="105"/>
      <c r="AA521" s="105">
        <v>20</v>
      </c>
      <c r="AB521" s="105"/>
      <c r="AC521" s="105"/>
      <c r="AD521" s="118">
        <v>45901</v>
      </c>
      <c r="AE521" s="108" t="s">
        <v>10612</v>
      </c>
    </row>
    <row r="522" spans="1:31" ht="27" customHeight="1" x14ac:dyDescent="0.15">
      <c r="A522" s="105">
        <v>1111200794</v>
      </c>
      <c r="B522" s="106" t="s">
        <v>11427</v>
      </c>
      <c r="C522" s="107" t="s">
        <v>11428</v>
      </c>
      <c r="D522" s="108" t="s">
        <v>73</v>
      </c>
      <c r="E522" s="108" t="s">
        <v>11429</v>
      </c>
      <c r="F522" s="139" t="s">
        <v>11430</v>
      </c>
      <c r="G522" s="140" t="s">
        <v>11431</v>
      </c>
      <c r="H522" s="140" t="s">
        <v>11432</v>
      </c>
      <c r="I522" s="142" t="s">
        <v>49</v>
      </c>
      <c r="J522" s="142"/>
      <c r="K522" s="142"/>
      <c r="L522" s="142"/>
      <c r="M522" s="142" t="s">
        <v>49</v>
      </c>
      <c r="N522" s="177"/>
      <c r="O522" s="176"/>
      <c r="P522" s="105"/>
      <c r="Q522" s="137"/>
      <c r="R522" s="138"/>
      <c r="S522" s="105"/>
      <c r="T522" s="105">
        <v>20</v>
      </c>
      <c r="U522" s="105"/>
      <c r="V522" s="137"/>
      <c r="W522" s="138"/>
      <c r="X522" s="137"/>
      <c r="Y522" s="138"/>
      <c r="Z522" s="105"/>
      <c r="AA522" s="105"/>
      <c r="AB522" s="105"/>
      <c r="AC522" s="105"/>
      <c r="AD522" s="144">
        <v>46113</v>
      </c>
      <c r="AE522" s="108" t="s">
        <v>11433</v>
      </c>
    </row>
    <row r="523" spans="1:31" s="65" customFormat="1" ht="27" customHeight="1" x14ac:dyDescent="0.15">
      <c r="A523" s="132">
        <v>1111300073</v>
      </c>
      <c r="B523" s="130" t="s">
        <v>6606</v>
      </c>
      <c r="C523" s="108" t="s">
        <v>1509</v>
      </c>
      <c r="D523" s="108" t="s">
        <v>1510</v>
      </c>
      <c r="E523" s="108" t="s">
        <v>1511</v>
      </c>
      <c r="F523" s="131">
        <v>3620806</v>
      </c>
      <c r="G523" s="132" t="s">
        <v>6607</v>
      </c>
      <c r="H523" s="132" t="s">
        <v>6608</v>
      </c>
      <c r="I523" s="133"/>
      <c r="J523" s="134"/>
      <c r="K523" s="134"/>
      <c r="L523" s="134"/>
      <c r="M523" s="134"/>
      <c r="N523" s="135" t="s">
        <v>49</v>
      </c>
      <c r="O523" s="136"/>
      <c r="P523" s="105"/>
      <c r="Q523" s="137" t="s">
        <v>49</v>
      </c>
      <c r="R523" s="138"/>
      <c r="S523" s="105"/>
      <c r="T523" s="105"/>
      <c r="U523" s="105"/>
      <c r="V523" s="137">
        <v>20</v>
      </c>
      <c r="W523" s="138">
        <v>20</v>
      </c>
      <c r="X523" s="137"/>
      <c r="Y523" s="138"/>
      <c r="Z523" s="105"/>
      <c r="AA523" s="105"/>
      <c r="AB523" s="105"/>
      <c r="AC523" s="105"/>
      <c r="AD523" s="118">
        <v>40817</v>
      </c>
      <c r="AE523" s="108" t="s">
        <v>1512</v>
      </c>
    </row>
    <row r="524" spans="1:31" ht="27" customHeight="1" x14ac:dyDescent="0.15">
      <c r="A524" s="105">
        <v>1111300107</v>
      </c>
      <c r="B524" s="130" t="s">
        <v>2159</v>
      </c>
      <c r="C524" s="108" t="s">
        <v>2160</v>
      </c>
      <c r="D524" s="108" t="s">
        <v>1510</v>
      </c>
      <c r="E524" s="108" t="s">
        <v>6382</v>
      </c>
      <c r="F524" s="131" t="s">
        <v>6383</v>
      </c>
      <c r="G524" s="132" t="s">
        <v>2185</v>
      </c>
      <c r="H524" s="132" t="s">
        <v>2161</v>
      </c>
      <c r="I524" s="133" t="s">
        <v>49</v>
      </c>
      <c r="J524" s="134"/>
      <c r="K524" s="134"/>
      <c r="L524" s="134"/>
      <c r="M524" s="134" t="s">
        <v>49</v>
      </c>
      <c r="N524" s="135"/>
      <c r="O524" s="136"/>
      <c r="P524" s="132"/>
      <c r="Q524" s="152"/>
      <c r="R524" s="136"/>
      <c r="S524" s="132"/>
      <c r="T524" s="132">
        <v>30</v>
      </c>
      <c r="U524" s="132"/>
      <c r="V524" s="152"/>
      <c r="W524" s="136"/>
      <c r="X524" s="152"/>
      <c r="Y524" s="136"/>
      <c r="Z524" s="132"/>
      <c r="AA524" s="105"/>
      <c r="AB524" s="105"/>
      <c r="AC524" s="105"/>
      <c r="AD524" s="118">
        <v>41365</v>
      </c>
      <c r="AE524" s="108" t="s">
        <v>2186</v>
      </c>
    </row>
    <row r="525" spans="1:31" ht="27" customHeight="1" x14ac:dyDescent="0.15">
      <c r="A525" s="105">
        <v>1111300115</v>
      </c>
      <c r="B525" s="106" t="s">
        <v>2838</v>
      </c>
      <c r="C525" s="108" t="s">
        <v>2876</v>
      </c>
      <c r="D525" s="108" t="s">
        <v>2839</v>
      </c>
      <c r="E525" s="108" t="s">
        <v>2840</v>
      </c>
      <c r="F525" s="131" t="s">
        <v>2841</v>
      </c>
      <c r="G525" s="132" t="s">
        <v>2842</v>
      </c>
      <c r="H525" s="132" t="s">
        <v>2843</v>
      </c>
      <c r="I525" s="133" t="s">
        <v>49</v>
      </c>
      <c r="J525" s="134" t="s">
        <v>49</v>
      </c>
      <c r="K525" s="134" t="s">
        <v>49</v>
      </c>
      <c r="L525" s="134" t="s">
        <v>49</v>
      </c>
      <c r="M525" s="134" t="s">
        <v>49</v>
      </c>
      <c r="N525" s="135" t="s">
        <v>49</v>
      </c>
      <c r="O525" s="136"/>
      <c r="P525" s="105"/>
      <c r="Q525" s="137"/>
      <c r="R525" s="138"/>
      <c r="S525" s="105"/>
      <c r="T525" s="105"/>
      <c r="U525" s="105"/>
      <c r="V525" s="137"/>
      <c r="W525" s="138"/>
      <c r="X525" s="152"/>
      <c r="Y525" s="138"/>
      <c r="Z525" s="105"/>
      <c r="AA525" s="105">
        <v>30</v>
      </c>
      <c r="AB525" s="105"/>
      <c r="AC525" s="105"/>
      <c r="AD525" s="118">
        <v>42095</v>
      </c>
      <c r="AE525" s="108" t="s">
        <v>2844</v>
      </c>
    </row>
    <row r="526" spans="1:31" s="65" customFormat="1" ht="27" customHeight="1" x14ac:dyDescent="0.15">
      <c r="A526" s="105">
        <v>1111300123</v>
      </c>
      <c r="B526" s="106" t="s">
        <v>3462</v>
      </c>
      <c r="C526" s="107" t="s">
        <v>3456</v>
      </c>
      <c r="D526" s="108" t="s">
        <v>3461</v>
      </c>
      <c r="E526" s="108" t="s">
        <v>3464</v>
      </c>
      <c r="F526" s="139" t="s">
        <v>3457</v>
      </c>
      <c r="G526" s="140" t="s">
        <v>3458</v>
      </c>
      <c r="H526" s="140" t="s">
        <v>3459</v>
      </c>
      <c r="I526" s="141"/>
      <c r="J526" s="142"/>
      <c r="K526" s="142"/>
      <c r="L526" s="142"/>
      <c r="M526" s="142" t="s">
        <v>3450</v>
      </c>
      <c r="N526" s="143" t="s">
        <v>3450</v>
      </c>
      <c r="O526" s="138"/>
      <c r="P526" s="105"/>
      <c r="Q526" s="137"/>
      <c r="R526" s="138"/>
      <c r="S526" s="105"/>
      <c r="T526" s="105"/>
      <c r="U526" s="105"/>
      <c r="V526" s="137"/>
      <c r="W526" s="138"/>
      <c r="X526" s="137"/>
      <c r="Y526" s="138"/>
      <c r="Z526" s="105"/>
      <c r="AA526" s="105">
        <v>20</v>
      </c>
      <c r="AB526" s="105"/>
      <c r="AC526" s="105"/>
      <c r="AD526" s="144">
        <v>42552</v>
      </c>
      <c r="AE526" s="108" t="s">
        <v>3460</v>
      </c>
    </row>
    <row r="527" spans="1:31" s="65" customFormat="1" ht="27" customHeight="1" x14ac:dyDescent="0.15">
      <c r="A527" s="105">
        <v>1111300156</v>
      </c>
      <c r="B527" s="130" t="s">
        <v>5885</v>
      </c>
      <c r="C527" s="108" t="s">
        <v>5886</v>
      </c>
      <c r="D527" s="108" t="s">
        <v>5887</v>
      </c>
      <c r="E527" s="108" t="s">
        <v>5888</v>
      </c>
      <c r="F527" s="131" t="s">
        <v>5889</v>
      </c>
      <c r="G527" s="132" t="s">
        <v>5890</v>
      </c>
      <c r="H527" s="132" t="s">
        <v>5891</v>
      </c>
      <c r="I527" s="133"/>
      <c r="J527" s="134"/>
      <c r="K527" s="134"/>
      <c r="L527" s="134"/>
      <c r="M527" s="134" t="s">
        <v>765</v>
      </c>
      <c r="N527" s="135" t="s">
        <v>765</v>
      </c>
      <c r="O527" s="136" t="s">
        <v>49</v>
      </c>
      <c r="P527" s="105"/>
      <c r="Q527" s="116"/>
      <c r="R527" s="138"/>
      <c r="S527" s="105"/>
      <c r="T527" s="105">
        <v>10</v>
      </c>
      <c r="U527" s="105"/>
      <c r="V527" s="116"/>
      <c r="W527" s="138"/>
      <c r="X527" s="116"/>
      <c r="Y527" s="138"/>
      <c r="Z527" s="105"/>
      <c r="AA527" s="105">
        <v>10</v>
      </c>
      <c r="AB527" s="105"/>
      <c r="AC527" s="105"/>
      <c r="AD527" s="118">
        <v>43952</v>
      </c>
      <c r="AE527" s="108" t="s">
        <v>5892</v>
      </c>
    </row>
    <row r="528" spans="1:31" s="65" customFormat="1" ht="27" customHeight="1" x14ac:dyDescent="0.15">
      <c r="A528" s="105">
        <v>1111300172</v>
      </c>
      <c r="B528" s="130" t="s">
        <v>5312</v>
      </c>
      <c r="C528" s="108" t="s">
        <v>9050</v>
      </c>
      <c r="D528" s="108" t="s">
        <v>8933</v>
      </c>
      <c r="E528" s="108" t="s">
        <v>9051</v>
      </c>
      <c r="F528" s="131" t="s">
        <v>9052</v>
      </c>
      <c r="G528" s="132" t="s">
        <v>9053</v>
      </c>
      <c r="H528" s="132" t="s">
        <v>9053</v>
      </c>
      <c r="I528" s="133"/>
      <c r="J528" s="134"/>
      <c r="K528" s="134"/>
      <c r="L528" s="134"/>
      <c r="M528" s="134" t="s">
        <v>765</v>
      </c>
      <c r="N528" s="135" t="s">
        <v>765</v>
      </c>
      <c r="O528" s="136"/>
      <c r="P528" s="105"/>
      <c r="Q528" s="137"/>
      <c r="R528" s="138"/>
      <c r="S528" s="105"/>
      <c r="T528" s="105"/>
      <c r="U528" s="105"/>
      <c r="V528" s="137"/>
      <c r="W528" s="138"/>
      <c r="X528" s="137"/>
      <c r="Y528" s="138"/>
      <c r="Z528" s="105"/>
      <c r="AA528" s="105">
        <v>20</v>
      </c>
      <c r="AB528" s="105"/>
      <c r="AC528" s="105"/>
      <c r="AD528" s="118">
        <v>45352</v>
      </c>
      <c r="AE528" s="108" t="s">
        <v>9054</v>
      </c>
    </row>
    <row r="529" spans="1:157" s="65" customFormat="1" ht="27" customHeight="1" x14ac:dyDescent="0.15">
      <c r="A529" s="105">
        <v>1111300180</v>
      </c>
      <c r="B529" s="106" t="s">
        <v>11654</v>
      </c>
      <c r="C529" s="107" t="s">
        <v>9141</v>
      </c>
      <c r="D529" s="108" t="s">
        <v>8933</v>
      </c>
      <c r="E529" s="108" t="s">
        <v>9142</v>
      </c>
      <c r="F529" s="139" t="s">
        <v>9143</v>
      </c>
      <c r="G529" s="140" t="s">
        <v>9144</v>
      </c>
      <c r="H529" s="140" t="s">
        <v>9145</v>
      </c>
      <c r="I529" s="160" t="s">
        <v>765</v>
      </c>
      <c r="J529" s="142" t="s">
        <v>765</v>
      </c>
      <c r="K529" s="142" t="s">
        <v>765</v>
      </c>
      <c r="L529" s="142" t="s">
        <v>765</v>
      </c>
      <c r="M529" s="142" t="s">
        <v>765</v>
      </c>
      <c r="N529" s="143" t="s">
        <v>765</v>
      </c>
      <c r="O529" s="138" t="s">
        <v>765</v>
      </c>
      <c r="P529" s="105"/>
      <c r="Q529" s="137"/>
      <c r="R529" s="138">
        <v>20</v>
      </c>
      <c r="S529" s="105"/>
      <c r="T529" s="105">
        <v>20</v>
      </c>
      <c r="U529" s="105"/>
      <c r="V529" s="137"/>
      <c r="W529" s="138"/>
      <c r="X529" s="137"/>
      <c r="Y529" s="138"/>
      <c r="Z529" s="105"/>
      <c r="AA529" s="105"/>
      <c r="AB529" s="105"/>
      <c r="AC529" s="105"/>
      <c r="AD529" s="155">
        <v>45383</v>
      </c>
      <c r="AE529" s="108" t="s">
        <v>9146</v>
      </c>
    </row>
    <row r="530" spans="1:157" ht="27" customHeight="1" x14ac:dyDescent="0.15">
      <c r="A530" s="105">
        <v>1111400089</v>
      </c>
      <c r="B530" s="130" t="s">
        <v>1836</v>
      </c>
      <c r="C530" s="108" t="s">
        <v>1835</v>
      </c>
      <c r="D530" s="108" t="s">
        <v>946</v>
      </c>
      <c r="E530" s="108" t="s">
        <v>1955</v>
      </c>
      <c r="F530" s="131" t="s">
        <v>1956</v>
      </c>
      <c r="G530" s="132" t="s">
        <v>1957</v>
      </c>
      <c r="H530" s="132" t="s">
        <v>1837</v>
      </c>
      <c r="I530" s="133" t="s">
        <v>49</v>
      </c>
      <c r="J530" s="134" t="s">
        <v>49</v>
      </c>
      <c r="K530" s="134" t="s">
        <v>49</v>
      </c>
      <c r="L530" s="134" t="s">
        <v>49</v>
      </c>
      <c r="M530" s="134" t="s">
        <v>49</v>
      </c>
      <c r="N530" s="135" t="s">
        <v>49</v>
      </c>
      <c r="O530" s="136" t="s">
        <v>49</v>
      </c>
      <c r="P530" s="105"/>
      <c r="Q530" s="137"/>
      <c r="R530" s="138"/>
      <c r="S530" s="105"/>
      <c r="T530" s="105">
        <v>40</v>
      </c>
      <c r="U530" s="105"/>
      <c r="V530" s="137"/>
      <c r="W530" s="138"/>
      <c r="X530" s="269"/>
      <c r="Y530" s="138"/>
      <c r="Z530" s="105"/>
      <c r="AA530" s="105">
        <v>20</v>
      </c>
      <c r="AB530" s="105"/>
      <c r="AC530" s="105"/>
      <c r="AD530" s="118">
        <v>41000</v>
      </c>
      <c r="AE530" s="108" t="s">
        <v>1958</v>
      </c>
    </row>
    <row r="531" spans="1:157" ht="27" customHeight="1" x14ac:dyDescent="0.15">
      <c r="A531" s="105">
        <v>1111400089</v>
      </c>
      <c r="B531" s="130" t="s">
        <v>1836</v>
      </c>
      <c r="C531" s="108" t="s">
        <v>11372</v>
      </c>
      <c r="D531" s="108" t="s">
        <v>946</v>
      </c>
      <c r="E531" s="108" t="s">
        <v>1955</v>
      </c>
      <c r="F531" s="131" t="s">
        <v>1956</v>
      </c>
      <c r="G531" s="132" t="s">
        <v>1957</v>
      </c>
      <c r="H531" s="132" t="s">
        <v>1837</v>
      </c>
      <c r="I531" s="133" t="s">
        <v>49</v>
      </c>
      <c r="J531" s="134" t="s">
        <v>49</v>
      </c>
      <c r="K531" s="134" t="s">
        <v>49</v>
      </c>
      <c r="L531" s="134" t="s">
        <v>49</v>
      </c>
      <c r="M531" s="134" t="s">
        <v>49</v>
      </c>
      <c r="N531" s="135" t="s">
        <v>49</v>
      </c>
      <c r="O531" s="136" t="s">
        <v>49</v>
      </c>
      <c r="P531" s="105"/>
      <c r="Q531" s="137"/>
      <c r="R531" s="138"/>
      <c r="S531" s="105"/>
      <c r="T531" s="105"/>
      <c r="U531" s="105"/>
      <c r="V531" s="137"/>
      <c r="W531" s="138"/>
      <c r="X531" s="269"/>
      <c r="Y531" s="138"/>
      <c r="Z531" s="105"/>
      <c r="AA531" s="105"/>
      <c r="AB531" s="105"/>
      <c r="AC531" s="105">
        <v>10</v>
      </c>
      <c r="AD531" s="118">
        <v>46113</v>
      </c>
      <c r="AE531" s="108" t="s">
        <v>1958</v>
      </c>
    </row>
    <row r="532" spans="1:157" s="65" customFormat="1" ht="27" customHeight="1" x14ac:dyDescent="0.15">
      <c r="A532" s="105">
        <v>1111400212</v>
      </c>
      <c r="B532" s="130" t="s">
        <v>945</v>
      </c>
      <c r="C532" s="108" t="s">
        <v>990</v>
      </c>
      <c r="D532" s="108" t="s">
        <v>946</v>
      </c>
      <c r="E532" s="108" t="s">
        <v>991</v>
      </c>
      <c r="F532" s="131">
        <v>3350004</v>
      </c>
      <c r="G532" s="132" t="s">
        <v>992</v>
      </c>
      <c r="H532" s="132" t="s">
        <v>992</v>
      </c>
      <c r="I532" s="116"/>
      <c r="J532" s="154"/>
      <c r="K532" s="154"/>
      <c r="L532" s="154"/>
      <c r="M532" s="154" t="s">
        <v>988</v>
      </c>
      <c r="N532" s="143"/>
      <c r="O532" s="138"/>
      <c r="P532" s="132"/>
      <c r="Q532" s="152"/>
      <c r="R532" s="136"/>
      <c r="S532" s="132"/>
      <c r="T532" s="132"/>
      <c r="U532" s="132"/>
      <c r="V532" s="152"/>
      <c r="W532" s="138"/>
      <c r="X532" s="152"/>
      <c r="Y532" s="136"/>
      <c r="Z532" s="132"/>
      <c r="AA532" s="105">
        <v>20</v>
      </c>
      <c r="AB532" s="105"/>
      <c r="AC532" s="105"/>
      <c r="AD532" s="155">
        <v>40269</v>
      </c>
      <c r="AE532" s="108" t="s">
        <v>993</v>
      </c>
    </row>
    <row r="533" spans="1:157" ht="27" customHeight="1" x14ac:dyDescent="0.15">
      <c r="A533" s="105">
        <v>1111400311</v>
      </c>
      <c r="B533" s="130" t="s">
        <v>3431</v>
      </c>
      <c r="C533" s="108" t="s">
        <v>6167</v>
      </c>
      <c r="D533" s="108" t="s">
        <v>81</v>
      </c>
      <c r="E533" s="108" t="s">
        <v>6168</v>
      </c>
      <c r="F533" s="131" t="s">
        <v>2345</v>
      </c>
      <c r="G533" s="132" t="s">
        <v>6169</v>
      </c>
      <c r="H533" s="132" t="s">
        <v>6170</v>
      </c>
      <c r="I533" s="133"/>
      <c r="J533" s="134" t="s">
        <v>765</v>
      </c>
      <c r="K533" s="134" t="s">
        <v>765</v>
      </c>
      <c r="L533" s="134" t="s">
        <v>765</v>
      </c>
      <c r="M533" s="134" t="s">
        <v>765</v>
      </c>
      <c r="N533" s="135" t="s">
        <v>49</v>
      </c>
      <c r="O533" s="136" t="s">
        <v>765</v>
      </c>
      <c r="P533" s="105"/>
      <c r="Q533" s="116"/>
      <c r="R533" s="138"/>
      <c r="S533" s="105"/>
      <c r="T533" s="105"/>
      <c r="U533" s="105"/>
      <c r="V533" s="116"/>
      <c r="W533" s="138"/>
      <c r="X533" s="116"/>
      <c r="Y533" s="138"/>
      <c r="Z533" s="105">
        <v>20</v>
      </c>
      <c r="AA533" s="105"/>
      <c r="AB533" s="105"/>
      <c r="AC533" s="105"/>
      <c r="AD533" s="118">
        <v>42522</v>
      </c>
      <c r="AE533" s="108" t="s">
        <v>6171</v>
      </c>
    </row>
    <row r="534" spans="1:157" ht="27" customHeight="1" x14ac:dyDescent="0.15">
      <c r="A534" s="105">
        <v>1111400352</v>
      </c>
      <c r="B534" s="130" t="s">
        <v>6240</v>
      </c>
      <c r="C534" s="108" t="s">
        <v>5106</v>
      </c>
      <c r="D534" s="108" t="s">
        <v>5107</v>
      </c>
      <c r="E534" s="108" t="s">
        <v>5108</v>
      </c>
      <c r="F534" s="131" t="s">
        <v>5109</v>
      </c>
      <c r="G534" s="132" t="s">
        <v>5110</v>
      </c>
      <c r="H534" s="132" t="s">
        <v>5111</v>
      </c>
      <c r="I534" s="133"/>
      <c r="J534" s="134"/>
      <c r="K534" s="134"/>
      <c r="L534" s="134"/>
      <c r="M534" s="134"/>
      <c r="N534" s="134" t="s">
        <v>49</v>
      </c>
      <c r="O534" s="136"/>
      <c r="P534" s="105"/>
      <c r="Q534" s="152"/>
      <c r="R534" s="138"/>
      <c r="S534" s="132"/>
      <c r="T534" s="132"/>
      <c r="U534" s="132"/>
      <c r="V534" s="152"/>
      <c r="W534" s="136"/>
      <c r="X534" s="152">
        <v>18</v>
      </c>
      <c r="Y534" s="136"/>
      <c r="Z534" s="132"/>
      <c r="AA534" s="132"/>
      <c r="AB534" s="132"/>
      <c r="AC534" s="132"/>
      <c r="AD534" s="155" t="s">
        <v>5112</v>
      </c>
      <c r="AE534" s="108" t="s">
        <v>5113</v>
      </c>
    </row>
    <row r="535" spans="1:157" s="65" customFormat="1" ht="27" customHeight="1" x14ac:dyDescent="0.15">
      <c r="A535" s="105">
        <v>1111400352</v>
      </c>
      <c r="B535" s="130" t="s">
        <v>6240</v>
      </c>
      <c r="C535" s="108" t="s">
        <v>5106</v>
      </c>
      <c r="D535" s="108" t="s">
        <v>5107</v>
      </c>
      <c r="E535" s="108" t="s">
        <v>5108</v>
      </c>
      <c r="F535" s="131" t="s">
        <v>5109</v>
      </c>
      <c r="G535" s="132" t="s">
        <v>5110</v>
      </c>
      <c r="H535" s="132" t="s">
        <v>5111</v>
      </c>
      <c r="I535" s="133"/>
      <c r="J535" s="134"/>
      <c r="K535" s="134"/>
      <c r="L535" s="134"/>
      <c r="M535" s="134"/>
      <c r="N535" s="134" t="s">
        <v>49</v>
      </c>
      <c r="O535" s="136"/>
      <c r="P535" s="105"/>
      <c r="Q535" s="152"/>
      <c r="R535" s="138"/>
      <c r="S535" s="132"/>
      <c r="T535" s="132"/>
      <c r="U535" s="132"/>
      <c r="V535" s="152"/>
      <c r="W535" s="136"/>
      <c r="X535" s="152"/>
      <c r="Y535" s="136"/>
      <c r="Z535" s="132"/>
      <c r="AA535" s="132"/>
      <c r="AB535" s="132" t="s">
        <v>49</v>
      </c>
      <c r="AC535" s="132"/>
      <c r="AD535" s="155">
        <v>45778</v>
      </c>
      <c r="AE535" s="108" t="s">
        <v>5113</v>
      </c>
    </row>
    <row r="536" spans="1:157" ht="27" customHeight="1" x14ac:dyDescent="0.15">
      <c r="A536" s="105">
        <v>1111400360</v>
      </c>
      <c r="B536" s="130" t="s">
        <v>5955</v>
      </c>
      <c r="C536" s="108" t="s">
        <v>5956</v>
      </c>
      <c r="D536" s="108" t="s">
        <v>946</v>
      </c>
      <c r="E536" s="108" t="s">
        <v>5957</v>
      </c>
      <c r="F536" s="131">
        <v>3350001</v>
      </c>
      <c r="G536" s="132" t="s">
        <v>5958</v>
      </c>
      <c r="H536" s="132" t="s">
        <v>6737</v>
      </c>
      <c r="I536" s="133"/>
      <c r="J536" s="134"/>
      <c r="K536" s="134"/>
      <c r="L536" s="134"/>
      <c r="M536" s="134"/>
      <c r="N536" s="135" t="s">
        <v>49</v>
      </c>
      <c r="O536" s="136"/>
      <c r="P536" s="105"/>
      <c r="Q536" s="116"/>
      <c r="R536" s="138"/>
      <c r="S536" s="105"/>
      <c r="T536" s="105"/>
      <c r="U536" s="105"/>
      <c r="V536" s="116"/>
      <c r="W536" s="138"/>
      <c r="X536" s="116"/>
      <c r="Y536" s="138"/>
      <c r="Z536" s="105"/>
      <c r="AA536" s="105">
        <v>20</v>
      </c>
      <c r="AB536" s="105"/>
      <c r="AC536" s="105"/>
      <c r="AD536" s="118">
        <v>43983</v>
      </c>
      <c r="AE536" s="108" t="s">
        <v>5959</v>
      </c>
    </row>
    <row r="537" spans="1:157" ht="27" customHeight="1" x14ac:dyDescent="0.15">
      <c r="A537" s="105">
        <v>1111400378</v>
      </c>
      <c r="B537" s="130" t="s">
        <v>6590</v>
      </c>
      <c r="C537" s="108" t="s">
        <v>6591</v>
      </c>
      <c r="D537" s="108" t="s">
        <v>946</v>
      </c>
      <c r="E537" s="108" t="s">
        <v>4343</v>
      </c>
      <c r="F537" s="131" t="s">
        <v>4344</v>
      </c>
      <c r="G537" s="132" t="s">
        <v>4345</v>
      </c>
      <c r="H537" s="132" t="s">
        <v>4345</v>
      </c>
      <c r="I537" s="133" t="s">
        <v>49</v>
      </c>
      <c r="J537" s="134" t="s">
        <v>49</v>
      </c>
      <c r="K537" s="134" t="s">
        <v>49</v>
      </c>
      <c r="L537" s="134" t="s">
        <v>49</v>
      </c>
      <c r="M537" s="134" t="s">
        <v>765</v>
      </c>
      <c r="N537" s="135" t="s">
        <v>49</v>
      </c>
      <c r="O537" s="136" t="s">
        <v>49</v>
      </c>
      <c r="P537" s="105"/>
      <c r="Q537" s="137"/>
      <c r="R537" s="138"/>
      <c r="S537" s="105"/>
      <c r="T537" s="105">
        <v>20</v>
      </c>
      <c r="U537" s="105"/>
      <c r="V537" s="137"/>
      <c r="W537" s="138"/>
      <c r="X537" s="137"/>
      <c r="Y537" s="138"/>
      <c r="Z537" s="105"/>
      <c r="AA537" s="105"/>
      <c r="AB537" s="105"/>
      <c r="AC537" s="105"/>
      <c r="AD537" s="118">
        <v>44287</v>
      </c>
      <c r="AE537" s="108" t="s">
        <v>4346</v>
      </c>
    </row>
    <row r="538" spans="1:157" s="65" customFormat="1" ht="27" customHeight="1" x14ac:dyDescent="0.15">
      <c r="A538" s="105">
        <v>1111400386</v>
      </c>
      <c r="B538" s="130" t="s">
        <v>6815</v>
      </c>
      <c r="C538" s="108" t="s">
        <v>6816</v>
      </c>
      <c r="D538" s="108" t="s">
        <v>946</v>
      </c>
      <c r="E538" s="108" t="s">
        <v>6817</v>
      </c>
      <c r="F538" s="131" t="s">
        <v>5109</v>
      </c>
      <c r="G538" s="132" t="s">
        <v>6818</v>
      </c>
      <c r="H538" s="132" t="s">
        <v>6819</v>
      </c>
      <c r="I538" s="133"/>
      <c r="J538" s="134"/>
      <c r="K538" s="134"/>
      <c r="L538" s="134"/>
      <c r="M538" s="134" t="s">
        <v>765</v>
      </c>
      <c r="N538" s="135" t="s">
        <v>765</v>
      </c>
      <c r="O538" s="136"/>
      <c r="P538" s="105"/>
      <c r="Q538" s="137"/>
      <c r="R538" s="138"/>
      <c r="S538" s="105"/>
      <c r="T538" s="105"/>
      <c r="U538" s="105"/>
      <c r="V538" s="116"/>
      <c r="W538" s="117"/>
      <c r="X538" s="116"/>
      <c r="Y538" s="138"/>
      <c r="Z538" s="105"/>
      <c r="AA538" s="105">
        <v>20</v>
      </c>
      <c r="AB538" s="105"/>
      <c r="AC538" s="105"/>
      <c r="AD538" s="144">
        <v>44348</v>
      </c>
      <c r="AE538" s="108" t="s">
        <v>6820</v>
      </c>
    </row>
    <row r="539" spans="1:157" s="65" customFormat="1" ht="27" customHeight="1" x14ac:dyDescent="0.15">
      <c r="A539" s="105">
        <v>1111400402</v>
      </c>
      <c r="B539" s="157" t="s">
        <v>7951</v>
      </c>
      <c r="C539" s="157" t="s">
        <v>7952</v>
      </c>
      <c r="D539" s="108" t="s">
        <v>946</v>
      </c>
      <c r="E539" s="108" t="s">
        <v>7953</v>
      </c>
      <c r="F539" s="264" t="s">
        <v>4344</v>
      </c>
      <c r="G539" s="157" t="s">
        <v>7954</v>
      </c>
      <c r="H539" s="157" t="s">
        <v>7955</v>
      </c>
      <c r="I539" s="160" t="s">
        <v>765</v>
      </c>
      <c r="J539" s="142" t="s">
        <v>765</v>
      </c>
      <c r="K539" s="142" t="s">
        <v>765</v>
      </c>
      <c r="L539" s="142" t="s">
        <v>765</v>
      </c>
      <c r="M539" s="142" t="s">
        <v>765</v>
      </c>
      <c r="N539" s="143" t="s">
        <v>765</v>
      </c>
      <c r="O539" s="138" t="s">
        <v>765</v>
      </c>
      <c r="P539" s="105"/>
      <c r="Q539" s="116"/>
      <c r="R539" s="117"/>
      <c r="S539" s="105"/>
      <c r="T539" s="105"/>
      <c r="U539" s="105"/>
      <c r="V539" s="137"/>
      <c r="W539" s="138"/>
      <c r="X539" s="116"/>
      <c r="Y539" s="117"/>
      <c r="Z539" s="105">
        <v>20</v>
      </c>
      <c r="AA539" s="105"/>
      <c r="AB539" s="105"/>
      <c r="AC539" s="105"/>
      <c r="AD539" s="144">
        <v>44866</v>
      </c>
      <c r="AE539" s="157" t="s">
        <v>7956</v>
      </c>
    </row>
    <row r="540" spans="1:157" s="65" customFormat="1" ht="27" customHeight="1" x14ac:dyDescent="0.15">
      <c r="A540" s="175">
        <v>1111400428</v>
      </c>
      <c r="B540" s="204" t="s">
        <v>9276</v>
      </c>
      <c r="C540" s="162" t="s">
        <v>9277</v>
      </c>
      <c r="D540" s="162" t="s">
        <v>946</v>
      </c>
      <c r="E540" s="162" t="s">
        <v>9278</v>
      </c>
      <c r="F540" s="268" t="s">
        <v>5109</v>
      </c>
      <c r="G540" s="203" t="s">
        <v>9279</v>
      </c>
      <c r="H540" s="203" t="s">
        <v>9280</v>
      </c>
      <c r="I540" s="133" t="s">
        <v>765</v>
      </c>
      <c r="J540" s="134" t="s">
        <v>765</v>
      </c>
      <c r="K540" s="134" t="s">
        <v>765</v>
      </c>
      <c r="L540" s="134" t="s">
        <v>765</v>
      </c>
      <c r="M540" s="134" t="s">
        <v>765</v>
      </c>
      <c r="N540" s="135" t="s">
        <v>765</v>
      </c>
      <c r="O540" s="136" t="s">
        <v>765</v>
      </c>
      <c r="P540" s="175"/>
      <c r="Q540" s="209"/>
      <c r="R540" s="210"/>
      <c r="S540" s="175"/>
      <c r="T540" s="175"/>
      <c r="U540" s="175"/>
      <c r="V540" s="209"/>
      <c r="W540" s="210"/>
      <c r="X540" s="209"/>
      <c r="Y540" s="210"/>
      <c r="Z540" s="175"/>
      <c r="AA540" s="175">
        <v>20</v>
      </c>
      <c r="AB540" s="175"/>
      <c r="AC540" s="175"/>
      <c r="AD540" s="227">
        <v>45444</v>
      </c>
      <c r="AE540" s="162" t="s">
        <v>9281</v>
      </c>
    </row>
    <row r="541" spans="1:157" s="65" customFormat="1" ht="27" customHeight="1" x14ac:dyDescent="0.15">
      <c r="A541" s="105">
        <v>1111400451</v>
      </c>
      <c r="B541" s="106" t="s">
        <v>11949</v>
      </c>
      <c r="C541" s="106" t="s">
        <v>11388</v>
      </c>
      <c r="D541" s="108" t="s">
        <v>946</v>
      </c>
      <c r="E541" s="108" t="s">
        <v>11389</v>
      </c>
      <c r="F541" s="139" t="s">
        <v>11390</v>
      </c>
      <c r="G541" s="140" t="s">
        <v>11391</v>
      </c>
      <c r="H541" s="140" t="s">
        <v>11392</v>
      </c>
      <c r="I541" s="141"/>
      <c r="J541" s="142"/>
      <c r="K541" s="142"/>
      <c r="L541" s="142"/>
      <c r="M541" s="142" t="s">
        <v>10951</v>
      </c>
      <c r="N541" s="143" t="s">
        <v>10951</v>
      </c>
      <c r="O541" s="138"/>
      <c r="P541" s="105"/>
      <c r="Q541" s="137"/>
      <c r="R541" s="138"/>
      <c r="S541" s="105"/>
      <c r="T541" s="105"/>
      <c r="U541" s="105"/>
      <c r="V541" s="116"/>
      <c r="W541" s="117"/>
      <c r="X541" s="137"/>
      <c r="Y541" s="138"/>
      <c r="Z541" s="105">
        <v>16</v>
      </c>
      <c r="AA541" s="105"/>
      <c r="AB541" s="105"/>
      <c r="AC541" s="105"/>
      <c r="AD541" s="144">
        <v>46113</v>
      </c>
      <c r="AE541" s="108" t="s">
        <v>11393</v>
      </c>
      <c r="AU541" s="229"/>
      <c r="AV541" s="229"/>
      <c r="AW541" s="229"/>
      <c r="AX541" s="229"/>
      <c r="AY541" s="229"/>
      <c r="AZ541" s="229"/>
      <c r="BA541" s="229"/>
      <c r="BB541" s="229"/>
      <c r="BC541" s="229"/>
      <c r="BD541" s="229"/>
      <c r="BE541" s="229"/>
      <c r="BF541" s="229"/>
      <c r="BG541" s="229"/>
      <c r="BH541" s="229"/>
      <c r="BI541" s="229"/>
      <c r="BJ541" s="229"/>
      <c r="BK541" s="229"/>
      <c r="BL541" s="229"/>
      <c r="BM541" s="229"/>
      <c r="BN541" s="229"/>
      <c r="BO541" s="229"/>
      <c r="BP541" s="229"/>
      <c r="BQ541" s="229"/>
      <c r="BR541" s="229"/>
      <c r="BS541" s="229"/>
      <c r="BT541" s="229"/>
      <c r="BU541" s="229"/>
      <c r="BV541" s="229"/>
      <c r="BW541" s="229"/>
      <c r="BX541" s="229"/>
      <c r="BY541" s="229"/>
      <c r="BZ541" s="229"/>
      <c r="CA541" s="229"/>
      <c r="CB541" s="229"/>
      <c r="CC541" s="229"/>
      <c r="CD541" s="229"/>
      <c r="CE541" s="229"/>
      <c r="CF541" s="229"/>
      <c r="CG541" s="229"/>
      <c r="CH541" s="229"/>
      <c r="CI541" s="229"/>
      <c r="CJ541" s="229"/>
      <c r="CK541" s="229"/>
      <c r="CL541" s="229"/>
      <c r="CM541" s="229"/>
      <c r="CN541" s="229"/>
      <c r="CO541" s="229"/>
      <c r="CP541" s="229"/>
      <c r="CQ541" s="229"/>
      <c r="CR541" s="229"/>
      <c r="CS541" s="229"/>
      <c r="CT541" s="229"/>
      <c r="CU541" s="229"/>
      <c r="CV541" s="229"/>
      <c r="CW541" s="229"/>
      <c r="CX541" s="229"/>
      <c r="CY541" s="229"/>
      <c r="CZ541" s="229"/>
      <c r="DA541" s="229"/>
      <c r="DB541" s="229"/>
      <c r="DC541" s="229"/>
      <c r="DD541" s="229"/>
      <c r="DE541" s="229"/>
      <c r="DF541" s="229"/>
      <c r="DG541" s="229"/>
      <c r="DH541" s="229"/>
      <c r="DI541" s="229"/>
      <c r="DJ541" s="229"/>
      <c r="DK541" s="229"/>
      <c r="DL541" s="229"/>
      <c r="DM541" s="229"/>
      <c r="DN541" s="229"/>
      <c r="DO541" s="229"/>
      <c r="DP541" s="229"/>
      <c r="DQ541" s="229"/>
      <c r="DR541" s="229"/>
      <c r="DS541" s="229"/>
      <c r="DT541" s="229"/>
      <c r="DU541" s="229"/>
      <c r="DV541" s="229"/>
      <c r="DW541" s="229"/>
      <c r="DX541" s="229"/>
      <c r="DY541" s="229"/>
      <c r="DZ541" s="229"/>
      <c r="EA541" s="229"/>
      <c r="EB541" s="229"/>
      <c r="EC541" s="229"/>
      <c r="ED541" s="229"/>
      <c r="EE541" s="229"/>
      <c r="EF541" s="229"/>
      <c r="EG541" s="229"/>
      <c r="EH541" s="229"/>
      <c r="EI541" s="229"/>
      <c r="EJ541" s="229"/>
      <c r="EK541" s="229"/>
      <c r="EL541" s="229"/>
      <c r="EM541" s="229"/>
      <c r="EN541" s="229"/>
      <c r="EO541" s="229"/>
      <c r="EP541" s="229"/>
      <c r="EQ541" s="229"/>
      <c r="ER541" s="229"/>
      <c r="ES541" s="229"/>
      <c r="ET541" s="229"/>
      <c r="EU541" s="229"/>
      <c r="EV541" s="229"/>
      <c r="EW541" s="229"/>
      <c r="EX541" s="229"/>
      <c r="EY541" s="229"/>
      <c r="EZ541" s="229"/>
      <c r="FA541" s="229"/>
    </row>
    <row r="542" spans="1:157" s="65" customFormat="1" ht="27" customHeight="1" x14ac:dyDescent="0.15">
      <c r="A542" s="105">
        <v>1111600092</v>
      </c>
      <c r="B542" s="130" t="s">
        <v>530</v>
      </c>
      <c r="C542" s="108" t="s">
        <v>498</v>
      </c>
      <c r="D542" s="108" t="s">
        <v>74</v>
      </c>
      <c r="E542" s="108" t="s">
        <v>136</v>
      </c>
      <c r="F542" s="131">
        <v>3620057</v>
      </c>
      <c r="G542" s="132" t="s">
        <v>612</v>
      </c>
      <c r="H542" s="132" t="s">
        <v>626</v>
      </c>
      <c r="I542" s="133" t="s">
        <v>240</v>
      </c>
      <c r="J542" s="134" t="s">
        <v>240</v>
      </c>
      <c r="K542" s="134"/>
      <c r="L542" s="134"/>
      <c r="M542" s="134" t="s">
        <v>4800</v>
      </c>
      <c r="N542" s="135" t="s">
        <v>4800</v>
      </c>
      <c r="O542" s="136"/>
      <c r="P542" s="105">
        <v>90</v>
      </c>
      <c r="Q542" s="137"/>
      <c r="R542" s="138">
        <v>2</v>
      </c>
      <c r="S542" s="105"/>
      <c r="T542" s="105"/>
      <c r="U542" s="105">
        <v>40</v>
      </c>
      <c r="V542" s="137">
        <v>20</v>
      </c>
      <c r="W542" s="138"/>
      <c r="X542" s="137">
        <v>30</v>
      </c>
      <c r="Y542" s="138"/>
      <c r="Z542" s="105"/>
      <c r="AA542" s="105"/>
      <c r="AB542" s="105"/>
      <c r="AC542" s="105"/>
      <c r="AD542" s="118">
        <v>39173</v>
      </c>
      <c r="AE542" s="108" t="s">
        <v>60</v>
      </c>
    </row>
    <row r="543" spans="1:157" s="65" customFormat="1" ht="27" customHeight="1" x14ac:dyDescent="0.15">
      <c r="A543" s="105">
        <v>1111600092</v>
      </c>
      <c r="B543" s="130" t="s">
        <v>530</v>
      </c>
      <c r="C543" s="108" t="s">
        <v>498</v>
      </c>
      <c r="D543" s="108" t="s">
        <v>74</v>
      </c>
      <c r="E543" s="108" t="s">
        <v>136</v>
      </c>
      <c r="F543" s="131">
        <v>3620057</v>
      </c>
      <c r="G543" s="132" t="s">
        <v>612</v>
      </c>
      <c r="H543" s="132" t="s">
        <v>626</v>
      </c>
      <c r="I543" s="133" t="s">
        <v>4794</v>
      </c>
      <c r="J543" s="134"/>
      <c r="K543" s="134"/>
      <c r="L543" s="134"/>
      <c r="M543" s="134" t="s">
        <v>4794</v>
      </c>
      <c r="N543" s="135" t="s">
        <v>4794</v>
      </c>
      <c r="O543" s="136"/>
      <c r="P543" s="105"/>
      <c r="Q543" s="137"/>
      <c r="R543" s="138"/>
      <c r="S543" s="105"/>
      <c r="T543" s="105"/>
      <c r="U543" s="105"/>
      <c r="V543" s="137"/>
      <c r="W543" s="138"/>
      <c r="X543" s="137"/>
      <c r="Y543" s="138"/>
      <c r="Z543" s="105"/>
      <c r="AA543" s="105"/>
      <c r="AB543" s="105" t="s">
        <v>4794</v>
      </c>
      <c r="AC543" s="105"/>
      <c r="AD543" s="118">
        <v>43405</v>
      </c>
      <c r="AE543" s="108" t="s">
        <v>60</v>
      </c>
    </row>
    <row r="544" spans="1:157" s="65" customFormat="1" ht="27" customHeight="1" x14ac:dyDescent="0.15">
      <c r="A544" s="150">
        <v>1111600100</v>
      </c>
      <c r="B544" s="106" t="s">
        <v>424</v>
      </c>
      <c r="C544" s="107" t="s">
        <v>292</v>
      </c>
      <c r="D544" s="108" t="s">
        <v>293</v>
      </c>
      <c r="E544" s="108" t="s">
        <v>294</v>
      </c>
      <c r="F544" s="151">
        <v>3620051</v>
      </c>
      <c r="G544" s="132" t="s">
        <v>295</v>
      </c>
      <c r="H544" s="132" t="s">
        <v>296</v>
      </c>
      <c r="I544" s="133"/>
      <c r="J544" s="154"/>
      <c r="K544" s="154"/>
      <c r="L544" s="154"/>
      <c r="M544" s="154" t="s">
        <v>49</v>
      </c>
      <c r="N544" s="184"/>
      <c r="O544" s="185"/>
      <c r="P544" s="150"/>
      <c r="Q544" s="137"/>
      <c r="R544" s="138"/>
      <c r="S544" s="150"/>
      <c r="T544" s="150">
        <v>45</v>
      </c>
      <c r="U544" s="105"/>
      <c r="V544" s="137"/>
      <c r="W544" s="138"/>
      <c r="X544" s="137"/>
      <c r="Y544" s="138"/>
      <c r="Z544" s="105"/>
      <c r="AA544" s="105"/>
      <c r="AB544" s="105"/>
      <c r="AC544" s="105"/>
      <c r="AD544" s="144">
        <v>39904</v>
      </c>
      <c r="AE544" s="108" t="s">
        <v>468</v>
      </c>
    </row>
    <row r="545" spans="1:31" s="65" customFormat="1" ht="27" customHeight="1" x14ac:dyDescent="0.15">
      <c r="A545" s="76">
        <v>1111600118</v>
      </c>
      <c r="B545" s="165" t="s">
        <v>763</v>
      </c>
      <c r="C545" s="166" t="s">
        <v>297</v>
      </c>
      <c r="D545" s="166" t="s">
        <v>74</v>
      </c>
      <c r="E545" s="166" t="s">
        <v>142</v>
      </c>
      <c r="F545" s="254">
        <v>3620001</v>
      </c>
      <c r="G545" s="72" t="s">
        <v>613</v>
      </c>
      <c r="H545" s="72" t="s">
        <v>627</v>
      </c>
      <c r="I545" s="128"/>
      <c r="J545" s="256"/>
      <c r="K545" s="256"/>
      <c r="L545" s="256"/>
      <c r="M545" s="256" t="s">
        <v>49</v>
      </c>
      <c r="N545" s="158"/>
      <c r="O545" s="91"/>
      <c r="P545" s="76"/>
      <c r="Q545" s="70"/>
      <c r="R545" s="92"/>
      <c r="S545" s="76"/>
      <c r="T545" s="76"/>
      <c r="U545" s="76"/>
      <c r="V545" s="70">
        <v>6</v>
      </c>
      <c r="W545" s="92"/>
      <c r="X545" s="70">
        <v>6</v>
      </c>
      <c r="Y545" s="92"/>
      <c r="Z545" s="76"/>
      <c r="AA545" s="76">
        <v>28</v>
      </c>
      <c r="AB545" s="76"/>
      <c r="AC545" s="76"/>
      <c r="AD545" s="104">
        <v>43556</v>
      </c>
      <c r="AE545" s="166" t="s">
        <v>299</v>
      </c>
    </row>
    <row r="546" spans="1:31" s="65" customFormat="1" ht="27" customHeight="1" x14ac:dyDescent="0.15">
      <c r="A546" s="105">
        <v>1111600118</v>
      </c>
      <c r="B546" s="130" t="s">
        <v>763</v>
      </c>
      <c r="C546" s="108" t="s">
        <v>5006</v>
      </c>
      <c r="D546" s="108" t="s">
        <v>74</v>
      </c>
      <c r="E546" s="108" t="s">
        <v>142</v>
      </c>
      <c r="F546" s="131">
        <v>3620001</v>
      </c>
      <c r="G546" s="132" t="s">
        <v>613</v>
      </c>
      <c r="H546" s="132" t="s">
        <v>627</v>
      </c>
      <c r="I546" s="133"/>
      <c r="J546" s="134"/>
      <c r="K546" s="134"/>
      <c r="L546" s="134"/>
      <c r="M546" s="134" t="s">
        <v>4926</v>
      </c>
      <c r="N546" s="135"/>
      <c r="O546" s="136"/>
      <c r="P546" s="105"/>
      <c r="Q546" s="137"/>
      <c r="R546" s="138"/>
      <c r="S546" s="105"/>
      <c r="T546" s="105"/>
      <c r="U546" s="105"/>
      <c r="V546" s="137"/>
      <c r="W546" s="138"/>
      <c r="X546" s="137"/>
      <c r="Y546" s="138"/>
      <c r="Z546" s="105"/>
      <c r="AA546" s="105"/>
      <c r="AB546" s="105" t="s">
        <v>4926</v>
      </c>
      <c r="AC546" s="105"/>
      <c r="AD546" s="118">
        <v>43556</v>
      </c>
      <c r="AE546" s="108" t="s">
        <v>299</v>
      </c>
    </row>
    <row r="547" spans="1:31" ht="27" customHeight="1" x14ac:dyDescent="0.15">
      <c r="A547" s="105">
        <v>1111600126</v>
      </c>
      <c r="B547" s="130" t="s">
        <v>764</v>
      </c>
      <c r="C547" s="108" t="s">
        <v>300</v>
      </c>
      <c r="D547" s="108" t="s">
        <v>74</v>
      </c>
      <c r="E547" s="108" t="s">
        <v>137</v>
      </c>
      <c r="F547" s="131">
        <v>3620011</v>
      </c>
      <c r="G547" s="132" t="s">
        <v>614</v>
      </c>
      <c r="H547" s="132" t="s">
        <v>628</v>
      </c>
      <c r="I547" s="133"/>
      <c r="J547" s="134"/>
      <c r="K547" s="134"/>
      <c r="L547" s="134"/>
      <c r="M547" s="134" t="s">
        <v>66</v>
      </c>
      <c r="N547" s="135"/>
      <c r="O547" s="136"/>
      <c r="P547" s="105">
        <v>80</v>
      </c>
      <c r="Q547" s="152" t="s">
        <v>2610</v>
      </c>
      <c r="R547" s="138">
        <v>14</v>
      </c>
      <c r="S547" s="132"/>
      <c r="T547" s="105">
        <v>100</v>
      </c>
      <c r="U547" s="132"/>
      <c r="V547" s="152"/>
      <c r="W547" s="136"/>
      <c r="X547" s="152"/>
      <c r="Y547" s="136"/>
      <c r="Z547" s="132"/>
      <c r="AA547" s="132"/>
      <c r="AB547" s="132"/>
      <c r="AC547" s="132"/>
      <c r="AD547" s="155">
        <v>39539</v>
      </c>
      <c r="AE547" s="108" t="s">
        <v>2678</v>
      </c>
    </row>
    <row r="548" spans="1:31" ht="27" customHeight="1" x14ac:dyDescent="0.15">
      <c r="A548" s="105">
        <v>1111600134</v>
      </c>
      <c r="B548" s="130" t="s">
        <v>767</v>
      </c>
      <c r="C548" s="108" t="s">
        <v>551</v>
      </c>
      <c r="D548" s="108" t="s">
        <v>74</v>
      </c>
      <c r="E548" s="108" t="s">
        <v>138</v>
      </c>
      <c r="F548" s="131">
        <v>3620003</v>
      </c>
      <c r="G548" s="132" t="s">
        <v>615</v>
      </c>
      <c r="H548" s="132" t="s">
        <v>629</v>
      </c>
      <c r="I548" s="133"/>
      <c r="J548" s="134"/>
      <c r="K548" s="134"/>
      <c r="L548" s="134"/>
      <c r="M548" s="134" t="s">
        <v>2832</v>
      </c>
      <c r="N548" s="135"/>
      <c r="O548" s="136"/>
      <c r="P548" s="105"/>
      <c r="Q548" s="137"/>
      <c r="R548" s="138"/>
      <c r="S548" s="105"/>
      <c r="T548" s="105">
        <v>35</v>
      </c>
      <c r="U548" s="105"/>
      <c r="V548" s="137"/>
      <c r="W548" s="138"/>
      <c r="X548" s="137">
        <v>10</v>
      </c>
      <c r="Y548" s="138"/>
      <c r="Z548" s="105"/>
      <c r="AA548" s="105">
        <v>35</v>
      </c>
      <c r="AB548" s="105"/>
      <c r="AC548" s="105"/>
      <c r="AD548" s="118">
        <v>39508</v>
      </c>
      <c r="AE548" s="108" t="s">
        <v>469</v>
      </c>
    </row>
    <row r="549" spans="1:31" ht="27" customHeight="1" x14ac:dyDescent="0.15">
      <c r="A549" s="105">
        <v>1111600142</v>
      </c>
      <c r="B549" s="130" t="s">
        <v>767</v>
      </c>
      <c r="C549" s="108" t="s">
        <v>549</v>
      </c>
      <c r="D549" s="108" t="s">
        <v>74</v>
      </c>
      <c r="E549" s="108" t="s">
        <v>139</v>
      </c>
      <c r="F549" s="131">
        <v>3620061</v>
      </c>
      <c r="G549" s="132" t="s">
        <v>2537</v>
      </c>
      <c r="H549" s="132" t="s">
        <v>1417</v>
      </c>
      <c r="I549" s="133"/>
      <c r="J549" s="134"/>
      <c r="K549" s="134"/>
      <c r="L549" s="134"/>
      <c r="M549" s="134" t="s">
        <v>49</v>
      </c>
      <c r="N549" s="135"/>
      <c r="O549" s="136"/>
      <c r="P549" s="105"/>
      <c r="Q549" s="137"/>
      <c r="R549" s="138"/>
      <c r="S549" s="105"/>
      <c r="T549" s="105">
        <v>40</v>
      </c>
      <c r="U549" s="105"/>
      <c r="V549" s="116"/>
      <c r="W549" s="117"/>
      <c r="X549" s="116"/>
      <c r="Y549" s="138"/>
      <c r="Z549" s="105"/>
      <c r="AA549" s="105"/>
      <c r="AB549" s="105"/>
      <c r="AC549" s="105"/>
      <c r="AD549" s="118">
        <v>39508</v>
      </c>
      <c r="AE549" s="108" t="s">
        <v>1115</v>
      </c>
    </row>
    <row r="550" spans="1:31" ht="27" customHeight="1" x14ac:dyDescent="0.15">
      <c r="A550" s="105">
        <v>1111600159</v>
      </c>
      <c r="B550" s="130" t="s">
        <v>767</v>
      </c>
      <c r="C550" s="108" t="s">
        <v>550</v>
      </c>
      <c r="D550" s="108" t="s">
        <v>74</v>
      </c>
      <c r="E550" s="108" t="s">
        <v>140</v>
      </c>
      <c r="F550" s="131">
        <v>3620061</v>
      </c>
      <c r="G550" s="132" t="s">
        <v>2538</v>
      </c>
      <c r="H550" s="132" t="s">
        <v>630</v>
      </c>
      <c r="I550" s="133"/>
      <c r="J550" s="134"/>
      <c r="K550" s="134"/>
      <c r="L550" s="134"/>
      <c r="M550" s="134" t="s">
        <v>49</v>
      </c>
      <c r="N550" s="135"/>
      <c r="O550" s="136"/>
      <c r="P550" s="105"/>
      <c r="Q550" s="137"/>
      <c r="R550" s="138"/>
      <c r="S550" s="105"/>
      <c r="T550" s="105">
        <v>30</v>
      </c>
      <c r="U550" s="105"/>
      <c r="V550" s="270"/>
      <c r="W550" s="271"/>
      <c r="X550" s="137"/>
      <c r="Y550" s="138"/>
      <c r="Z550" s="105"/>
      <c r="AA550" s="105">
        <v>30</v>
      </c>
      <c r="AB550" s="105"/>
      <c r="AC550" s="105"/>
      <c r="AD550" s="118">
        <v>39508</v>
      </c>
      <c r="AE550" s="108" t="s">
        <v>1115</v>
      </c>
    </row>
    <row r="551" spans="1:31" ht="27" customHeight="1" x14ac:dyDescent="0.15">
      <c r="A551" s="105">
        <v>1111600159</v>
      </c>
      <c r="B551" s="130" t="s">
        <v>767</v>
      </c>
      <c r="C551" s="108" t="s">
        <v>550</v>
      </c>
      <c r="D551" s="108" t="s">
        <v>74</v>
      </c>
      <c r="E551" s="108" t="s">
        <v>140</v>
      </c>
      <c r="F551" s="131">
        <v>3620061</v>
      </c>
      <c r="G551" s="132" t="s">
        <v>4799</v>
      </c>
      <c r="H551" s="132" t="s">
        <v>630</v>
      </c>
      <c r="I551" s="133"/>
      <c r="J551" s="134"/>
      <c r="K551" s="134"/>
      <c r="L551" s="134"/>
      <c r="M551" s="134" t="s">
        <v>4794</v>
      </c>
      <c r="N551" s="135"/>
      <c r="O551" s="136"/>
      <c r="P551" s="105"/>
      <c r="Q551" s="137"/>
      <c r="R551" s="138"/>
      <c r="S551" s="105"/>
      <c r="T551" s="105"/>
      <c r="U551" s="105"/>
      <c r="V551" s="270"/>
      <c r="W551" s="271"/>
      <c r="X551" s="137"/>
      <c r="Y551" s="138"/>
      <c r="Z551" s="105"/>
      <c r="AA551" s="105"/>
      <c r="AB551" s="105" t="s">
        <v>4794</v>
      </c>
      <c r="AC551" s="105"/>
      <c r="AD551" s="118">
        <v>43405</v>
      </c>
      <c r="AE551" s="108" t="s">
        <v>1115</v>
      </c>
    </row>
    <row r="552" spans="1:31" ht="27" customHeight="1" x14ac:dyDescent="0.15">
      <c r="A552" s="105">
        <v>1111600241</v>
      </c>
      <c r="B552" s="130" t="s">
        <v>768</v>
      </c>
      <c r="C552" s="108" t="s">
        <v>517</v>
      </c>
      <c r="D552" s="108" t="s">
        <v>74</v>
      </c>
      <c r="E552" s="108" t="s">
        <v>141</v>
      </c>
      <c r="F552" s="131">
        <v>3620072</v>
      </c>
      <c r="G552" s="132" t="s">
        <v>616</v>
      </c>
      <c r="H552" s="132" t="s">
        <v>631</v>
      </c>
      <c r="I552" s="133"/>
      <c r="J552" s="134"/>
      <c r="K552" s="134"/>
      <c r="L552" s="134"/>
      <c r="M552" s="134" t="s">
        <v>49</v>
      </c>
      <c r="N552" s="135"/>
      <c r="O552" s="136"/>
      <c r="P552" s="105"/>
      <c r="Q552" s="137"/>
      <c r="R552" s="138"/>
      <c r="S552" s="105"/>
      <c r="T552" s="105">
        <v>16</v>
      </c>
      <c r="U552" s="105"/>
      <c r="V552" s="270"/>
      <c r="W552" s="271"/>
      <c r="X552" s="137"/>
      <c r="Y552" s="138"/>
      <c r="Z552" s="105"/>
      <c r="AA552" s="105">
        <v>32</v>
      </c>
      <c r="AB552" s="105"/>
      <c r="AC552" s="105"/>
      <c r="AD552" s="118">
        <v>39173</v>
      </c>
      <c r="AE552" s="108" t="s">
        <v>304</v>
      </c>
    </row>
    <row r="553" spans="1:31" ht="27" customHeight="1" x14ac:dyDescent="0.15">
      <c r="A553" s="228">
        <v>1111600274</v>
      </c>
      <c r="B553" s="130" t="s">
        <v>769</v>
      </c>
      <c r="C553" s="130" t="s">
        <v>3488</v>
      </c>
      <c r="D553" s="108" t="s">
        <v>74</v>
      </c>
      <c r="E553" s="130" t="s">
        <v>3489</v>
      </c>
      <c r="F553" s="131" t="s">
        <v>3490</v>
      </c>
      <c r="G553" s="132" t="s">
        <v>617</v>
      </c>
      <c r="H553" s="132" t="s">
        <v>632</v>
      </c>
      <c r="I553" s="133"/>
      <c r="J553" s="134"/>
      <c r="K553" s="154"/>
      <c r="L553" s="154"/>
      <c r="M553" s="154"/>
      <c r="N553" s="143" t="s">
        <v>765</v>
      </c>
      <c r="O553" s="138"/>
      <c r="P553" s="132"/>
      <c r="Q553" s="272"/>
      <c r="R553" s="248"/>
      <c r="S553" s="132"/>
      <c r="T553" s="132">
        <v>6</v>
      </c>
      <c r="U553" s="132"/>
      <c r="V553" s="152"/>
      <c r="W553" s="248"/>
      <c r="X553" s="152">
        <v>6</v>
      </c>
      <c r="Y553" s="136"/>
      <c r="Z553" s="132"/>
      <c r="AA553" s="132">
        <v>20</v>
      </c>
      <c r="AB553" s="132"/>
      <c r="AC553" s="132"/>
      <c r="AD553" s="239">
        <v>39356</v>
      </c>
      <c r="AE553" s="273" t="s">
        <v>3491</v>
      </c>
    </row>
    <row r="554" spans="1:31" ht="27" customHeight="1" x14ac:dyDescent="0.15">
      <c r="A554" s="105">
        <v>1111600274</v>
      </c>
      <c r="B554" s="130" t="s">
        <v>4744</v>
      </c>
      <c r="C554" s="108" t="s">
        <v>4745</v>
      </c>
      <c r="D554" s="108" t="s">
        <v>74</v>
      </c>
      <c r="E554" s="108" t="s">
        <v>3489</v>
      </c>
      <c r="F554" s="131" t="s">
        <v>4746</v>
      </c>
      <c r="G554" s="132" t="s">
        <v>4747</v>
      </c>
      <c r="H554" s="132" t="s">
        <v>4748</v>
      </c>
      <c r="I554" s="133"/>
      <c r="J554" s="134"/>
      <c r="K554" s="134"/>
      <c r="L554" s="134"/>
      <c r="M554" s="134"/>
      <c r="N554" s="135" t="s">
        <v>4749</v>
      </c>
      <c r="O554" s="136"/>
      <c r="P554" s="132"/>
      <c r="Q554" s="152"/>
      <c r="R554" s="136"/>
      <c r="S554" s="132"/>
      <c r="T554" s="105"/>
      <c r="U554" s="132"/>
      <c r="V554" s="152"/>
      <c r="W554" s="136"/>
      <c r="X554" s="152"/>
      <c r="Y554" s="136"/>
      <c r="Z554" s="132"/>
      <c r="AA554" s="132"/>
      <c r="AB554" s="105" t="s">
        <v>4749</v>
      </c>
      <c r="AC554" s="105"/>
      <c r="AD554" s="118">
        <v>43374</v>
      </c>
      <c r="AE554" s="108" t="s">
        <v>4750</v>
      </c>
    </row>
    <row r="555" spans="1:31" s="65" customFormat="1" ht="27" customHeight="1" x14ac:dyDescent="0.15">
      <c r="A555" s="175">
        <v>1111600274</v>
      </c>
      <c r="B555" s="161" t="s">
        <v>12011</v>
      </c>
      <c r="C555" s="263" t="s">
        <v>3488</v>
      </c>
      <c r="D555" s="162" t="s">
        <v>1973</v>
      </c>
      <c r="E555" s="162" t="s">
        <v>11361</v>
      </c>
      <c r="F555" s="205" t="s">
        <v>11362</v>
      </c>
      <c r="G555" s="274" t="s">
        <v>617</v>
      </c>
      <c r="H555" s="206" t="s">
        <v>632</v>
      </c>
      <c r="I555" s="221"/>
      <c r="J555" s="222"/>
      <c r="K555" s="222"/>
      <c r="L555" s="222"/>
      <c r="M555" s="222"/>
      <c r="N555" s="208" t="s">
        <v>10982</v>
      </c>
      <c r="O555" s="208"/>
      <c r="P555" s="175"/>
      <c r="Q555" s="209"/>
      <c r="R555" s="210"/>
      <c r="S555" s="175"/>
      <c r="T555" s="175"/>
      <c r="U555" s="175"/>
      <c r="V555" s="209"/>
      <c r="W555" s="210"/>
      <c r="X555" s="209"/>
      <c r="Y555" s="210"/>
      <c r="Z555" s="175"/>
      <c r="AA555" s="175"/>
      <c r="AB555" s="175"/>
      <c r="AC555" s="175">
        <v>10</v>
      </c>
      <c r="AD555" s="275">
        <v>46113</v>
      </c>
      <c r="AE555" s="162" t="s">
        <v>11363</v>
      </c>
    </row>
    <row r="556" spans="1:31" s="65" customFormat="1" ht="27" customHeight="1" x14ac:dyDescent="0.15">
      <c r="A556" s="105">
        <v>1111600282</v>
      </c>
      <c r="B556" s="130" t="s">
        <v>769</v>
      </c>
      <c r="C556" s="108" t="s">
        <v>305</v>
      </c>
      <c r="D556" s="108" t="s">
        <v>74</v>
      </c>
      <c r="E556" s="108" t="s">
        <v>6552</v>
      </c>
      <c r="F556" s="131">
        <v>3620015</v>
      </c>
      <c r="G556" s="132" t="s">
        <v>618</v>
      </c>
      <c r="H556" s="132" t="s">
        <v>633</v>
      </c>
      <c r="I556" s="133"/>
      <c r="J556" s="134"/>
      <c r="K556" s="134"/>
      <c r="L556" s="134"/>
      <c r="M556" s="134"/>
      <c r="N556" s="135" t="s">
        <v>49</v>
      </c>
      <c r="O556" s="136"/>
      <c r="P556" s="105"/>
      <c r="Q556" s="116"/>
      <c r="R556" s="138"/>
      <c r="S556" s="105"/>
      <c r="T556" s="105"/>
      <c r="U556" s="105"/>
      <c r="V556" s="116"/>
      <c r="W556" s="138"/>
      <c r="X556" s="116"/>
      <c r="Y556" s="138"/>
      <c r="Z556" s="105"/>
      <c r="AA556" s="105">
        <v>20</v>
      </c>
      <c r="AB556" s="105"/>
      <c r="AC556" s="105"/>
      <c r="AD556" s="118">
        <v>39356</v>
      </c>
      <c r="AE556" s="108" t="s">
        <v>306</v>
      </c>
    </row>
    <row r="557" spans="1:31" s="65" customFormat="1" ht="27" customHeight="1" x14ac:dyDescent="0.15">
      <c r="A557" s="105">
        <v>1111600399</v>
      </c>
      <c r="B557" s="106" t="s">
        <v>402</v>
      </c>
      <c r="C557" s="107" t="s">
        <v>307</v>
      </c>
      <c r="D557" s="108" t="s">
        <v>1973</v>
      </c>
      <c r="E557" s="108" t="s">
        <v>1974</v>
      </c>
      <c r="F557" s="139" t="s">
        <v>1975</v>
      </c>
      <c r="G557" s="140" t="s">
        <v>308</v>
      </c>
      <c r="H557" s="140" t="s">
        <v>309</v>
      </c>
      <c r="I557" s="141"/>
      <c r="J557" s="142"/>
      <c r="K557" s="142" t="s">
        <v>49</v>
      </c>
      <c r="L557" s="142" t="s">
        <v>49</v>
      </c>
      <c r="M557" s="142" t="s">
        <v>49</v>
      </c>
      <c r="N557" s="143" t="s">
        <v>49</v>
      </c>
      <c r="O557" s="138"/>
      <c r="P557" s="105"/>
      <c r="Q557" s="137"/>
      <c r="R557" s="138"/>
      <c r="S557" s="105"/>
      <c r="T557" s="105"/>
      <c r="U557" s="105"/>
      <c r="V557" s="137"/>
      <c r="W557" s="138"/>
      <c r="X557" s="137"/>
      <c r="Y557" s="138"/>
      <c r="Z557" s="105"/>
      <c r="AA557" s="105">
        <v>20</v>
      </c>
      <c r="AB557" s="105"/>
      <c r="AC557" s="105"/>
      <c r="AD557" s="144">
        <v>39904</v>
      </c>
      <c r="AE557" s="108" t="s">
        <v>62</v>
      </c>
    </row>
    <row r="558" spans="1:31" s="65" customFormat="1" ht="27" customHeight="1" x14ac:dyDescent="0.15">
      <c r="A558" s="105">
        <v>1111600456</v>
      </c>
      <c r="B558" s="106" t="s">
        <v>1277</v>
      </c>
      <c r="C558" s="107" t="s">
        <v>1278</v>
      </c>
      <c r="D558" s="108" t="s">
        <v>74</v>
      </c>
      <c r="E558" s="108" t="s">
        <v>1279</v>
      </c>
      <c r="F558" s="139">
        <v>3620052</v>
      </c>
      <c r="G558" s="140" t="s">
        <v>1280</v>
      </c>
      <c r="H558" s="140" t="s">
        <v>1281</v>
      </c>
      <c r="I558" s="133" t="s">
        <v>49</v>
      </c>
      <c r="J558" s="142"/>
      <c r="K558" s="142"/>
      <c r="L558" s="142"/>
      <c r="M558" s="142" t="s">
        <v>49</v>
      </c>
      <c r="N558" s="143"/>
      <c r="O558" s="138"/>
      <c r="P558" s="105"/>
      <c r="Q558" s="137"/>
      <c r="R558" s="138"/>
      <c r="S558" s="105"/>
      <c r="T558" s="105">
        <v>20</v>
      </c>
      <c r="U558" s="105"/>
      <c r="V558" s="137"/>
      <c r="W558" s="138"/>
      <c r="X558" s="137"/>
      <c r="Y558" s="138"/>
      <c r="Z558" s="105"/>
      <c r="AA558" s="105"/>
      <c r="AB558" s="105"/>
      <c r="AC558" s="105"/>
      <c r="AD558" s="118">
        <v>40634</v>
      </c>
      <c r="AE558" s="108" t="s">
        <v>1282</v>
      </c>
    </row>
    <row r="559" spans="1:31" ht="27" customHeight="1" x14ac:dyDescent="0.15">
      <c r="A559" s="105">
        <v>1111600464</v>
      </c>
      <c r="B559" s="106" t="s">
        <v>1290</v>
      </c>
      <c r="C559" s="107" t="s">
        <v>1289</v>
      </c>
      <c r="D559" s="108" t="s">
        <v>74</v>
      </c>
      <c r="E559" s="108" t="s">
        <v>11250</v>
      </c>
      <c r="F559" s="139">
        <v>3620011</v>
      </c>
      <c r="G559" s="140" t="s">
        <v>1291</v>
      </c>
      <c r="H559" s="140" t="s">
        <v>1292</v>
      </c>
      <c r="I559" s="160" t="s">
        <v>765</v>
      </c>
      <c r="J559" s="142" t="s">
        <v>765</v>
      </c>
      <c r="K559" s="142" t="s">
        <v>765</v>
      </c>
      <c r="L559" s="142" t="s">
        <v>765</v>
      </c>
      <c r="M559" s="142" t="s">
        <v>765</v>
      </c>
      <c r="N559" s="143" t="s">
        <v>765</v>
      </c>
      <c r="O559" s="138" t="s">
        <v>765</v>
      </c>
      <c r="P559" s="105"/>
      <c r="Q559" s="137"/>
      <c r="R559" s="138"/>
      <c r="S559" s="105"/>
      <c r="T559" s="105">
        <v>35</v>
      </c>
      <c r="U559" s="105"/>
      <c r="V559" s="137"/>
      <c r="W559" s="138"/>
      <c r="X559" s="137"/>
      <c r="Y559" s="138"/>
      <c r="Z559" s="105"/>
      <c r="AA559" s="105"/>
      <c r="AB559" s="105"/>
      <c r="AC559" s="105"/>
      <c r="AD559" s="118">
        <v>40634</v>
      </c>
      <c r="AE559" s="108" t="s">
        <v>9147</v>
      </c>
    </row>
    <row r="560" spans="1:31" s="65" customFormat="1" ht="27" customHeight="1" x14ac:dyDescent="0.15">
      <c r="A560" s="105">
        <v>1111600506</v>
      </c>
      <c r="B560" s="106" t="s">
        <v>1757</v>
      </c>
      <c r="C560" s="107" t="s">
        <v>1758</v>
      </c>
      <c r="D560" s="108" t="s">
        <v>74</v>
      </c>
      <c r="E560" s="108" t="s">
        <v>1759</v>
      </c>
      <c r="F560" s="139" t="s">
        <v>1764</v>
      </c>
      <c r="G560" s="140" t="s">
        <v>1761</v>
      </c>
      <c r="H560" s="140" t="s">
        <v>1762</v>
      </c>
      <c r="I560" s="133" t="s">
        <v>1760</v>
      </c>
      <c r="J560" s="142"/>
      <c r="K560" s="142"/>
      <c r="L560" s="142"/>
      <c r="M560" s="142"/>
      <c r="N560" s="143"/>
      <c r="O560" s="138"/>
      <c r="P560" s="105"/>
      <c r="Q560" s="137"/>
      <c r="R560" s="138"/>
      <c r="S560" s="105"/>
      <c r="T560" s="105"/>
      <c r="U560" s="105"/>
      <c r="V560" s="137"/>
      <c r="W560" s="138"/>
      <c r="X560" s="137"/>
      <c r="Y560" s="138"/>
      <c r="Z560" s="105"/>
      <c r="AA560" s="105">
        <v>20</v>
      </c>
      <c r="AB560" s="105"/>
      <c r="AC560" s="105"/>
      <c r="AD560" s="118">
        <v>41000</v>
      </c>
      <c r="AE560" s="108" t="s">
        <v>1763</v>
      </c>
    </row>
    <row r="561" spans="1:157" s="65" customFormat="1" ht="27" customHeight="1" x14ac:dyDescent="0.15">
      <c r="A561" s="277">
        <v>1111600530</v>
      </c>
      <c r="B561" s="278" t="s">
        <v>2081</v>
      </c>
      <c r="C561" s="243" t="s">
        <v>2082</v>
      </c>
      <c r="D561" s="243" t="s">
        <v>74</v>
      </c>
      <c r="E561" s="108" t="s">
        <v>9359</v>
      </c>
      <c r="F561" s="139" t="s">
        <v>9360</v>
      </c>
      <c r="G561" s="277" t="s">
        <v>2230</v>
      </c>
      <c r="H561" s="277" t="s">
        <v>2230</v>
      </c>
      <c r="I561" s="245"/>
      <c r="J561" s="246"/>
      <c r="K561" s="246"/>
      <c r="L561" s="246"/>
      <c r="M561" s="134" t="s">
        <v>49</v>
      </c>
      <c r="N561" s="279"/>
      <c r="O561" s="247"/>
      <c r="P561" s="132"/>
      <c r="Q561" s="152"/>
      <c r="R561" s="136"/>
      <c r="S561" s="132"/>
      <c r="T561" s="132"/>
      <c r="U561" s="132"/>
      <c r="V561" s="152"/>
      <c r="W561" s="136"/>
      <c r="X561" s="152"/>
      <c r="Y561" s="136"/>
      <c r="Z561" s="277"/>
      <c r="AA561" s="132">
        <v>20</v>
      </c>
      <c r="AB561" s="132"/>
      <c r="AC561" s="132"/>
      <c r="AD561" s="250">
        <v>41091</v>
      </c>
      <c r="AE561" s="108" t="s">
        <v>9361</v>
      </c>
    </row>
    <row r="562" spans="1:157" s="65" customFormat="1" ht="27" customHeight="1" x14ac:dyDescent="0.15">
      <c r="A562" s="105">
        <v>1111600621</v>
      </c>
      <c r="B562" s="130" t="s">
        <v>4267</v>
      </c>
      <c r="C562" s="108" t="s">
        <v>4185</v>
      </c>
      <c r="D562" s="108" t="s">
        <v>74</v>
      </c>
      <c r="E562" s="108" t="s">
        <v>2391</v>
      </c>
      <c r="F562" s="131" t="s">
        <v>3758</v>
      </c>
      <c r="G562" s="132" t="s">
        <v>3759</v>
      </c>
      <c r="H562" s="132" t="s">
        <v>3760</v>
      </c>
      <c r="I562" s="133"/>
      <c r="J562" s="134" t="s">
        <v>765</v>
      </c>
      <c r="K562" s="134" t="s">
        <v>765</v>
      </c>
      <c r="L562" s="134" t="s">
        <v>765</v>
      </c>
      <c r="M562" s="134" t="s">
        <v>765</v>
      </c>
      <c r="N562" s="135" t="s">
        <v>765</v>
      </c>
      <c r="O562" s="136"/>
      <c r="P562" s="105"/>
      <c r="Q562" s="137"/>
      <c r="R562" s="138"/>
      <c r="S562" s="105"/>
      <c r="T562" s="105">
        <v>40</v>
      </c>
      <c r="U562" s="105"/>
      <c r="V562" s="137"/>
      <c r="W562" s="138"/>
      <c r="X562" s="152"/>
      <c r="Y562" s="138"/>
      <c r="Z562" s="105"/>
      <c r="AA562" s="105"/>
      <c r="AB562" s="105"/>
      <c r="AC562" s="105"/>
      <c r="AD562" s="118">
        <v>41730</v>
      </c>
      <c r="AE562" s="108" t="s">
        <v>2392</v>
      </c>
    </row>
    <row r="563" spans="1:157" s="65" customFormat="1" ht="27" customHeight="1" x14ac:dyDescent="0.15">
      <c r="A563" s="105">
        <v>1111600647</v>
      </c>
      <c r="B563" s="106" t="s">
        <v>2500</v>
      </c>
      <c r="C563" s="107" t="s">
        <v>2501</v>
      </c>
      <c r="D563" s="108" t="s">
        <v>74</v>
      </c>
      <c r="E563" s="108" t="s">
        <v>2502</v>
      </c>
      <c r="F563" s="139" t="s">
        <v>2503</v>
      </c>
      <c r="G563" s="140" t="s">
        <v>2504</v>
      </c>
      <c r="H563" s="140" t="s">
        <v>2504</v>
      </c>
      <c r="I563" s="141"/>
      <c r="J563" s="142"/>
      <c r="K563" s="142"/>
      <c r="L563" s="142"/>
      <c r="M563" s="142" t="s">
        <v>49</v>
      </c>
      <c r="N563" s="143"/>
      <c r="O563" s="138"/>
      <c r="P563" s="105"/>
      <c r="Q563" s="137"/>
      <c r="R563" s="138"/>
      <c r="S563" s="105"/>
      <c r="T563" s="105">
        <v>6</v>
      </c>
      <c r="U563" s="105"/>
      <c r="V563" s="137"/>
      <c r="W563" s="138"/>
      <c r="X563" s="137"/>
      <c r="Y563" s="138"/>
      <c r="Z563" s="105"/>
      <c r="AA563" s="105"/>
      <c r="AB563" s="105"/>
      <c r="AC563" s="105"/>
      <c r="AD563" s="144">
        <v>41791</v>
      </c>
      <c r="AE563" s="108" t="s">
        <v>2505</v>
      </c>
    </row>
    <row r="564" spans="1:157" ht="27" customHeight="1" x14ac:dyDescent="0.15">
      <c r="A564" s="175">
        <v>1116000686</v>
      </c>
      <c r="B564" s="204" t="s">
        <v>11655</v>
      </c>
      <c r="C564" s="162" t="s">
        <v>9959</v>
      </c>
      <c r="D564" s="162" t="s">
        <v>101</v>
      </c>
      <c r="E564" s="162" t="s">
        <v>9960</v>
      </c>
      <c r="F564" s="268" t="s">
        <v>9961</v>
      </c>
      <c r="G564" s="203" t="s">
        <v>9962</v>
      </c>
      <c r="H564" s="203" t="s">
        <v>839</v>
      </c>
      <c r="I564" s="133" t="s">
        <v>765</v>
      </c>
      <c r="J564" s="134" t="s">
        <v>49</v>
      </c>
      <c r="K564" s="134" t="s">
        <v>765</v>
      </c>
      <c r="L564" s="134" t="s">
        <v>765</v>
      </c>
      <c r="M564" s="134" t="s">
        <v>765</v>
      </c>
      <c r="N564" s="135" t="s">
        <v>765</v>
      </c>
      <c r="O564" s="136"/>
      <c r="P564" s="175"/>
      <c r="Q564" s="209"/>
      <c r="R564" s="210"/>
      <c r="S564" s="175"/>
      <c r="T564" s="175"/>
      <c r="U564" s="175"/>
      <c r="V564" s="209"/>
      <c r="W564" s="210"/>
      <c r="X564" s="209"/>
      <c r="Y564" s="210"/>
      <c r="Z564" s="175"/>
      <c r="AA564" s="175">
        <v>20</v>
      </c>
      <c r="AB564" s="175"/>
      <c r="AC564" s="175"/>
      <c r="AD564" s="227">
        <v>45717</v>
      </c>
      <c r="AE564" s="162" t="s">
        <v>9963</v>
      </c>
    </row>
    <row r="565" spans="1:157" s="65" customFormat="1" ht="27" customHeight="1" x14ac:dyDescent="0.15">
      <c r="A565" s="105">
        <v>1111600712</v>
      </c>
      <c r="B565" s="130" t="s">
        <v>763</v>
      </c>
      <c r="C565" s="108" t="s">
        <v>2849</v>
      </c>
      <c r="D565" s="108" t="s">
        <v>74</v>
      </c>
      <c r="E565" s="108" t="s">
        <v>2850</v>
      </c>
      <c r="F565" s="131" t="s">
        <v>2851</v>
      </c>
      <c r="G565" s="132" t="s">
        <v>2852</v>
      </c>
      <c r="H565" s="132" t="s">
        <v>2853</v>
      </c>
      <c r="I565" s="133"/>
      <c r="J565" s="134"/>
      <c r="K565" s="134"/>
      <c r="L565" s="134"/>
      <c r="M565" s="134" t="s">
        <v>49</v>
      </c>
      <c r="N565" s="135"/>
      <c r="O565" s="136"/>
      <c r="P565" s="105"/>
      <c r="Q565" s="137"/>
      <c r="R565" s="138"/>
      <c r="S565" s="105"/>
      <c r="T565" s="105">
        <v>14</v>
      </c>
      <c r="U565" s="105"/>
      <c r="V565" s="137"/>
      <c r="W565" s="138"/>
      <c r="X565" s="137"/>
      <c r="Y565" s="138"/>
      <c r="Z565" s="105"/>
      <c r="AA565" s="105">
        <v>26</v>
      </c>
      <c r="AB565" s="105"/>
      <c r="AC565" s="105"/>
      <c r="AD565" s="118">
        <v>42095</v>
      </c>
      <c r="AE565" s="108" t="s">
        <v>2854</v>
      </c>
    </row>
    <row r="566" spans="1:157" s="65" customFormat="1" ht="27" customHeight="1" x14ac:dyDescent="0.15">
      <c r="A566" s="105">
        <v>1111600761</v>
      </c>
      <c r="B566" s="106" t="s">
        <v>3463</v>
      </c>
      <c r="C566" s="107" t="s">
        <v>3451</v>
      </c>
      <c r="D566" s="108" t="s">
        <v>74</v>
      </c>
      <c r="E566" s="108" t="s">
        <v>3465</v>
      </c>
      <c r="F566" s="139" t="s">
        <v>3452</v>
      </c>
      <c r="G566" s="140" t="s">
        <v>3453</v>
      </c>
      <c r="H566" s="140" t="s">
        <v>3454</v>
      </c>
      <c r="I566" s="141"/>
      <c r="J566" s="142"/>
      <c r="K566" s="142"/>
      <c r="L566" s="142"/>
      <c r="M566" s="142" t="s">
        <v>3455</v>
      </c>
      <c r="N566" s="143" t="s">
        <v>3455</v>
      </c>
      <c r="O566" s="138" t="s">
        <v>3455</v>
      </c>
      <c r="P566" s="105"/>
      <c r="Q566" s="137"/>
      <c r="R566" s="138"/>
      <c r="S566" s="105"/>
      <c r="T566" s="105"/>
      <c r="U566" s="105"/>
      <c r="V566" s="137"/>
      <c r="W566" s="138"/>
      <c r="X566" s="137"/>
      <c r="Y566" s="138"/>
      <c r="Z566" s="105">
        <v>20</v>
      </c>
      <c r="AA566" s="105"/>
      <c r="AB566" s="105"/>
      <c r="AC566" s="105"/>
      <c r="AD566" s="144">
        <v>42552</v>
      </c>
      <c r="AE566" s="108" t="s">
        <v>3466</v>
      </c>
    </row>
    <row r="567" spans="1:157" s="65" customFormat="1" ht="27" customHeight="1" x14ac:dyDescent="0.15">
      <c r="A567" s="105">
        <v>1111600795</v>
      </c>
      <c r="B567" s="130" t="s">
        <v>4066</v>
      </c>
      <c r="C567" s="108" t="s">
        <v>4067</v>
      </c>
      <c r="D567" s="108" t="s">
        <v>74</v>
      </c>
      <c r="E567" s="108" t="s">
        <v>4068</v>
      </c>
      <c r="F567" s="131" t="s">
        <v>4069</v>
      </c>
      <c r="G567" s="132" t="s">
        <v>4070</v>
      </c>
      <c r="H567" s="132" t="s">
        <v>4071</v>
      </c>
      <c r="I567" s="133"/>
      <c r="J567" s="134"/>
      <c r="K567" s="135"/>
      <c r="L567" s="134"/>
      <c r="M567" s="134" t="s">
        <v>49</v>
      </c>
      <c r="N567" s="135" t="s">
        <v>49</v>
      </c>
      <c r="O567" s="136" t="s">
        <v>49</v>
      </c>
      <c r="P567" s="105"/>
      <c r="Q567" s="137"/>
      <c r="R567" s="138"/>
      <c r="S567" s="105"/>
      <c r="T567" s="105"/>
      <c r="U567" s="105"/>
      <c r="V567" s="137"/>
      <c r="W567" s="138"/>
      <c r="X567" s="137">
        <v>12</v>
      </c>
      <c r="Y567" s="138"/>
      <c r="Z567" s="105"/>
      <c r="AA567" s="105"/>
      <c r="AB567" s="105"/>
      <c r="AC567" s="105"/>
      <c r="AD567" s="118">
        <v>43040</v>
      </c>
      <c r="AE567" s="108" t="s">
        <v>4072</v>
      </c>
      <c r="AU567" s="229"/>
      <c r="AV567" s="229"/>
      <c r="AW567" s="229"/>
      <c r="AX567" s="229"/>
      <c r="AY567" s="229"/>
      <c r="AZ567" s="229"/>
      <c r="BA567" s="229"/>
      <c r="BB567" s="229"/>
      <c r="BC567" s="229"/>
      <c r="BD567" s="229"/>
      <c r="BE567" s="229"/>
      <c r="BF567" s="229"/>
      <c r="BG567" s="229"/>
      <c r="BH567" s="229"/>
      <c r="BI567" s="229"/>
      <c r="BJ567" s="229"/>
      <c r="BK567" s="229"/>
      <c r="BL567" s="229"/>
      <c r="BM567" s="229"/>
      <c r="BN567" s="229"/>
      <c r="BO567" s="229"/>
      <c r="BP567" s="229"/>
      <c r="BQ567" s="229"/>
      <c r="BR567" s="229"/>
      <c r="BS567" s="229"/>
      <c r="BT567" s="229"/>
      <c r="BU567" s="229"/>
      <c r="BV567" s="229"/>
      <c r="BW567" s="229"/>
      <c r="BX567" s="229"/>
      <c r="BY567" s="229"/>
      <c r="BZ567" s="229"/>
      <c r="CA567" s="229"/>
      <c r="CB567" s="229"/>
      <c r="CC567" s="229"/>
      <c r="CD567" s="229"/>
      <c r="CE567" s="229"/>
      <c r="CF567" s="229"/>
      <c r="CG567" s="229"/>
      <c r="CH567" s="229"/>
      <c r="CI567" s="229"/>
      <c r="CJ567" s="229"/>
      <c r="CK567" s="229"/>
      <c r="CL567" s="229"/>
      <c r="CM567" s="229"/>
      <c r="CN567" s="229"/>
      <c r="CO567" s="229"/>
      <c r="CP567" s="229"/>
      <c r="CQ567" s="229"/>
      <c r="CR567" s="229"/>
      <c r="CS567" s="229"/>
      <c r="CT567" s="229"/>
      <c r="CU567" s="229"/>
      <c r="CV567" s="229"/>
      <c r="CW567" s="229"/>
      <c r="CX567" s="229"/>
      <c r="CY567" s="229"/>
      <c r="CZ567" s="229"/>
      <c r="DA567" s="229"/>
      <c r="DB567" s="229"/>
      <c r="DC567" s="229"/>
      <c r="DD567" s="229"/>
      <c r="DE567" s="229"/>
      <c r="DF567" s="229"/>
      <c r="DG567" s="229"/>
      <c r="DH567" s="229"/>
      <c r="DI567" s="229"/>
      <c r="DJ567" s="229"/>
      <c r="DK567" s="229"/>
      <c r="DL567" s="229"/>
      <c r="DM567" s="229"/>
      <c r="DN567" s="229"/>
      <c r="DO567" s="229"/>
      <c r="DP567" s="229"/>
      <c r="DQ567" s="229"/>
      <c r="DR567" s="229"/>
      <c r="DS567" s="229"/>
      <c r="DT567" s="229"/>
      <c r="DU567" s="229"/>
      <c r="DV567" s="229"/>
      <c r="DW567" s="229"/>
      <c r="DX567" s="229"/>
      <c r="DY567" s="229"/>
      <c r="DZ567" s="229"/>
      <c r="EA567" s="229"/>
      <c r="EB567" s="229"/>
      <c r="EC567" s="229"/>
      <c r="ED567" s="229"/>
      <c r="EE567" s="229"/>
      <c r="EF567" s="229"/>
      <c r="EG567" s="229"/>
      <c r="EH567" s="229"/>
      <c r="EI567" s="229"/>
      <c r="EJ567" s="229"/>
      <c r="EK567" s="229"/>
      <c r="EL567" s="229"/>
      <c r="EM567" s="229"/>
      <c r="EN567" s="229"/>
      <c r="EO567" s="229"/>
      <c r="EP567" s="229"/>
      <c r="EQ567" s="229"/>
      <c r="ER567" s="229"/>
      <c r="ES567" s="229"/>
      <c r="ET567" s="229"/>
      <c r="EU567" s="229"/>
      <c r="EV567" s="229"/>
      <c r="EW567" s="229"/>
      <c r="EX567" s="229"/>
      <c r="EY567" s="229"/>
      <c r="EZ567" s="229"/>
      <c r="FA567" s="229"/>
    </row>
    <row r="568" spans="1:157" ht="27" customHeight="1" x14ac:dyDescent="0.15">
      <c r="A568" s="105">
        <v>1111600795</v>
      </c>
      <c r="B568" s="130" t="s">
        <v>4066</v>
      </c>
      <c r="C568" s="108" t="s">
        <v>4067</v>
      </c>
      <c r="D568" s="108" t="s">
        <v>74</v>
      </c>
      <c r="E568" s="108" t="s">
        <v>4068</v>
      </c>
      <c r="F568" s="131" t="s">
        <v>4069</v>
      </c>
      <c r="G568" s="132" t="s">
        <v>4070</v>
      </c>
      <c r="H568" s="132" t="s">
        <v>4071</v>
      </c>
      <c r="I568" s="133" t="s">
        <v>765</v>
      </c>
      <c r="J568" s="134" t="s">
        <v>765</v>
      </c>
      <c r="K568" s="135" t="s">
        <v>765</v>
      </c>
      <c r="L568" s="134" t="s">
        <v>765</v>
      </c>
      <c r="M568" s="134" t="s">
        <v>49</v>
      </c>
      <c r="N568" s="135" t="s">
        <v>49</v>
      </c>
      <c r="O568" s="136" t="s">
        <v>49</v>
      </c>
      <c r="P568" s="105"/>
      <c r="Q568" s="137"/>
      <c r="R568" s="138"/>
      <c r="S568" s="105"/>
      <c r="T568" s="105"/>
      <c r="U568" s="105"/>
      <c r="V568" s="137"/>
      <c r="W568" s="138"/>
      <c r="X568" s="137"/>
      <c r="Y568" s="138"/>
      <c r="Z568" s="105"/>
      <c r="AA568" s="105"/>
      <c r="AB568" s="118" t="s">
        <v>4614</v>
      </c>
      <c r="AC568" s="118"/>
      <c r="AD568" s="118">
        <v>43862</v>
      </c>
      <c r="AE568" s="108" t="s">
        <v>4072</v>
      </c>
    </row>
    <row r="569" spans="1:157" ht="27" customHeight="1" x14ac:dyDescent="0.15">
      <c r="A569" s="105">
        <v>1111600845</v>
      </c>
      <c r="B569" s="130" t="s">
        <v>12270</v>
      </c>
      <c r="C569" s="108" t="s">
        <v>4855</v>
      </c>
      <c r="D569" s="108" t="s">
        <v>74</v>
      </c>
      <c r="E569" s="108" t="s">
        <v>4856</v>
      </c>
      <c r="F569" s="131" t="s">
        <v>4743</v>
      </c>
      <c r="G569" s="132" t="s">
        <v>4924</v>
      </c>
      <c r="H569" s="132" t="s">
        <v>4925</v>
      </c>
      <c r="I569" s="133"/>
      <c r="J569" s="134"/>
      <c r="K569" s="134"/>
      <c r="L569" s="134"/>
      <c r="M569" s="134" t="s">
        <v>49</v>
      </c>
      <c r="N569" s="134" t="s">
        <v>49</v>
      </c>
      <c r="O569" s="134" t="s">
        <v>49</v>
      </c>
      <c r="P569" s="105"/>
      <c r="Q569" s="137"/>
      <c r="R569" s="138"/>
      <c r="S569" s="105"/>
      <c r="T569" s="105"/>
      <c r="U569" s="105"/>
      <c r="V569" s="137"/>
      <c r="W569" s="138"/>
      <c r="X569" s="137"/>
      <c r="Y569" s="138"/>
      <c r="Z569" s="105"/>
      <c r="AA569" s="105">
        <v>20</v>
      </c>
      <c r="AB569" s="105"/>
      <c r="AC569" s="105"/>
      <c r="AD569" s="118">
        <v>43466</v>
      </c>
      <c r="AE569" s="108" t="s">
        <v>4857</v>
      </c>
    </row>
    <row r="570" spans="1:157" ht="27" customHeight="1" x14ac:dyDescent="0.15">
      <c r="A570" s="105">
        <v>1111600944</v>
      </c>
      <c r="B570" s="106" t="s">
        <v>5765</v>
      </c>
      <c r="C570" s="107" t="s">
        <v>5766</v>
      </c>
      <c r="D570" s="108" t="s">
        <v>74</v>
      </c>
      <c r="E570" s="108" t="s">
        <v>5767</v>
      </c>
      <c r="F570" s="139" t="s">
        <v>5768</v>
      </c>
      <c r="G570" s="140" t="s">
        <v>5769</v>
      </c>
      <c r="H570" s="140" t="s">
        <v>5770</v>
      </c>
      <c r="I570" s="141"/>
      <c r="J570" s="142" t="s">
        <v>765</v>
      </c>
      <c r="K570" s="142"/>
      <c r="L570" s="142"/>
      <c r="M570" s="142"/>
      <c r="N570" s="143"/>
      <c r="O570" s="138"/>
      <c r="P570" s="105"/>
      <c r="Q570" s="137"/>
      <c r="R570" s="138"/>
      <c r="S570" s="105"/>
      <c r="T570" s="105">
        <v>10</v>
      </c>
      <c r="U570" s="105"/>
      <c r="V570" s="137"/>
      <c r="W570" s="138"/>
      <c r="X570" s="152"/>
      <c r="Y570" s="138"/>
      <c r="Z570" s="105"/>
      <c r="AA570" s="105">
        <v>10</v>
      </c>
      <c r="AB570" s="105"/>
      <c r="AC570" s="105"/>
      <c r="AD570" s="144">
        <v>43922</v>
      </c>
      <c r="AE570" s="108" t="s">
        <v>5771</v>
      </c>
    </row>
    <row r="571" spans="1:157" ht="27" customHeight="1" x14ac:dyDescent="0.15">
      <c r="A571" s="105">
        <v>1111600977</v>
      </c>
      <c r="B571" s="130" t="s">
        <v>6599</v>
      </c>
      <c r="C571" s="108" t="s">
        <v>6600</v>
      </c>
      <c r="D571" s="108" t="s">
        <v>293</v>
      </c>
      <c r="E571" s="108" t="s">
        <v>6601</v>
      </c>
      <c r="F571" s="131" t="s">
        <v>6602</v>
      </c>
      <c r="G571" s="132" t="s">
        <v>6603</v>
      </c>
      <c r="H571" s="132" t="s">
        <v>6604</v>
      </c>
      <c r="I571" s="133"/>
      <c r="J571" s="134"/>
      <c r="K571" s="134"/>
      <c r="L571" s="134"/>
      <c r="M571" s="134" t="s">
        <v>765</v>
      </c>
      <c r="N571" s="135"/>
      <c r="O571" s="136"/>
      <c r="P571" s="105"/>
      <c r="Q571" s="137"/>
      <c r="R571" s="138"/>
      <c r="S571" s="105"/>
      <c r="T571" s="105">
        <v>30</v>
      </c>
      <c r="U571" s="105"/>
      <c r="V571" s="137"/>
      <c r="W571" s="138"/>
      <c r="X571" s="137"/>
      <c r="Y571" s="138"/>
      <c r="Z571" s="105"/>
      <c r="AA571" s="105"/>
      <c r="AB571" s="105"/>
      <c r="AC571" s="105"/>
      <c r="AD571" s="118">
        <v>44287</v>
      </c>
      <c r="AE571" s="108" t="s">
        <v>6605</v>
      </c>
    </row>
    <row r="572" spans="1:157" ht="27" customHeight="1" x14ac:dyDescent="0.15">
      <c r="A572" s="105">
        <v>1111601009</v>
      </c>
      <c r="B572" s="130" t="s">
        <v>6868</v>
      </c>
      <c r="C572" s="108" t="s">
        <v>6869</v>
      </c>
      <c r="D572" s="108" t="s">
        <v>6870</v>
      </c>
      <c r="E572" s="108" t="s">
        <v>6871</v>
      </c>
      <c r="F572" s="131" t="s">
        <v>4897</v>
      </c>
      <c r="G572" s="132" t="s">
        <v>6872</v>
      </c>
      <c r="H572" s="132" t="s">
        <v>6873</v>
      </c>
      <c r="I572" s="133"/>
      <c r="J572" s="134"/>
      <c r="K572" s="134"/>
      <c r="L572" s="134"/>
      <c r="M572" s="134" t="s">
        <v>765</v>
      </c>
      <c r="N572" s="135" t="s">
        <v>765</v>
      </c>
      <c r="O572" s="136"/>
      <c r="P572" s="105"/>
      <c r="Q572" s="137"/>
      <c r="R572" s="138"/>
      <c r="S572" s="105"/>
      <c r="T572" s="105"/>
      <c r="U572" s="105"/>
      <c r="V572" s="116"/>
      <c r="W572" s="117"/>
      <c r="X572" s="116"/>
      <c r="Y572" s="138"/>
      <c r="Z572" s="105"/>
      <c r="AA572" s="105">
        <v>20</v>
      </c>
      <c r="AB572" s="105"/>
      <c r="AC572" s="105"/>
      <c r="AD572" s="144">
        <v>44378</v>
      </c>
      <c r="AE572" s="108" t="s">
        <v>6874</v>
      </c>
    </row>
    <row r="573" spans="1:157" ht="27" customHeight="1" x14ac:dyDescent="0.15">
      <c r="A573" s="105">
        <v>1111601017</v>
      </c>
      <c r="B573" s="130" t="s">
        <v>6882</v>
      </c>
      <c r="C573" s="108" t="s">
        <v>6883</v>
      </c>
      <c r="D573" s="108" t="s">
        <v>6870</v>
      </c>
      <c r="E573" s="108" t="s">
        <v>6884</v>
      </c>
      <c r="F573" s="131" t="s">
        <v>6885</v>
      </c>
      <c r="G573" s="132" t="s">
        <v>6886</v>
      </c>
      <c r="H573" s="132" t="s">
        <v>6887</v>
      </c>
      <c r="I573" s="133"/>
      <c r="J573" s="134"/>
      <c r="K573" s="134"/>
      <c r="L573" s="134"/>
      <c r="M573" s="134" t="s">
        <v>765</v>
      </c>
      <c r="N573" s="135" t="s">
        <v>765</v>
      </c>
      <c r="O573" s="136" t="s">
        <v>765</v>
      </c>
      <c r="P573" s="105"/>
      <c r="Q573" s="137"/>
      <c r="R573" s="138"/>
      <c r="S573" s="105"/>
      <c r="T573" s="105"/>
      <c r="U573" s="105"/>
      <c r="V573" s="116"/>
      <c r="W573" s="117"/>
      <c r="X573" s="116"/>
      <c r="Y573" s="138"/>
      <c r="Z573" s="105"/>
      <c r="AA573" s="105">
        <v>20</v>
      </c>
      <c r="AB573" s="105"/>
      <c r="AC573" s="105"/>
      <c r="AD573" s="144">
        <v>44378</v>
      </c>
      <c r="AE573" s="108" t="s">
        <v>6888</v>
      </c>
    </row>
    <row r="574" spans="1:157" s="65" customFormat="1" ht="27" customHeight="1" x14ac:dyDescent="0.15">
      <c r="A574" s="105">
        <v>1111601025</v>
      </c>
      <c r="B574" s="130" t="s">
        <v>6815</v>
      </c>
      <c r="C574" s="108" t="s">
        <v>6932</v>
      </c>
      <c r="D574" s="108" t="s">
        <v>74</v>
      </c>
      <c r="E574" s="108" t="s">
        <v>6933</v>
      </c>
      <c r="F574" s="131" t="s">
        <v>6885</v>
      </c>
      <c r="G574" s="132" t="s">
        <v>6934</v>
      </c>
      <c r="H574" s="132" t="s">
        <v>6935</v>
      </c>
      <c r="I574" s="133"/>
      <c r="J574" s="134"/>
      <c r="K574" s="134"/>
      <c r="L574" s="134"/>
      <c r="M574" s="134" t="s">
        <v>765</v>
      </c>
      <c r="N574" s="135" t="s">
        <v>765</v>
      </c>
      <c r="O574" s="136"/>
      <c r="P574" s="105"/>
      <c r="Q574" s="137"/>
      <c r="R574" s="138"/>
      <c r="S574" s="105"/>
      <c r="T574" s="105"/>
      <c r="U574" s="105"/>
      <c r="V574" s="116"/>
      <c r="W574" s="117"/>
      <c r="X574" s="116"/>
      <c r="Y574" s="138"/>
      <c r="Z574" s="105"/>
      <c r="AA574" s="105">
        <v>20</v>
      </c>
      <c r="AB574" s="105"/>
      <c r="AC574" s="105"/>
      <c r="AD574" s="144">
        <v>44409</v>
      </c>
      <c r="AE574" s="108" t="s">
        <v>6936</v>
      </c>
    </row>
    <row r="575" spans="1:157" s="65" customFormat="1" ht="27" customHeight="1" x14ac:dyDescent="0.15">
      <c r="A575" s="105">
        <v>1111601041</v>
      </c>
      <c r="B575" s="213" t="s">
        <v>7249</v>
      </c>
      <c r="C575" s="214" t="s">
        <v>7250</v>
      </c>
      <c r="D575" s="108" t="s">
        <v>74</v>
      </c>
      <c r="E575" s="108" t="s">
        <v>7251</v>
      </c>
      <c r="F575" s="131">
        <v>3620071</v>
      </c>
      <c r="G575" s="152" t="s">
        <v>7252</v>
      </c>
      <c r="H575" s="132" t="s">
        <v>7253</v>
      </c>
      <c r="I575" s="183"/>
      <c r="J575" s="134"/>
      <c r="K575" s="134"/>
      <c r="L575" s="134"/>
      <c r="M575" s="134" t="s">
        <v>765</v>
      </c>
      <c r="N575" s="135" t="s">
        <v>765</v>
      </c>
      <c r="O575" s="136"/>
      <c r="P575" s="105"/>
      <c r="Q575" s="137"/>
      <c r="R575" s="138"/>
      <c r="S575" s="105"/>
      <c r="T575" s="105"/>
      <c r="U575" s="105"/>
      <c r="V575" s="116"/>
      <c r="W575" s="117"/>
      <c r="X575" s="137"/>
      <c r="Y575" s="138"/>
      <c r="Z575" s="105">
        <v>15</v>
      </c>
      <c r="AA575" s="105"/>
      <c r="AB575" s="105"/>
      <c r="AC575" s="105"/>
      <c r="AD575" s="144">
        <v>44593</v>
      </c>
      <c r="AE575" s="108" t="s">
        <v>7254</v>
      </c>
    </row>
    <row r="576" spans="1:157" s="65" customFormat="1" ht="27" customHeight="1" x14ac:dyDescent="0.15">
      <c r="A576" s="132">
        <v>1111601074</v>
      </c>
      <c r="B576" s="130" t="s">
        <v>7921</v>
      </c>
      <c r="C576" s="108" t="s">
        <v>8006</v>
      </c>
      <c r="D576" s="108" t="s">
        <v>74</v>
      </c>
      <c r="E576" s="108" t="s">
        <v>8007</v>
      </c>
      <c r="F576" s="139" t="s">
        <v>4897</v>
      </c>
      <c r="G576" s="140" t="s">
        <v>8008</v>
      </c>
      <c r="H576" s="140" t="s">
        <v>8009</v>
      </c>
      <c r="I576" s="160" t="s">
        <v>765</v>
      </c>
      <c r="J576" s="142" t="s">
        <v>765</v>
      </c>
      <c r="K576" s="142" t="s">
        <v>765</v>
      </c>
      <c r="L576" s="142" t="s">
        <v>765</v>
      </c>
      <c r="M576" s="142" t="s">
        <v>765</v>
      </c>
      <c r="N576" s="143" t="s">
        <v>765</v>
      </c>
      <c r="O576" s="138" t="s">
        <v>765</v>
      </c>
      <c r="P576" s="105"/>
      <c r="Q576" s="137"/>
      <c r="R576" s="138"/>
      <c r="S576" s="105"/>
      <c r="T576" s="105">
        <v>10</v>
      </c>
      <c r="U576" s="105"/>
      <c r="V576" s="137"/>
      <c r="W576" s="138"/>
      <c r="X576" s="137"/>
      <c r="Y576" s="138"/>
      <c r="Z576" s="105"/>
      <c r="AA576" s="105"/>
      <c r="AB576" s="105"/>
      <c r="AC576" s="105"/>
      <c r="AD576" s="155">
        <v>44896</v>
      </c>
      <c r="AE576" s="108" t="s">
        <v>8010</v>
      </c>
    </row>
    <row r="577" spans="1:31" s="65" customFormat="1" ht="27" customHeight="1" x14ac:dyDescent="0.15">
      <c r="A577" s="175">
        <v>1111601165</v>
      </c>
      <c r="B577" s="130" t="s">
        <v>9433</v>
      </c>
      <c r="C577" s="108" t="s">
        <v>9434</v>
      </c>
      <c r="D577" s="162" t="s">
        <v>74</v>
      </c>
      <c r="E577" s="162" t="s">
        <v>9435</v>
      </c>
      <c r="F577" s="268" t="s">
        <v>5768</v>
      </c>
      <c r="G577" s="203" t="s">
        <v>9436</v>
      </c>
      <c r="H577" s="203"/>
      <c r="I577" s="133"/>
      <c r="J577" s="134" t="s">
        <v>765</v>
      </c>
      <c r="K577" s="134" t="s">
        <v>765</v>
      </c>
      <c r="L577" s="134"/>
      <c r="M577" s="134" t="s">
        <v>765</v>
      </c>
      <c r="N577" s="135" t="s">
        <v>765</v>
      </c>
      <c r="O577" s="136"/>
      <c r="P577" s="175"/>
      <c r="Q577" s="209"/>
      <c r="R577" s="210"/>
      <c r="S577" s="175"/>
      <c r="T577" s="175"/>
      <c r="U577" s="175"/>
      <c r="V577" s="209"/>
      <c r="W577" s="210"/>
      <c r="X577" s="209"/>
      <c r="Y577" s="210"/>
      <c r="Z577" s="175"/>
      <c r="AA577" s="175">
        <v>20</v>
      </c>
      <c r="AB577" s="175"/>
      <c r="AC577" s="175"/>
      <c r="AD577" s="227">
        <v>45505</v>
      </c>
      <c r="AE577" s="162" t="s">
        <v>9437</v>
      </c>
    </row>
    <row r="578" spans="1:31" s="65" customFormat="1" ht="27" customHeight="1" x14ac:dyDescent="0.15">
      <c r="A578" s="175">
        <v>1111601199</v>
      </c>
      <c r="B578" s="204" t="s">
        <v>11656</v>
      </c>
      <c r="C578" s="162" t="s">
        <v>9953</v>
      </c>
      <c r="D578" s="162" t="s">
        <v>74</v>
      </c>
      <c r="E578" s="162" t="s">
        <v>9954</v>
      </c>
      <c r="F578" s="268" t="s">
        <v>9955</v>
      </c>
      <c r="G578" s="203" t="s">
        <v>9956</v>
      </c>
      <c r="H578" s="203" t="s">
        <v>9957</v>
      </c>
      <c r="I578" s="133" t="s">
        <v>765</v>
      </c>
      <c r="J578" s="134"/>
      <c r="K578" s="134" t="s">
        <v>765</v>
      </c>
      <c r="L578" s="134" t="s">
        <v>765</v>
      </c>
      <c r="M578" s="134" t="s">
        <v>765</v>
      </c>
      <c r="N578" s="135" t="s">
        <v>765</v>
      </c>
      <c r="O578" s="136" t="s">
        <v>765</v>
      </c>
      <c r="P578" s="175"/>
      <c r="Q578" s="209"/>
      <c r="R578" s="210"/>
      <c r="S578" s="175"/>
      <c r="T578" s="175"/>
      <c r="U578" s="175"/>
      <c r="V578" s="209"/>
      <c r="W578" s="210"/>
      <c r="X578" s="209"/>
      <c r="Y578" s="210"/>
      <c r="Z578" s="175"/>
      <c r="AA578" s="175">
        <v>20</v>
      </c>
      <c r="AB578" s="175"/>
      <c r="AC578" s="175"/>
      <c r="AD578" s="227">
        <v>45717</v>
      </c>
      <c r="AE578" s="162" t="s">
        <v>9958</v>
      </c>
    </row>
    <row r="579" spans="1:31" s="65" customFormat="1" ht="27" customHeight="1" x14ac:dyDescent="0.15">
      <c r="A579" s="175">
        <v>1111601207</v>
      </c>
      <c r="B579" s="204" t="s">
        <v>11657</v>
      </c>
      <c r="C579" s="162" t="s">
        <v>9964</v>
      </c>
      <c r="D579" s="162" t="s">
        <v>74</v>
      </c>
      <c r="E579" s="162" t="s">
        <v>9965</v>
      </c>
      <c r="F579" s="268" t="s">
        <v>9966</v>
      </c>
      <c r="G579" s="203" t="s">
        <v>10009</v>
      </c>
      <c r="H579" s="203" t="s">
        <v>9967</v>
      </c>
      <c r="I579" s="133"/>
      <c r="J579" s="134"/>
      <c r="K579" s="134"/>
      <c r="L579" s="134"/>
      <c r="M579" s="134" t="s">
        <v>765</v>
      </c>
      <c r="N579" s="135" t="s">
        <v>765</v>
      </c>
      <c r="O579" s="136"/>
      <c r="P579" s="175"/>
      <c r="Q579" s="209"/>
      <c r="R579" s="210"/>
      <c r="S579" s="175"/>
      <c r="T579" s="175"/>
      <c r="U579" s="175"/>
      <c r="V579" s="209"/>
      <c r="W579" s="210"/>
      <c r="X579" s="209"/>
      <c r="Y579" s="210"/>
      <c r="Z579" s="175"/>
      <c r="AA579" s="175">
        <v>20</v>
      </c>
      <c r="AB579" s="175"/>
      <c r="AC579" s="175"/>
      <c r="AD579" s="227">
        <v>45717</v>
      </c>
      <c r="AE579" s="162" t="s">
        <v>9968</v>
      </c>
    </row>
    <row r="580" spans="1:31" s="65" customFormat="1" ht="27" customHeight="1" x14ac:dyDescent="0.15">
      <c r="A580" s="105">
        <v>1111601215</v>
      </c>
      <c r="B580" s="130" t="s">
        <v>11659</v>
      </c>
      <c r="C580" s="107" t="s">
        <v>8546</v>
      </c>
      <c r="D580" s="108" t="s">
        <v>74</v>
      </c>
      <c r="E580" s="108" t="s">
        <v>6525</v>
      </c>
      <c r="F580" s="139" t="s">
        <v>6526</v>
      </c>
      <c r="G580" s="140" t="s">
        <v>6527</v>
      </c>
      <c r="H580" s="140" t="s">
        <v>6528</v>
      </c>
      <c r="I580" s="141"/>
      <c r="J580" s="142"/>
      <c r="K580" s="142"/>
      <c r="L580" s="142"/>
      <c r="M580" s="134" t="s">
        <v>49</v>
      </c>
      <c r="N580" s="135" t="s">
        <v>49</v>
      </c>
      <c r="O580" s="138"/>
      <c r="P580" s="105"/>
      <c r="Q580" s="137"/>
      <c r="R580" s="138"/>
      <c r="S580" s="105"/>
      <c r="T580" s="105"/>
      <c r="U580" s="105"/>
      <c r="V580" s="116"/>
      <c r="W580" s="117"/>
      <c r="X580" s="137">
        <v>10</v>
      </c>
      <c r="Y580" s="138"/>
      <c r="Z580" s="105"/>
      <c r="AA580" s="105">
        <v>10</v>
      </c>
      <c r="AB580" s="105"/>
      <c r="AC580" s="105"/>
      <c r="AD580" s="144">
        <v>44228</v>
      </c>
      <c r="AE580" s="108" t="s">
        <v>6529</v>
      </c>
    </row>
    <row r="581" spans="1:31" s="65" customFormat="1" ht="27" customHeight="1" x14ac:dyDescent="0.15">
      <c r="A581" s="105">
        <v>1111601215</v>
      </c>
      <c r="B581" s="130" t="s">
        <v>10789</v>
      </c>
      <c r="C581" s="108" t="s">
        <v>10790</v>
      </c>
      <c r="D581" s="108" t="s">
        <v>74</v>
      </c>
      <c r="E581" s="108" t="s">
        <v>10791</v>
      </c>
      <c r="F581" s="131" t="s">
        <v>4897</v>
      </c>
      <c r="G581" s="132" t="s">
        <v>10792</v>
      </c>
      <c r="H581" s="132" t="s">
        <v>10793</v>
      </c>
      <c r="I581" s="133"/>
      <c r="J581" s="134"/>
      <c r="K581" s="134"/>
      <c r="L581" s="134"/>
      <c r="M581" s="134" t="s">
        <v>765</v>
      </c>
      <c r="N581" s="135" t="s">
        <v>765</v>
      </c>
      <c r="O581" s="136"/>
      <c r="P581" s="105"/>
      <c r="Q581" s="137"/>
      <c r="R581" s="138"/>
      <c r="S581" s="105"/>
      <c r="T581" s="105"/>
      <c r="U581" s="105"/>
      <c r="V581" s="137"/>
      <c r="W581" s="138"/>
      <c r="X581" s="137"/>
      <c r="Y581" s="138"/>
      <c r="Z581" s="105"/>
      <c r="AA581" s="105"/>
      <c r="AB581" s="105"/>
      <c r="AC581" s="105">
        <v>10</v>
      </c>
      <c r="AD581" s="118">
        <v>45931</v>
      </c>
      <c r="AE581" s="217" t="s">
        <v>10794</v>
      </c>
    </row>
    <row r="582" spans="1:31" s="65" customFormat="1" ht="27" customHeight="1" x14ac:dyDescent="0.15">
      <c r="A582" s="105">
        <v>1111601223</v>
      </c>
      <c r="B582" s="130" t="s">
        <v>11659</v>
      </c>
      <c r="C582" s="107" t="s">
        <v>8545</v>
      </c>
      <c r="D582" s="108" t="s">
        <v>74</v>
      </c>
      <c r="E582" s="108" t="s">
        <v>4896</v>
      </c>
      <c r="F582" s="139" t="s">
        <v>4897</v>
      </c>
      <c r="G582" s="140" t="s">
        <v>4918</v>
      </c>
      <c r="H582" s="140" t="s">
        <v>4919</v>
      </c>
      <c r="I582" s="141"/>
      <c r="J582" s="142"/>
      <c r="K582" s="142"/>
      <c r="L582" s="142"/>
      <c r="M582" s="142" t="s">
        <v>49</v>
      </c>
      <c r="N582" s="143" t="s">
        <v>49</v>
      </c>
      <c r="O582" s="138"/>
      <c r="P582" s="105"/>
      <c r="Q582" s="137"/>
      <c r="R582" s="138"/>
      <c r="S582" s="105"/>
      <c r="T582" s="105"/>
      <c r="U582" s="105"/>
      <c r="V582" s="137"/>
      <c r="W582" s="138"/>
      <c r="X582" s="137">
        <v>10</v>
      </c>
      <c r="Y582" s="138"/>
      <c r="Z582" s="105"/>
      <c r="AA582" s="105">
        <v>10</v>
      </c>
      <c r="AB582" s="105"/>
      <c r="AC582" s="105"/>
      <c r="AD582" s="118">
        <v>43497</v>
      </c>
      <c r="AE582" s="108" t="s">
        <v>4898</v>
      </c>
    </row>
    <row r="583" spans="1:31" s="65" customFormat="1" ht="27" customHeight="1" x14ac:dyDescent="0.15">
      <c r="A583" s="132">
        <v>1111601231</v>
      </c>
      <c r="B583" s="130" t="s">
        <v>7921</v>
      </c>
      <c r="C583" s="108" t="s">
        <v>10170</v>
      </c>
      <c r="D583" s="108" t="s">
        <v>74</v>
      </c>
      <c r="E583" s="108" t="s">
        <v>10171</v>
      </c>
      <c r="F583" s="139" t="s">
        <v>10172</v>
      </c>
      <c r="G583" s="140" t="s">
        <v>10173</v>
      </c>
      <c r="H583" s="140" t="s">
        <v>10174</v>
      </c>
      <c r="I583" s="160" t="s">
        <v>765</v>
      </c>
      <c r="J583" s="142" t="s">
        <v>765</v>
      </c>
      <c r="K583" s="142" t="s">
        <v>765</v>
      </c>
      <c r="L583" s="142" t="s">
        <v>765</v>
      </c>
      <c r="M583" s="142" t="s">
        <v>765</v>
      </c>
      <c r="N583" s="143" t="s">
        <v>765</v>
      </c>
      <c r="O583" s="138" t="s">
        <v>765</v>
      </c>
      <c r="P583" s="105"/>
      <c r="Q583" s="137"/>
      <c r="R583" s="138">
        <v>4</v>
      </c>
      <c r="S583" s="105"/>
      <c r="T583" s="105">
        <v>20</v>
      </c>
      <c r="U583" s="105"/>
      <c r="V583" s="137"/>
      <c r="W583" s="138"/>
      <c r="X583" s="137"/>
      <c r="Y583" s="138"/>
      <c r="Z583" s="105"/>
      <c r="AA583" s="105"/>
      <c r="AB583" s="105"/>
      <c r="AC583" s="105"/>
      <c r="AD583" s="155">
        <v>45748</v>
      </c>
      <c r="AE583" s="108" t="s">
        <v>10175</v>
      </c>
    </row>
    <row r="584" spans="1:31" s="65" customFormat="1" ht="27" customHeight="1" x14ac:dyDescent="0.15">
      <c r="A584" s="175">
        <v>1111601249</v>
      </c>
      <c r="B584" s="204" t="s">
        <v>11660</v>
      </c>
      <c r="C584" s="162" t="s">
        <v>10165</v>
      </c>
      <c r="D584" s="162" t="s">
        <v>74</v>
      </c>
      <c r="E584" s="162" t="s">
        <v>10166</v>
      </c>
      <c r="F584" s="268" t="s">
        <v>4897</v>
      </c>
      <c r="G584" s="203" t="s">
        <v>10167</v>
      </c>
      <c r="H584" s="203" t="s">
        <v>10168</v>
      </c>
      <c r="I584" s="133"/>
      <c r="J584" s="134"/>
      <c r="K584" s="134"/>
      <c r="L584" s="134"/>
      <c r="M584" s="134" t="s">
        <v>765</v>
      </c>
      <c r="N584" s="135" t="s">
        <v>765</v>
      </c>
      <c r="O584" s="136"/>
      <c r="P584" s="175"/>
      <c r="Q584" s="209"/>
      <c r="R584" s="210"/>
      <c r="S584" s="175"/>
      <c r="T584" s="175"/>
      <c r="U584" s="175"/>
      <c r="V584" s="209"/>
      <c r="W584" s="210"/>
      <c r="X584" s="209"/>
      <c r="Y584" s="210"/>
      <c r="Z584" s="175"/>
      <c r="AA584" s="175">
        <v>20</v>
      </c>
      <c r="AB584" s="175"/>
      <c r="AC584" s="175"/>
      <c r="AD584" s="227">
        <v>45748</v>
      </c>
      <c r="AE584" s="162" t="s">
        <v>10169</v>
      </c>
    </row>
    <row r="585" spans="1:31" ht="27" customHeight="1" x14ac:dyDescent="0.15">
      <c r="A585" s="175">
        <v>1111601256</v>
      </c>
      <c r="B585" s="204" t="s">
        <v>11661</v>
      </c>
      <c r="C585" s="162" t="s">
        <v>10152</v>
      </c>
      <c r="D585" s="162" t="s">
        <v>74</v>
      </c>
      <c r="E585" s="162" t="s">
        <v>10153</v>
      </c>
      <c r="F585" s="268" t="s">
        <v>10154</v>
      </c>
      <c r="G585" s="203" t="s">
        <v>10155</v>
      </c>
      <c r="H585" s="203" t="s">
        <v>10156</v>
      </c>
      <c r="I585" s="133"/>
      <c r="J585" s="134"/>
      <c r="K585" s="134"/>
      <c r="L585" s="134"/>
      <c r="M585" s="134" t="s">
        <v>765</v>
      </c>
      <c r="N585" s="135" t="s">
        <v>765</v>
      </c>
      <c r="O585" s="136" t="s">
        <v>765</v>
      </c>
      <c r="P585" s="175"/>
      <c r="Q585" s="209"/>
      <c r="R585" s="210"/>
      <c r="S585" s="175"/>
      <c r="T585" s="175"/>
      <c r="U585" s="175"/>
      <c r="V585" s="209"/>
      <c r="W585" s="210"/>
      <c r="X585" s="209">
        <v>20</v>
      </c>
      <c r="Y585" s="210"/>
      <c r="Z585" s="175"/>
      <c r="AA585" s="175"/>
      <c r="AB585" s="175"/>
      <c r="AC585" s="175"/>
      <c r="AD585" s="227">
        <v>45748</v>
      </c>
      <c r="AE585" s="162" t="s">
        <v>10157</v>
      </c>
    </row>
    <row r="586" spans="1:31" ht="27" customHeight="1" x14ac:dyDescent="0.15">
      <c r="A586" s="105">
        <v>1111601272</v>
      </c>
      <c r="B586" s="280" t="s">
        <v>11780</v>
      </c>
      <c r="C586" s="130" t="s">
        <v>10554</v>
      </c>
      <c r="D586" s="108" t="s">
        <v>74</v>
      </c>
      <c r="E586" s="281" t="s">
        <v>10555</v>
      </c>
      <c r="F586" s="132" t="s">
        <v>2880</v>
      </c>
      <c r="G586" s="139" t="s">
        <v>11012</v>
      </c>
      <c r="H586" s="139" t="s">
        <v>11013</v>
      </c>
      <c r="I586" s="141" t="s">
        <v>765</v>
      </c>
      <c r="J586" s="142" t="s">
        <v>765</v>
      </c>
      <c r="K586" s="142" t="s">
        <v>765</v>
      </c>
      <c r="L586" s="142" t="s">
        <v>765</v>
      </c>
      <c r="M586" s="142" t="s">
        <v>765</v>
      </c>
      <c r="N586" s="142" t="s">
        <v>765</v>
      </c>
      <c r="O586" s="142" t="s">
        <v>765</v>
      </c>
      <c r="P586" s="105"/>
      <c r="Q586" s="137"/>
      <c r="R586" s="138"/>
      <c r="S586" s="105"/>
      <c r="T586" s="105"/>
      <c r="U586" s="105"/>
      <c r="V586" s="137"/>
      <c r="W586" s="138"/>
      <c r="X586" s="137"/>
      <c r="Y586" s="138"/>
      <c r="Z586" s="105"/>
      <c r="AA586" s="105">
        <v>20</v>
      </c>
      <c r="AB586" s="105"/>
      <c r="AC586" s="105"/>
      <c r="AD586" s="144">
        <v>45870</v>
      </c>
      <c r="AE586" s="108" t="s">
        <v>10157</v>
      </c>
    </row>
    <row r="587" spans="1:31" s="65" customFormat="1" ht="27" customHeight="1" x14ac:dyDescent="0.15">
      <c r="A587" s="132">
        <v>1111601280</v>
      </c>
      <c r="B587" s="130" t="s">
        <v>11781</v>
      </c>
      <c r="C587" s="108" t="s">
        <v>10558</v>
      </c>
      <c r="D587" s="108" t="s">
        <v>6870</v>
      </c>
      <c r="E587" s="108" t="s">
        <v>10559</v>
      </c>
      <c r="F587" s="264" t="s">
        <v>10560</v>
      </c>
      <c r="G587" s="137" t="s">
        <v>10561</v>
      </c>
      <c r="H587" s="137" t="s">
        <v>10562</v>
      </c>
      <c r="I587" s="134" t="s">
        <v>765</v>
      </c>
      <c r="J587" s="134" t="s">
        <v>765</v>
      </c>
      <c r="K587" s="134" t="s">
        <v>765</v>
      </c>
      <c r="L587" s="134" t="s">
        <v>765</v>
      </c>
      <c r="M587" s="134" t="s">
        <v>765</v>
      </c>
      <c r="N587" s="134" t="s">
        <v>765</v>
      </c>
      <c r="O587" s="138"/>
      <c r="P587" s="105"/>
      <c r="Q587" s="137"/>
      <c r="R587" s="138"/>
      <c r="S587" s="105"/>
      <c r="T587" s="105"/>
      <c r="U587" s="105"/>
      <c r="V587" s="137"/>
      <c r="W587" s="138"/>
      <c r="X587" s="137"/>
      <c r="Y587" s="138"/>
      <c r="Z587" s="105">
        <v>20</v>
      </c>
      <c r="AA587" s="105"/>
      <c r="AB587" s="105"/>
      <c r="AC587" s="105"/>
      <c r="AD587" s="118">
        <v>45901</v>
      </c>
      <c r="AE587" s="282" t="s">
        <v>10563</v>
      </c>
    </row>
    <row r="588" spans="1:31" s="65" customFormat="1" ht="27" customHeight="1" x14ac:dyDescent="0.15">
      <c r="A588" s="132">
        <v>1111601322</v>
      </c>
      <c r="B588" s="213" t="s">
        <v>11782</v>
      </c>
      <c r="C588" s="214" t="s">
        <v>11476</v>
      </c>
      <c r="D588" s="108" t="s">
        <v>11477</v>
      </c>
      <c r="E588" s="108" t="s">
        <v>11478</v>
      </c>
      <c r="F588" s="264" t="s">
        <v>11479</v>
      </c>
      <c r="G588" s="137" t="s">
        <v>11480</v>
      </c>
      <c r="H588" s="105"/>
      <c r="I588" s="183"/>
      <c r="J588" s="134"/>
      <c r="K588" s="134"/>
      <c r="L588" s="134"/>
      <c r="M588" s="134"/>
      <c r="N588" s="135" t="s">
        <v>10951</v>
      </c>
      <c r="O588" s="138"/>
      <c r="P588" s="105"/>
      <c r="Q588" s="137"/>
      <c r="R588" s="138"/>
      <c r="S588" s="105"/>
      <c r="T588" s="105"/>
      <c r="U588" s="105"/>
      <c r="V588" s="137"/>
      <c r="W588" s="138"/>
      <c r="X588" s="137"/>
      <c r="Y588" s="138"/>
      <c r="Z588" s="105"/>
      <c r="AA588" s="105">
        <v>20</v>
      </c>
      <c r="AB588" s="105"/>
      <c r="AC588" s="105"/>
      <c r="AD588" s="118">
        <v>46143</v>
      </c>
      <c r="AE588" s="282" t="s">
        <v>11481</v>
      </c>
    </row>
    <row r="589" spans="1:31" s="65" customFormat="1" ht="27" customHeight="1" x14ac:dyDescent="0.15">
      <c r="A589" s="105">
        <v>1111700181</v>
      </c>
      <c r="B589" s="213" t="s">
        <v>403</v>
      </c>
      <c r="C589" s="214" t="s">
        <v>568</v>
      </c>
      <c r="D589" s="108" t="s">
        <v>75</v>
      </c>
      <c r="E589" s="108" t="s">
        <v>1057</v>
      </c>
      <c r="F589" s="131">
        <v>3650038</v>
      </c>
      <c r="G589" s="152" t="s">
        <v>634</v>
      </c>
      <c r="H589" s="132" t="s">
        <v>634</v>
      </c>
      <c r="I589" s="183"/>
      <c r="J589" s="134"/>
      <c r="K589" s="134"/>
      <c r="L589" s="134"/>
      <c r="M589" s="134"/>
      <c r="N589" s="135" t="s">
        <v>254</v>
      </c>
      <c r="O589" s="136"/>
      <c r="P589" s="105"/>
      <c r="Q589" s="137"/>
      <c r="R589" s="138"/>
      <c r="S589" s="105"/>
      <c r="T589" s="105"/>
      <c r="U589" s="105"/>
      <c r="V589" s="137"/>
      <c r="W589" s="138"/>
      <c r="X589" s="137"/>
      <c r="Y589" s="138"/>
      <c r="Z589" s="105"/>
      <c r="AA589" s="105">
        <v>20</v>
      </c>
      <c r="AB589" s="105"/>
      <c r="AC589" s="105"/>
      <c r="AD589" s="155">
        <v>39538</v>
      </c>
      <c r="AE589" s="108" t="s">
        <v>1058</v>
      </c>
    </row>
    <row r="590" spans="1:31" s="65" customFormat="1" ht="27" customHeight="1" x14ac:dyDescent="0.15">
      <c r="A590" s="105">
        <v>1111700231</v>
      </c>
      <c r="B590" s="213" t="s">
        <v>770</v>
      </c>
      <c r="C590" s="108" t="s">
        <v>311</v>
      </c>
      <c r="D590" s="108" t="s">
        <v>75</v>
      </c>
      <c r="E590" s="108" t="s">
        <v>312</v>
      </c>
      <c r="F590" s="131">
        <v>3650051</v>
      </c>
      <c r="G590" s="152" t="s">
        <v>313</v>
      </c>
      <c r="H590" s="132" t="s">
        <v>314</v>
      </c>
      <c r="I590" s="183"/>
      <c r="J590" s="134"/>
      <c r="K590" s="134"/>
      <c r="L590" s="134"/>
      <c r="M590" s="134" t="s">
        <v>49</v>
      </c>
      <c r="N590" s="135"/>
      <c r="O590" s="136"/>
      <c r="P590" s="105"/>
      <c r="Q590" s="137"/>
      <c r="R590" s="138"/>
      <c r="S590" s="105"/>
      <c r="T590" s="105">
        <v>20</v>
      </c>
      <c r="U590" s="105"/>
      <c r="V590" s="137"/>
      <c r="W590" s="138"/>
      <c r="X590" s="137"/>
      <c r="Y590" s="138"/>
      <c r="Z590" s="105"/>
      <c r="AA590" s="105"/>
      <c r="AB590" s="105"/>
      <c r="AC590" s="105"/>
      <c r="AD590" s="118">
        <v>39873</v>
      </c>
      <c r="AE590" s="108" t="s">
        <v>315</v>
      </c>
    </row>
    <row r="591" spans="1:31" s="65" customFormat="1" ht="27" customHeight="1" x14ac:dyDescent="0.15">
      <c r="A591" s="225">
        <v>1111700249</v>
      </c>
      <c r="B591" s="213" t="s">
        <v>1028</v>
      </c>
      <c r="C591" s="214" t="s">
        <v>1029</v>
      </c>
      <c r="D591" s="214" t="s">
        <v>75</v>
      </c>
      <c r="E591" s="214" t="s">
        <v>1085</v>
      </c>
      <c r="F591" s="283">
        <v>3650025</v>
      </c>
      <c r="G591" s="284" t="s">
        <v>2228</v>
      </c>
      <c r="H591" s="285" t="s">
        <v>2229</v>
      </c>
      <c r="I591" s="286" t="s">
        <v>49</v>
      </c>
      <c r="J591" s="287"/>
      <c r="K591" s="287"/>
      <c r="L591" s="288" t="s">
        <v>49</v>
      </c>
      <c r="M591" s="288" t="s">
        <v>49</v>
      </c>
      <c r="N591" s="289" t="s">
        <v>49</v>
      </c>
      <c r="O591" s="226"/>
      <c r="P591" s="225"/>
      <c r="Q591" s="224"/>
      <c r="R591" s="226"/>
      <c r="S591" s="225"/>
      <c r="T591" s="225"/>
      <c r="U591" s="225"/>
      <c r="V591" s="224"/>
      <c r="W591" s="226"/>
      <c r="X591" s="224"/>
      <c r="Y591" s="226"/>
      <c r="Z591" s="225"/>
      <c r="AA591" s="225">
        <v>30</v>
      </c>
      <c r="AB591" s="225"/>
      <c r="AC591" s="225"/>
      <c r="AD591" s="290">
        <v>40299</v>
      </c>
      <c r="AE591" s="214" t="s">
        <v>1030</v>
      </c>
    </row>
    <row r="592" spans="1:31" s="65" customFormat="1" ht="27" customHeight="1" x14ac:dyDescent="0.15">
      <c r="A592" s="105">
        <v>1111700272</v>
      </c>
      <c r="B592" s="130" t="s">
        <v>770</v>
      </c>
      <c r="C592" s="108" t="s">
        <v>4437</v>
      </c>
      <c r="D592" s="108" t="s">
        <v>75</v>
      </c>
      <c r="E592" s="108" t="s">
        <v>1177</v>
      </c>
      <c r="F592" s="131">
        <v>3690121</v>
      </c>
      <c r="G592" s="152" t="s">
        <v>4438</v>
      </c>
      <c r="H592" s="132" t="s">
        <v>4439</v>
      </c>
      <c r="I592" s="183"/>
      <c r="J592" s="134"/>
      <c r="K592" s="134"/>
      <c r="L592" s="142"/>
      <c r="M592" s="142" t="s">
        <v>4436</v>
      </c>
      <c r="N592" s="143"/>
      <c r="O592" s="138"/>
      <c r="P592" s="105"/>
      <c r="Q592" s="137"/>
      <c r="R592" s="138"/>
      <c r="S592" s="105"/>
      <c r="T592" s="105">
        <v>50</v>
      </c>
      <c r="U592" s="105"/>
      <c r="V592" s="137"/>
      <c r="W592" s="138"/>
      <c r="X592" s="137"/>
      <c r="Y592" s="138"/>
      <c r="Z592" s="105"/>
      <c r="AA592" s="105">
        <v>10</v>
      </c>
      <c r="AB592" s="105"/>
      <c r="AC592" s="105"/>
      <c r="AD592" s="118">
        <v>40634</v>
      </c>
      <c r="AE592" s="108" t="s">
        <v>1178</v>
      </c>
    </row>
    <row r="593" spans="1:31" s="65" customFormat="1" ht="27" customHeight="1" x14ac:dyDescent="0.15">
      <c r="A593" s="105">
        <v>1111700314</v>
      </c>
      <c r="B593" s="130" t="s">
        <v>1558</v>
      </c>
      <c r="C593" s="108" t="s">
        <v>1559</v>
      </c>
      <c r="D593" s="108" t="s">
        <v>75</v>
      </c>
      <c r="E593" s="108" t="s">
        <v>1560</v>
      </c>
      <c r="F593" s="131">
        <v>3690113</v>
      </c>
      <c r="G593" s="152" t="s">
        <v>7553</v>
      </c>
      <c r="H593" s="132" t="s">
        <v>7554</v>
      </c>
      <c r="I593" s="183"/>
      <c r="J593" s="134"/>
      <c r="K593" s="134"/>
      <c r="L593" s="142"/>
      <c r="M593" s="142" t="s">
        <v>49</v>
      </c>
      <c r="N593" s="143"/>
      <c r="O593" s="138"/>
      <c r="P593" s="105"/>
      <c r="Q593" s="137"/>
      <c r="R593" s="138"/>
      <c r="S593" s="105"/>
      <c r="T593" s="105">
        <v>25</v>
      </c>
      <c r="U593" s="105"/>
      <c r="V593" s="137"/>
      <c r="W593" s="138"/>
      <c r="X593" s="137"/>
      <c r="Y593" s="138"/>
      <c r="Z593" s="105"/>
      <c r="AA593" s="105"/>
      <c r="AB593" s="105"/>
      <c r="AC593" s="105"/>
      <c r="AD593" s="118">
        <v>40878</v>
      </c>
      <c r="AE593" s="108" t="s">
        <v>11360</v>
      </c>
    </row>
    <row r="594" spans="1:31" s="65" customFormat="1" ht="27" customHeight="1" x14ac:dyDescent="0.15">
      <c r="A594" s="105">
        <v>1111700348</v>
      </c>
      <c r="B594" s="130" t="s">
        <v>1828</v>
      </c>
      <c r="C594" s="108" t="s">
        <v>9148</v>
      </c>
      <c r="D594" s="108" t="s">
        <v>75</v>
      </c>
      <c r="E594" s="108" t="s">
        <v>9149</v>
      </c>
      <c r="F594" s="131" t="s">
        <v>5001</v>
      </c>
      <c r="G594" s="152" t="s">
        <v>5002</v>
      </c>
      <c r="H594" s="132" t="s">
        <v>5002</v>
      </c>
      <c r="I594" s="183"/>
      <c r="J594" s="134"/>
      <c r="K594" s="134"/>
      <c r="L594" s="142"/>
      <c r="M594" s="142" t="s">
        <v>49</v>
      </c>
      <c r="N594" s="143"/>
      <c r="O594" s="138"/>
      <c r="P594" s="105"/>
      <c r="Q594" s="137"/>
      <c r="R594" s="138"/>
      <c r="S594" s="105"/>
      <c r="T594" s="105">
        <v>8</v>
      </c>
      <c r="U594" s="105"/>
      <c r="V594" s="137"/>
      <c r="W594" s="138"/>
      <c r="X594" s="137"/>
      <c r="Y594" s="138"/>
      <c r="Z594" s="105"/>
      <c r="AA594" s="105">
        <v>12</v>
      </c>
      <c r="AB594" s="105"/>
      <c r="AC594" s="105"/>
      <c r="AD594" s="118">
        <v>41000</v>
      </c>
      <c r="AE594" s="108" t="s">
        <v>9150</v>
      </c>
    </row>
    <row r="595" spans="1:31" s="65" customFormat="1" ht="27" customHeight="1" x14ac:dyDescent="0.15">
      <c r="A595" s="105">
        <v>1111700355</v>
      </c>
      <c r="B595" s="130" t="s">
        <v>1828</v>
      </c>
      <c r="C595" s="108" t="s">
        <v>1829</v>
      </c>
      <c r="D595" s="108" t="s">
        <v>75</v>
      </c>
      <c r="E595" s="108" t="s">
        <v>1942</v>
      </c>
      <c r="F595" s="131" t="s">
        <v>1943</v>
      </c>
      <c r="G595" s="132" t="s">
        <v>1944</v>
      </c>
      <c r="H595" s="132" t="s">
        <v>1830</v>
      </c>
      <c r="I595" s="133" t="s">
        <v>1920</v>
      </c>
      <c r="J595" s="134"/>
      <c r="K595" s="134"/>
      <c r="L595" s="142"/>
      <c r="M595" s="142" t="s">
        <v>1920</v>
      </c>
      <c r="N595" s="143"/>
      <c r="O595" s="138"/>
      <c r="P595" s="105"/>
      <c r="Q595" s="137"/>
      <c r="R595" s="138"/>
      <c r="S595" s="105"/>
      <c r="T595" s="105">
        <v>8</v>
      </c>
      <c r="U595" s="105"/>
      <c r="V595" s="137"/>
      <c r="W595" s="138"/>
      <c r="X595" s="137"/>
      <c r="Y595" s="138"/>
      <c r="Z595" s="105"/>
      <c r="AA595" s="105">
        <v>12</v>
      </c>
      <c r="AB595" s="105"/>
      <c r="AC595" s="105"/>
      <c r="AD595" s="118">
        <v>41000</v>
      </c>
      <c r="AE595" s="108" t="s">
        <v>1945</v>
      </c>
    </row>
    <row r="596" spans="1:31" s="65" customFormat="1" ht="27" customHeight="1" x14ac:dyDescent="0.15">
      <c r="A596" s="105">
        <v>1111700363</v>
      </c>
      <c r="B596" s="130" t="s">
        <v>1828</v>
      </c>
      <c r="C596" s="108" t="s">
        <v>1831</v>
      </c>
      <c r="D596" s="108" t="s">
        <v>75</v>
      </c>
      <c r="E596" s="108" t="s">
        <v>1946</v>
      </c>
      <c r="F596" s="131" t="s">
        <v>1947</v>
      </c>
      <c r="G596" s="132" t="s">
        <v>1948</v>
      </c>
      <c r="H596" s="132" t="s">
        <v>1832</v>
      </c>
      <c r="I596" s="183" t="s">
        <v>1920</v>
      </c>
      <c r="J596" s="134"/>
      <c r="K596" s="134"/>
      <c r="L596" s="142"/>
      <c r="M596" s="142" t="s">
        <v>1920</v>
      </c>
      <c r="N596" s="143"/>
      <c r="O596" s="138"/>
      <c r="P596" s="105"/>
      <c r="Q596" s="137"/>
      <c r="R596" s="138"/>
      <c r="S596" s="105"/>
      <c r="T596" s="105">
        <v>7</v>
      </c>
      <c r="U596" s="105"/>
      <c r="V596" s="137"/>
      <c r="W596" s="138"/>
      <c r="X596" s="137"/>
      <c r="Y596" s="138"/>
      <c r="Z596" s="105"/>
      <c r="AA596" s="105">
        <v>13</v>
      </c>
      <c r="AB596" s="105"/>
      <c r="AC596" s="105"/>
      <c r="AD596" s="118">
        <v>41000</v>
      </c>
      <c r="AE596" s="108" t="s">
        <v>1949</v>
      </c>
    </row>
    <row r="597" spans="1:31" s="65" customFormat="1" ht="27" customHeight="1" x14ac:dyDescent="0.15">
      <c r="A597" s="105">
        <v>1111700439</v>
      </c>
      <c r="B597" s="106" t="s">
        <v>2145</v>
      </c>
      <c r="C597" s="107" t="s">
        <v>2146</v>
      </c>
      <c r="D597" s="108" t="s">
        <v>1873</v>
      </c>
      <c r="E597" s="108" t="s">
        <v>1874</v>
      </c>
      <c r="F597" s="139">
        <v>3650023</v>
      </c>
      <c r="G597" s="140" t="s">
        <v>1875</v>
      </c>
      <c r="H597" s="140" t="s">
        <v>1876</v>
      </c>
      <c r="I597" s="141"/>
      <c r="J597" s="142"/>
      <c r="K597" s="142"/>
      <c r="L597" s="142"/>
      <c r="M597" s="142" t="s">
        <v>49</v>
      </c>
      <c r="N597" s="143"/>
      <c r="O597" s="138"/>
      <c r="P597" s="105">
        <v>50</v>
      </c>
      <c r="Q597" s="137" t="s">
        <v>3588</v>
      </c>
      <c r="R597" s="138">
        <v>2</v>
      </c>
      <c r="S597" s="105"/>
      <c r="T597" s="105">
        <v>50</v>
      </c>
      <c r="U597" s="105"/>
      <c r="V597" s="137"/>
      <c r="W597" s="138"/>
      <c r="X597" s="137"/>
      <c r="Y597" s="138"/>
      <c r="Z597" s="105"/>
      <c r="AA597" s="105"/>
      <c r="AB597" s="105"/>
      <c r="AC597" s="105"/>
      <c r="AD597" s="144">
        <v>41334</v>
      </c>
      <c r="AE597" s="108" t="s">
        <v>1910</v>
      </c>
    </row>
    <row r="598" spans="1:31" s="65" customFormat="1" ht="27" customHeight="1" x14ac:dyDescent="0.15">
      <c r="A598" s="105">
        <v>1111700595</v>
      </c>
      <c r="B598" s="130" t="s">
        <v>2346</v>
      </c>
      <c r="C598" s="108" t="s">
        <v>5007</v>
      </c>
      <c r="D598" s="108" t="s">
        <v>75</v>
      </c>
      <c r="E598" s="108" t="s">
        <v>5008</v>
      </c>
      <c r="F598" s="131" t="s">
        <v>5009</v>
      </c>
      <c r="G598" s="132" t="s">
        <v>5010</v>
      </c>
      <c r="H598" s="132" t="s">
        <v>5011</v>
      </c>
      <c r="I598" s="133" t="s">
        <v>5012</v>
      </c>
      <c r="J598" s="134"/>
      <c r="K598" s="134"/>
      <c r="L598" s="134" t="s">
        <v>5012</v>
      </c>
      <c r="M598" s="134" t="s">
        <v>5012</v>
      </c>
      <c r="N598" s="134" t="s">
        <v>5012</v>
      </c>
      <c r="O598" s="136" t="s">
        <v>5012</v>
      </c>
      <c r="P598" s="105"/>
      <c r="Q598" s="137"/>
      <c r="R598" s="138"/>
      <c r="S598" s="105"/>
      <c r="T598" s="105">
        <v>20</v>
      </c>
      <c r="U598" s="105"/>
      <c r="V598" s="137"/>
      <c r="W598" s="138"/>
      <c r="X598" s="137"/>
      <c r="Y598" s="138"/>
      <c r="Z598" s="105"/>
      <c r="AA598" s="105"/>
      <c r="AB598" s="105"/>
      <c r="AC598" s="175"/>
      <c r="AD598" s="227">
        <v>43556</v>
      </c>
      <c r="AE598" s="108" t="s">
        <v>5013</v>
      </c>
    </row>
    <row r="599" spans="1:31" ht="27" customHeight="1" x14ac:dyDescent="0.15">
      <c r="A599" s="277">
        <v>1111700611</v>
      </c>
      <c r="B599" s="278" t="s">
        <v>5088</v>
      </c>
      <c r="C599" s="243" t="s">
        <v>6984</v>
      </c>
      <c r="D599" s="243" t="s">
        <v>91</v>
      </c>
      <c r="E599" s="108" t="s">
        <v>6985</v>
      </c>
      <c r="F599" s="139" t="s">
        <v>6986</v>
      </c>
      <c r="G599" s="277" t="s">
        <v>6987</v>
      </c>
      <c r="H599" s="277" t="s">
        <v>6988</v>
      </c>
      <c r="I599" s="245"/>
      <c r="J599" s="246"/>
      <c r="K599" s="246"/>
      <c r="L599" s="246" t="s">
        <v>765</v>
      </c>
      <c r="M599" s="134" t="s">
        <v>49</v>
      </c>
      <c r="N599" s="279" t="s">
        <v>765</v>
      </c>
      <c r="O599" s="247" t="s">
        <v>49</v>
      </c>
      <c r="P599" s="132"/>
      <c r="Q599" s="152"/>
      <c r="R599" s="136"/>
      <c r="S599" s="132"/>
      <c r="T599" s="132"/>
      <c r="U599" s="132"/>
      <c r="V599" s="152"/>
      <c r="W599" s="136"/>
      <c r="X599" s="137">
        <v>6</v>
      </c>
      <c r="Y599" s="136"/>
      <c r="Z599" s="277"/>
      <c r="AA599" s="105">
        <v>14</v>
      </c>
      <c r="AB599" s="132"/>
      <c r="AC599" s="132"/>
      <c r="AD599" s="155" t="s">
        <v>5087</v>
      </c>
      <c r="AE599" s="108" t="s">
        <v>6989</v>
      </c>
    </row>
    <row r="600" spans="1:31" s="65" customFormat="1" ht="27" customHeight="1" x14ac:dyDescent="0.15">
      <c r="A600" s="277">
        <v>1111700611</v>
      </c>
      <c r="B600" s="278" t="s">
        <v>5088</v>
      </c>
      <c r="C600" s="243" t="s">
        <v>6984</v>
      </c>
      <c r="D600" s="243" t="s">
        <v>91</v>
      </c>
      <c r="E600" s="108" t="s">
        <v>6985</v>
      </c>
      <c r="F600" s="139" t="s">
        <v>6986</v>
      </c>
      <c r="G600" s="277" t="s">
        <v>6987</v>
      </c>
      <c r="H600" s="277" t="s">
        <v>6988</v>
      </c>
      <c r="I600" s="245"/>
      <c r="J600" s="246"/>
      <c r="K600" s="246"/>
      <c r="L600" s="246" t="s">
        <v>765</v>
      </c>
      <c r="M600" s="134" t="s">
        <v>49</v>
      </c>
      <c r="N600" s="279" t="s">
        <v>765</v>
      </c>
      <c r="O600" s="247" t="s">
        <v>49</v>
      </c>
      <c r="P600" s="132"/>
      <c r="Q600" s="152"/>
      <c r="R600" s="136"/>
      <c r="S600" s="132"/>
      <c r="T600" s="132"/>
      <c r="U600" s="132"/>
      <c r="V600" s="152"/>
      <c r="W600" s="136"/>
      <c r="X600" s="152"/>
      <c r="Y600" s="136"/>
      <c r="Z600" s="277"/>
      <c r="AA600" s="132"/>
      <c r="AB600" s="132" t="s">
        <v>49</v>
      </c>
      <c r="AC600" s="132"/>
      <c r="AD600" s="155" t="s">
        <v>5087</v>
      </c>
      <c r="AE600" s="108" t="s">
        <v>6989</v>
      </c>
    </row>
    <row r="601" spans="1:31" ht="27" customHeight="1" x14ac:dyDescent="0.15">
      <c r="A601" s="105">
        <v>1111700660</v>
      </c>
      <c r="B601" s="106" t="s">
        <v>5759</v>
      </c>
      <c r="C601" s="107" t="s">
        <v>5760</v>
      </c>
      <c r="D601" s="108" t="s">
        <v>75</v>
      </c>
      <c r="E601" s="108" t="s">
        <v>5761</v>
      </c>
      <c r="F601" s="139" t="s">
        <v>5762</v>
      </c>
      <c r="G601" s="140" t="s">
        <v>5763</v>
      </c>
      <c r="H601" s="140" t="s">
        <v>5764</v>
      </c>
      <c r="I601" s="141" t="s">
        <v>765</v>
      </c>
      <c r="J601" s="142"/>
      <c r="K601" s="142"/>
      <c r="L601" s="142"/>
      <c r="M601" s="142" t="s">
        <v>49</v>
      </c>
      <c r="N601" s="143" t="s">
        <v>49</v>
      </c>
      <c r="O601" s="138"/>
      <c r="P601" s="105"/>
      <c r="Q601" s="137"/>
      <c r="R601" s="138"/>
      <c r="S601" s="105"/>
      <c r="T601" s="105"/>
      <c r="U601" s="105"/>
      <c r="V601" s="137"/>
      <c r="W601" s="138"/>
      <c r="X601" s="152">
        <v>20</v>
      </c>
      <c r="Y601" s="138"/>
      <c r="Z601" s="105"/>
      <c r="AA601" s="105"/>
      <c r="AB601" s="105"/>
      <c r="AC601" s="105"/>
      <c r="AD601" s="144">
        <v>43922</v>
      </c>
      <c r="AE601" s="108" t="s">
        <v>9210</v>
      </c>
    </row>
    <row r="602" spans="1:31" ht="27" customHeight="1" x14ac:dyDescent="0.15">
      <c r="A602" s="132">
        <v>1111700678</v>
      </c>
      <c r="B602" s="130" t="s">
        <v>6211</v>
      </c>
      <c r="C602" s="108" t="s">
        <v>6212</v>
      </c>
      <c r="D602" s="108" t="s">
        <v>75</v>
      </c>
      <c r="E602" s="108" t="s">
        <v>6213</v>
      </c>
      <c r="F602" s="131">
        <v>3650014</v>
      </c>
      <c r="G602" s="132" t="s">
        <v>6214</v>
      </c>
      <c r="H602" s="132" t="s">
        <v>6214</v>
      </c>
      <c r="I602" s="116"/>
      <c r="J602" s="154"/>
      <c r="K602" s="154"/>
      <c r="L602" s="154"/>
      <c r="M602" s="154" t="s">
        <v>49</v>
      </c>
      <c r="N602" s="143"/>
      <c r="O602" s="138"/>
      <c r="P602" s="105"/>
      <c r="Q602" s="137"/>
      <c r="R602" s="138"/>
      <c r="S602" s="105"/>
      <c r="T602" s="105">
        <v>20</v>
      </c>
      <c r="U602" s="105"/>
      <c r="V602" s="137"/>
      <c r="W602" s="138"/>
      <c r="X602" s="137"/>
      <c r="Y602" s="138"/>
      <c r="Z602" s="105"/>
      <c r="AA602" s="105"/>
      <c r="AB602" s="105"/>
      <c r="AC602" s="105"/>
      <c r="AD602" s="118">
        <v>44044</v>
      </c>
      <c r="AE602" s="108" t="s">
        <v>6215</v>
      </c>
    </row>
    <row r="603" spans="1:31" ht="27" customHeight="1" x14ac:dyDescent="0.15">
      <c r="A603" s="105">
        <v>1111700710</v>
      </c>
      <c r="B603" s="106" t="s">
        <v>5383</v>
      </c>
      <c r="C603" s="107" t="s">
        <v>5384</v>
      </c>
      <c r="D603" s="108" t="s">
        <v>75</v>
      </c>
      <c r="E603" s="108" t="s">
        <v>5385</v>
      </c>
      <c r="F603" s="139" t="s">
        <v>5001</v>
      </c>
      <c r="G603" s="140" t="s">
        <v>5386</v>
      </c>
      <c r="H603" s="140" t="s">
        <v>5387</v>
      </c>
      <c r="I603" s="141" t="s">
        <v>49</v>
      </c>
      <c r="J603" s="142"/>
      <c r="K603" s="142"/>
      <c r="L603" s="142"/>
      <c r="M603" s="142" t="s">
        <v>765</v>
      </c>
      <c r="N603" s="143" t="s">
        <v>765</v>
      </c>
      <c r="O603" s="138"/>
      <c r="P603" s="105"/>
      <c r="Q603" s="137"/>
      <c r="R603" s="138"/>
      <c r="S603" s="105"/>
      <c r="T603" s="105"/>
      <c r="U603" s="105"/>
      <c r="V603" s="116"/>
      <c r="W603" s="117"/>
      <c r="X603" s="137"/>
      <c r="Y603" s="138"/>
      <c r="Z603" s="105"/>
      <c r="AA603" s="105">
        <v>20</v>
      </c>
      <c r="AB603" s="105"/>
      <c r="AC603" s="105"/>
      <c r="AD603" s="144">
        <v>44105</v>
      </c>
      <c r="AE603" s="108" t="s">
        <v>5388</v>
      </c>
    </row>
    <row r="604" spans="1:31" s="65" customFormat="1" ht="27" customHeight="1" x14ac:dyDescent="0.15">
      <c r="A604" s="105">
        <v>1111700736</v>
      </c>
      <c r="B604" s="130" t="s">
        <v>6334</v>
      </c>
      <c r="C604" s="107" t="s">
        <v>6335</v>
      </c>
      <c r="D604" s="108" t="s">
        <v>75</v>
      </c>
      <c r="E604" s="108" t="s">
        <v>6336</v>
      </c>
      <c r="F604" s="139" t="s">
        <v>5009</v>
      </c>
      <c r="G604" s="140" t="s">
        <v>6337</v>
      </c>
      <c r="H604" s="140" t="s">
        <v>6338</v>
      </c>
      <c r="I604" s="141"/>
      <c r="J604" s="142"/>
      <c r="K604" s="142"/>
      <c r="L604" s="142"/>
      <c r="M604" s="142" t="s">
        <v>765</v>
      </c>
      <c r="N604" s="143" t="s">
        <v>765</v>
      </c>
      <c r="O604" s="138" t="s">
        <v>49</v>
      </c>
      <c r="P604" s="105"/>
      <c r="Q604" s="137"/>
      <c r="R604" s="138"/>
      <c r="S604" s="105"/>
      <c r="T604" s="105"/>
      <c r="U604" s="105"/>
      <c r="V604" s="116"/>
      <c r="W604" s="117"/>
      <c r="X604" s="137">
        <v>20</v>
      </c>
      <c r="Y604" s="138"/>
      <c r="Z604" s="105"/>
      <c r="AA604" s="105"/>
      <c r="AB604" s="105"/>
      <c r="AC604" s="105"/>
      <c r="AD604" s="144">
        <v>44136</v>
      </c>
      <c r="AE604" s="108" t="s">
        <v>6339</v>
      </c>
    </row>
    <row r="605" spans="1:31" s="65" customFormat="1" ht="27" customHeight="1" x14ac:dyDescent="0.15">
      <c r="A605" s="105">
        <v>1111700736</v>
      </c>
      <c r="B605" s="130" t="s">
        <v>6334</v>
      </c>
      <c r="C605" s="107" t="s">
        <v>6335</v>
      </c>
      <c r="D605" s="108" t="s">
        <v>75</v>
      </c>
      <c r="E605" s="108" t="s">
        <v>6336</v>
      </c>
      <c r="F605" s="139" t="s">
        <v>5009</v>
      </c>
      <c r="G605" s="140" t="s">
        <v>6337</v>
      </c>
      <c r="H605" s="140" t="s">
        <v>6338</v>
      </c>
      <c r="I605" s="141"/>
      <c r="J605" s="142"/>
      <c r="K605" s="142"/>
      <c r="L605" s="142"/>
      <c r="M605" s="142" t="s">
        <v>765</v>
      </c>
      <c r="N605" s="143" t="s">
        <v>765</v>
      </c>
      <c r="O605" s="138" t="s">
        <v>49</v>
      </c>
      <c r="P605" s="105"/>
      <c r="Q605" s="137"/>
      <c r="R605" s="138"/>
      <c r="S605" s="105"/>
      <c r="T605" s="105"/>
      <c r="U605" s="105"/>
      <c r="V605" s="116"/>
      <c r="W605" s="117"/>
      <c r="X605" s="137"/>
      <c r="Y605" s="138"/>
      <c r="Z605" s="105"/>
      <c r="AA605" s="105"/>
      <c r="AB605" s="118" t="s">
        <v>4614</v>
      </c>
      <c r="AC605" s="118"/>
      <c r="AD605" s="144">
        <v>44866</v>
      </c>
      <c r="AE605" s="108" t="s">
        <v>6339</v>
      </c>
    </row>
    <row r="606" spans="1:31" s="65" customFormat="1" ht="27" customHeight="1" x14ac:dyDescent="0.15">
      <c r="A606" s="132">
        <v>1111700751</v>
      </c>
      <c r="B606" s="291" t="s">
        <v>6875</v>
      </c>
      <c r="C606" s="108" t="s">
        <v>6876</v>
      </c>
      <c r="D606" s="108" t="s">
        <v>75</v>
      </c>
      <c r="E606" s="108" t="s">
        <v>6877</v>
      </c>
      <c r="F606" s="131" t="s">
        <v>6878</v>
      </c>
      <c r="G606" s="132" t="s">
        <v>6879</v>
      </c>
      <c r="H606" s="132" t="s">
        <v>6880</v>
      </c>
      <c r="I606" s="133"/>
      <c r="J606" s="134"/>
      <c r="K606" s="134"/>
      <c r="L606" s="134"/>
      <c r="M606" s="134" t="s">
        <v>49</v>
      </c>
      <c r="N606" s="135" t="s">
        <v>49</v>
      </c>
      <c r="O606" s="136"/>
      <c r="P606" s="105"/>
      <c r="Q606" s="152"/>
      <c r="R606" s="138"/>
      <c r="S606" s="132"/>
      <c r="T606" s="105"/>
      <c r="U606" s="132"/>
      <c r="V606" s="137">
        <v>20</v>
      </c>
      <c r="W606" s="138"/>
      <c r="X606" s="152"/>
      <c r="Y606" s="136"/>
      <c r="Z606" s="132"/>
      <c r="AA606" s="132"/>
      <c r="AB606" s="132"/>
      <c r="AC606" s="132"/>
      <c r="AD606" s="118">
        <v>44378</v>
      </c>
      <c r="AE606" s="108" t="s">
        <v>6881</v>
      </c>
    </row>
    <row r="607" spans="1:31" ht="27" customHeight="1" x14ac:dyDescent="0.15">
      <c r="A607" s="132">
        <v>1111700777</v>
      </c>
      <c r="B607" s="130" t="s">
        <v>6937</v>
      </c>
      <c r="C607" s="108" t="s">
        <v>6938</v>
      </c>
      <c r="D607" s="108" t="s">
        <v>75</v>
      </c>
      <c r="E607" s="108" t="s">
        <v>6939</v>
      </c>
      <c r="F607" s="131" t="s">
        <v>6940</v>
      </c>
      <c r="G607" s="132" t="s">
        <v>6941</v>
      </c>
      <c r="H607" s="132" t="s">
        <v>6942</v>
      </c>
      <c r="I607" s="133"/>
      <c r="J607" s="134"/>
      <c r="K607" s="134"/>
      <c r="L607" s="134"/>
      <c r="M607" s="134" t="s">
        <v>49</v>
      </c>
      <c r="N607" s="135" t="s">
        <v>49</v>
      </c>
      <c r="O607" s="136"/>
      <c r="P607" s="105"/>
      <c r="Q607" s="152"/>
      <c r="R607" s="138"/>
      <c r="S607" s="132"/>
      <c r="T607" s="105"/>
      <c r="U607" s="132"/>
      <c r="V607" s="116"/>
      <c r="W607" s="117"/>
      <c r="X607" s="152"/>
      <c r="Y607" s="136"/>
      <c r="Z607" s="132">
        <v>15</v>
      </c>
      <c r="AA607" s="132"/>
      <c r="AB607" s="132"/>
      <c r="AC607" s="132"/>
      <c r="AD607" s="118">
        <v>44409</v>
      </c>
      <c r="AE607" s="108" t="s">
        <v>6943</v>
      </c>
    </row>
    <row r="608" spans="1:31" ht="27" customHeight="1" x14ac:dyDescent="0.15">
      <c r="A608" s="105">
        <v>1111700801</v>
      </c>
      <c r="B608" s="130" t="s">
        <v>6334</v>
      </c>
      <c r="C608" s="108" t="s">
        <v>8005</v>
      </c>
      <c r="D608" s="108" t="s">
        <v>75</v>
      </c>
      <c r="E608" s="108" t="s">
        <v>7290</v>
      </c>
      <c r="F608" s="131" t="s">
        <v>7291</v>
      </c>
      <c r="G608" s="132" t="s">
        <v>7292</v>
      </c>
      <c r="H608" s="132" t="s">
        <v>7293</v>
      </c>
      <c r="I608" s="133" t="s">
        <v>765</v>
      </c>
      <c r="J608" s="134"/>
      <c r="K608" s="134" t="s">
        <v>765</v>
      </c>
      <c r="L608" s="134" t="s">
        <v>765</v>
      </c>
      <c r="M608" s="134" t="s">
        <v>765</v>
      </c>
      <c r="N608" s="135" t="s">
        <v>765</v>
      </c>
      <c r="O608" s="136" t="s">
        <v>765</v>
      </c>
      <c r="P608" s="105"/>
      <c r="Q608" s="137"/>
      <c r="R608" s="138"/>
      <c r="S608" s="105"/>
      <c r="T608" s="105"/>
      <c r="U608" s="105"/>
      <c r="V608" s="137"/>
      <c r="W608" s="138"/>
      <c r="X608" s="137">
        <v>10</v>
      </c>
      <c r="Y608" s="138"/>
      <c r="Z608" s="105"/>
      <c r="AA608" s="105">
        <v>10</v>
      </c>
      <c r="AB608" s="105"/>
      <c r="AC608" s="105"/>
      <c r="AD608" s="144">
        <v>44621</v>
      </c>
      <c r="AE608" s="217" t="s">
        <v>7294</v>
      </c>
    </row>
    <row r="609" spans="1:31" s="65" customFormat="1" ht="27" customHeight="1" x14ac:dyDescent="0.15">
      <c r="A609" s="105">
        <v>1111700801</v>
      </c>
      <c r="B609" s="130" t="s">
        <v>6334</v>
      </c>
      <c r="C609" s="108" t="s">
        <v>8005</v>
      </c>
      <c r="D609" s="108" t="s">
        <v>75</v>
      </c>
      <c r="E609" s="108" t="s">
        <v>7290</v>
      </c>
      <c r="F609" s="131" t="s">
        <v>7291</v>
      </c>
      <c r="G609" s="132" t="s">
        <v>7292</v>
      </c>
      <c r="H609" s="132" t="s">
        <v>7293</v>
      </c>
      <c r="I609" s="133" t="s">
        <v>765</v>
      </c>
      <c r="J609" s="134" t="s">
        <v>765</v>
      </c>
      <c r="K609" s="134" t="s">
        <v>765</v>
      </c>
      <c r="L609" s="134" t="s">
        <v>765</v>
      </c>
      <c r="M609" s="134" t="s">
        <v>765</v>
      </c>
      <c r="N609" s="135" t="s">
        <v>765</v>
      </c>
      <c r="O609" s="136" t="s">
        <v>765</v>
      </c>
      <c r="P609" s="105"/>
      <c r="Q609" s="137"/>
      <c r="R609" s="138"/>
      <c r="S609" s="105"/>
      <c r="T609" s="105"/>
      <c r="U609" s="105"/>
      <c r="V609" s="137"/>
      <c r="W609" s="138"/>
      <c r="X609" s="137"/>
      <c r="Y609" s="138"/>
      <c r="Z609" s="105"/>
      <c r="AA609" s="105"/>
      <c r="AB609" s="105" t="s">
        <v>49</v>
      </c>
      <c r="AC609" s="105"/>
      <c r="AD609" s="144">
        <v>45383</v>
      </c>
      <c r="AE609" s="217" t="s">
        <v>7294</v>
      </c>
    </row>
    <row r="610" spans="1:31" s="65" customFormat="1" ht="27" customHeight="1" x14ac:dyDescent="0.15">
      <c r="A610" s="105">
        <v>1111800122</v>
      </c>
      <c r="B610" s="130" t="s">
        <v>1765</v>
      </c>
      <c r="C610" s="108" t="s">
        <v>1766</v>
      </c>
      <c r="D610" s="108" t="s">
        <v>1033</v>
      </c>
      <c r="E610" s="108" t="s">
        <v>1767</v>
      </c>
      <c r="F610" s="131" t="s">
        <v>1768</v>
      </c>
      <c r="G610" s="132" t="s">
        <v>1769</v>
      </c>
      <c r="H610" s="132" t="s">
        <v>1769</v>
      </c>
      <c r="I610" s="133"/>
      <c r="J610" s="134"/>
      <c r="K610" s="134"/>
      <c r="L610" s="142"/>
      <c r="M610" s="142" t="s">
        <v>1770</v>
      </c>
      <c r="N610" s="143"/>
      <c r="O610" s="138"/>
      <c r="P610" s="105"/>
      <c r="Q610" s="137"/>
      <c r="R610" s="138"/>
      <c r="S610" s="105"/>
      <c r="T610" s="105"/>
      <c r="U610" s="105"/>
      <c r="V610" s="116"/>
      <c r="W610" s="117"/>
      <c r="X610" s="116"/>
      <c r="Y610" s="138"/>
      <c r="Z610" s="105"/>
      <c r="AA610" s="105">
        <v>20</v>
      </c>
      <c r="AB610" s="105"/>
      <c r="AC610" s="105"/>
      <c r="AD610" s="118">
        <v>41000</v>
      </c>
      <c r="AE610" s="108" t="s">
        <v>1771</v>
      </c>
    </row>
    <row r="611" spans="1:31" ht="27" customHeight="1" x14ac:dyDescent="0.15">
      <c r="A611" s="150">
        <v>1111800130</v>
      </c>
      <c r="B611" s="130" t="s">
        <v>868</v>
      </c>
      <c r="C611" s="107" t="s">
        <v>1179</v>
      </c>
      <c r="D611" s="108" t="s">
        <v>1180</v>
      </c>
      <c r="E611" s="108" t="s">
        <v>1181</v>
      </c>
      <c r="F611" s="139">
        <v>3400001</v>
      </c>
      <c r="G611" s="132" t="s">
        <v>1182</v>
      </c>
      <c r="H611" s="132" t="s">
        <v>1183</v>
      </c>
      <c r="I611" s="141" t="s">
        <v>49</v>
      </c>
      <c r="J611" s="142" t="s">
        <v>49</v>
      </c>
      <c r="K611" s="142" t="s">
        <v>49</v>
      </c>
      <c r="L611" s="142" t="s">
        <v>49</v>
      </c>
      <c r="M611" s="142"/>
      <c r="N611" s="143"/>
      <c r="O611" s="138"/>
      <c r="P611" s="105">
        <v>50</v>
      </c>
      <c r="Q611" s="137" t="s">
        <v>2681</v>
      </c>
      <c r="R611" s="138">
        <v>7</v>
      </c>
      <c r="S611" s="105"/>
      <c r="T611" s="105">
        <v>50</v>
      </c>
      <c r="U611" s="105"/>
      <c r="V611" s="137"/>
      <c r="W611" s="138"/>
      <c r="X611" s="137"/>
      <c r="Y611" s="138"/>
      <c r="Z611" s="105"/>
      <c r="AA611" s="105"/>
      <c r="AB611" s="105"/>
      <c r="AC611" s="105"/>
      <c r="AD611" s="118">
        <v>40634</v>
      </c>
      <c r="AE611" s="108" t="s">
        <v>1574</v>
      </c>
    </row>
    <row r="612" spans="1:31" s="65" customFormat="1" ht="27" customHeight="1" x14ac:dyDescent="0.15">
      <c r="A612" s="132">
        <v>1111800155</v>
      </c>
      <c r="B612" s="130" t="s">
        <v>2026</v>
      </c>
      <c r="C612" s="108" t="s">
        <v>1821</v>
      </c>
      <c r="D612" s="108" t="s">
        <v>1033</v>
      </c>
      <c r="E612" s="108" t="s">
        <v>1927</v>
      </c>
      <c r="F612" s="139" t="s">
        <v>1928</v>
      </c>
      <c r="G612" s="132" t="s">
        <v>1929</v>
      </c>
      <c r="H612" s="132" t="s">
        <v>1822</v>
      </c>
      <c r="I612" s="141"/>
      <c r="J612" s="142"/>
      <c r="K612" s="142"/>
      <c r="L612" s="142"/>
      <c r="M612" s="142" t="s">
        <v>49</v>
      </c>
      <c r="N612" s="143"/>
      <c r="O612" s="138"/>
      <c r="P612" s="105"/>
      <c r="Q612" s="137"/>
      <c r="R612" s="138"/>
      <c r="S612" s="105"/>
      <c r="T612" s="105">
        <v>16</v>
      </c>
      <c r="U612" s="105"/>
      <c r="V612" s="137"/>
      <c r="W612" s="138"/>
      <c r="X612" s="137"/>
      <c r="Y612" s="138"/>
      <c r="Z612" s="105"/>
      <c r="AA612" s="105">
        <v>64</v>
      </c>
      <c r="AB612" s="105"/>
      <c r="AC612" s="105"/>
      <c r="AD612" s="118">
        <v>41000</v>
      </c>
      <c r="AE612" s="108" t="s">
        <v>1930</v>
      </c>
    </row>
    <row r="613" spans="1:31" ht="27" customHeight="1" x14ac:dyDescent="0.15">
      <c r="A613" s="105">
        <v>1111800379</v>
      </c>
      <c r="B613" s="130" t="s">
        <v>1032</v>
      </c>
      <c r="C613" s="108" t="s">
        <v>1034</v>
      </c>
      <c r="D613" s="108" t="s">
        <v>1033</v>
      </c>
      <c r="E613" s="108" t="s">
        <v>1035</v>
      </c>
      <c r="F613" s="131" t="s">
        <v>1036</v>
      </c>
      <c r="G613" s="132" t="s">
        <v>1037</v>
      </c>
      <c r="H613" s="132" t="s">
        <v>1037</v>
      </c>
      <c r="I613" s="133"/>
      <c r="J613" s="134"/>
      <c r="K613" s="134"/>
      <c r="L613" s="134"/>
      <c r="M613" s="134" t="s">
        <v>49</v>
      </c>
      <c r="N613" s="135"/>
      <c r="O613" s="136"/>
      <c r="P613" s="132"/>
      <c r="Q613" s="152"/>
      <c r="R613" s="136"/>
      <c r="S613" s="132"/>
      <c r="T613" s="105">
        <v>30</v>
      </c>
      <c r="U613" s="132"/>
      <c r="V613" s="133"/>
      <c r="W613" s="242"/>
      <c r="X613" s="133"/>
      <c r="Y613" s="136"/>
      <c r="Z613" s="132"/>
      <c r="AA613" s="105"/>
      <c r="AB613" s="105"/>
      <c r="AC613" s="105"/>
      <c r="AD613" s="155">
        <v>40330</v>
      </c>
      <c r="AE613" s="108" t="s">
        <v>1038</v>
      </c>
    </row>
    <row r="614" spans="1:31" s="65" customFormat="1" ht="27" customHeight="1" x14ac:dyDescent="0.15">
      <c r="A614" s="105">
        <v>1111800429</v>
      </c>
      <c r="B614" s="130" t="s">
        <v>1032</v>
      </c>
      <c r="C614" s="108" t="s">
        <v>1216</v>
      </c>
      <c r="D614" s="108" t="s">
        <v>1033</v>
      </c>
      <c r="E614" s="108" t="s">
        <v>1215</v>
      </c>
      <c r="F614" s="131">
        <v>3400036</v>
      </c>
      <c r="G614" s="132" t="s">
        <v>1214</v>
      </c>
      <c r="H614" s="132" t="s">
        <v>1214</v>
      </c>
      <c r="I614" s="133"/>
      <c r="J614" s="134"/>
      <c r="K614" s="134"/>
      <c r="L614" s="134"/>
      <c r="M614" s="134" t="s">
        <v>1213</v>
      </c>
      <c r="N614" s="135"/>
      <c r="O614" s="136"/>
      <c r="P614" s="132"/>
      <c r="Q614" s="152"/>
      <c r="R614" s="136"/>
      <c r="S614" s="132"/>
      <c r="T614" s="105"/>
      <c r="U614" s="132"/>
      <c r="V614" s="152"/>
      <c r="W614" s="136"/>
      <c r="X614" s="152"/>
      <c r="Y614" s="136"/>
      <c r="Z614" s="132"/>
      <c r="AA614" s="105">
        <v>20</v>
      </c>
      <c r="AB614" s="105"/>
      <c r="AC614" s="105"/>
      <c r="AD614" s="155">
        <v>40634</v>
      </c>
      <c r="AE614" s="108" t="s">
        <v>1212</v>
      </c>
    </row>
    <row r="615" spans="1:31" s="65" customFormat="1" ht="27" customHeight="1" x14ac:dyDescent="0.15">
      <c r="A615" s="105">
        <v>1111800445</v>
      </c>
      <c r="B615" s="106" t="s">
        <v>1434</v>
      </c>
      <c r="C615" s="107" t="s">
        <v>1376</v>
      </c>
      <c r="D615" s="108" t="s">
        <v>1033</v>
      </c>
      <c r="E615" s="215" t="s">
        <v>1377</v>
      </c>
      <c r="F615" s="139">
        <v>3400002</v>
      </c>
      <c r="G615" s="159" t="s">
        <v>1378</v>
      </c>
      <c r="H615" s="140" t="s">
        <v>1379</v>
      </c>
      <c r="I615" s="141" t="s">
        <v>4038</v>
      </c>
      <c r="J615" s="142" t="s">
        <v>4038</v>
      </c>
      <c r="K615" s="142" t="s">
        <v>4038</v>
      </c>
      <c r="L615" s="142" t="s">
        <v>4038</v>
      </c>
      <c r="M615" s="142" t="s">
        <v>49</v>
      </c>
      <c r="N615" s="143" t="s">
        <v>4038</v>
      </c>
      <c r="O615" s="138"/>
      <c r="P615" s="105"/>
      <c r="Q615" s="137"/>
      <c r="R615" s="138">
        <v>6</v>
      </c>
      <c r="S615" s="105"/>
      <c r="T615" s="105">
        <v>25</v>
      </c>
      <c r="U615" s="105"/>
      <c r="V615" s="116"/>
      <c r="W615" s="117"/>
      <c r="X615" s="116"/>
      <c r="Y615" s="138"/>
      <c r="Z615" s="105"/>
      <c r="AA615" s="105">
        <v>20</v>
      </c>
      <c r="AB615" s="105"/>
      <c r="AC615" s="105"/>
      <c r="AD615" s="144">
        <v>40634</v>
      </c>
      <c r="AE615" s="108" t="s">
        <v>1395</v>
      </c>
    </row>
    <row r="616" spans="1:31" ht="27" customHeight="1" x14ac:dyDescent="0.15">
      <c r="A616" s="105">
        <v>1111800551</v>
      </c>
      <c r="B616" s="130" t="s">
        <v>2424</v>
      </c>
      <c r="C616" s="108" t="s">
        <v>2425</v>
      </c>
      <c r="D616" s="108" t="s">
        <v>1033</v>
      </c>
      <c r="E616" s="108" t="s">
        <v>2426</v>
      </c>
      <c r="F616" s="131" t="s">
        <v>2427</v>
      </c>
      <c r="G616" s="132" t="s">
        <v>2428</v>
      </c>
      <c r="H616" s="132" t="s">
        <v>2429</v>
      </c>
      <c r="I616" s="133"/>
      <c r="J616" s="134"/>
      <c r="K616" s="134"/>
      <c r="L616" s="134"/>
      <c r="M616" s="134" t="s">
        <v>2414</v>
      </c>
      <c r="N616" s="135" t="s">
        <v>4038</v>
      </c>
      <c r="O616" s="136"/>
      <c r="P616" s="105"/>
      <c r="Q616" s="137"/>
      <c r="R616" s="138"/>
      <c r="S616" s="105"/>
      <c r="T616" s="105">
        <v>27</v>
      </c>
      <c r="U616" s="105"/>
      <c r="V616" s="137"/>
      <c r="W616" s="138"/>
      <c r="X616" s="152"/>
      <c r="Y616" s="138"/>
      <c r="Z616" s="105"/>
      <c r="AA616" s="105"/>
      <c r="AB616" s="105"/>
      <c r="AC616" s="105"/>
      <c r="AD616" s="118">
        <v>41730</v>
      </c>
      <c r="AE616" s="108" t="s">
        <v>2430</v>
      </c>
    </row>
    <row r="617" spans="1:31" ht="27" customHeight="1" x14ac:dyDescent="0.15">
      <c r="A617" s="105">
        <v>1111800585</v>
      </c>
      <c r="B617" s="130" t="s">
        <v>2311</v>
      </c>
      <c r="C617" s="108" t="s">
        <v>2508</v>
      </c>
      <c r="D617" s="108" t="s">
        <v>1033</v>
      </c>
      <c r="E617" s="108" t="s">
        <v>3158</v>
      </c>
      <c r="F617" s="131" t="s">
        <v>2509</v>
      </c>
      <c r="G617" s="132" t="s">
        <v>2510</v>
      </c>
      <c r="H617" s="132" t="s">
        <v>2511</v>
      </c>
      <c r="I617" s="133"/>
      <c r="J617" s="134"/>
      <c r="K617" s="134"/>
      <c r="L617" s="134" t="s">
        <v>6433</v>
      </c>
      <c r="M617" s="134" t="s">
        <v>6433</v>
      </c>
      <c r="N617" s="135" t="s">
        <v>49</v>
      </c>
      <c r="O617" s="136" t="s">
        <v>6433</v>
      </c>
      <c r="P617" s="105"/>
      <c r="Q617" s="137"/>
      <c r="R617" s="138"/>
      <c r="S617" s="105"/>
      <c r="T617" s="105"/>
      <c r="U617" s="105"/>
      <c r="V617" s="137"/>
      <c r="W617" s="138"/>
      <c r="X617" s="137">
        <v>20</v>
      </c>
      <c r="Y617" s="138"/>
      <c r="Z617" s="105"/>
      <c r="AA617" s="105"/>
      <c r="AB617" s="105"/>
      <c r="AC617" s="105"/>
      <c r="AD617" s="118">
        <v>41791</v>
      </c>
      <c r="AE617" s="108" t="s">
        <v>2512</v>
      </c>
    </row>
    <row r="618" spans="1:31" ht="27" customHeight="1" x14ac:dyDescent="0.15">
      <c r="A618" s="105">
        <v>1111800759</v>
      </c>
      <c r="B618" s="130" t="s">
        <v>3916</v>
      </c>
      <c r="C618" s="108" t="s">
        <v>3917</v>
      </c>
      <c r="D618" s="108" t="s">
        <v>1033</v>
      </c>
      <c r="E618" s="108" t="s">
        <v>3918</v>
      </c>
      <c r="F618" s="131">
        <v>3400001</v>
      </c>
      <c r="G618" s="132" t="s">
        <v>4221</v>
      </c>
      <c r="H618" s="132" t="s">
        <v>4222</v>
      </c>
      <c r="I618" s="133"/>
      <c r="J618" s="134"/>
      <c r="K618" s="134"/>
      <c r="L618" s="134"/>
      <c r="M618" s="134" t="s">
        <v>4223</v>
      </c>
      <c r="N618" s="135"/>
      <c r="O618" s="136"/>
      <c r="P618" s="105"/>
      <c r="Q618" s="137"/>
      <c r="R618" s="138"/>
      <c r="S618" s="105"/>
      <c r="T618" s="105">
        <v>40</v>
      </c>
      <c r="U618" s="105"/>
      <c r="V618" s="116"/>
      <c r="W618" s="117"/>
      <c r="X618" s="116"/>
      <c r="Y618" s="138"/>
      <c r="Z618" s="105"/>
      <c r="AA618" s="105"/>
      <c r="AB618" s="105"/>
      <c r="AC618" s="105"/>
      <c r="AD618" s="118">
        <v>42887</v>
      </c>
      <c r="AE618" s="108" t="s">
        <v>4216</v>
      </c>
    </row>
    <row r="619" spans="1:31" ht="27" customHeight="1" x14ac:dyDescent="0.15">
      <c r="A619" s="105">
        <v>1111800593</v>
      </c>
      <c r="B619" s="106" t="s">
        <v>2552</v>
      </c>
      <c r="C619" s="107" t="s">
        <v>2553</v>
      </c>
      <c r="D619" s="108" t="s">
        <v>1033</v>
      </c>
      <c r="E619" s="108" t="s">
        <v>2554</v>
      </c>
      <c r="F619" s="139" t="s">
        <v>2555</v>
      </c>
      <c r="G619" s="140" t="s">
        <v>2556</v>
      </c>
      <c r="H619" s="140" t="s">
        <v>2557</v>
      </c>
      <c r="I619" s="141"/>
      <c r="J619" s="142" t="s">
        <v>49</v>
      </c>
      <c r="K619" s="142" t="s">
        <v>49</v>
      </c>
      <c r="L619" s="142" t="s">
        <v>49</v>
      </c>
      <c r="M619" s="142" t="s">
        <v>49</v>
      </c>
      <c r="N619" s="143" t="s">
        <v>49</v>
      </c>
      <c r="O619" s="138" t="s">
        <v>49</v>
      </c>
      <c r="P619" s="105"/>
      <c r="Q619" s="137"/>
      <c r="R619" s="138"/>
      <c r="S619" s="105"/>
      <c r="T619" s="105"/>
      <c r="U619" s="105"/>
      <c r="V619" s="137"/>
      <c r="W619" s="138"/>
      <c r="X619" s="137"/>
      <c r="Y619" s="138"/>
      <c r="Z619" s="105">
        <v>20</v>
      </c>
      <c r="AA619" s="105"/>
      <c r="AB619" s="105"/>
      <c r="AC619" s="105"/>
      <c r="AD619" s="144">
        <v>41852</v>
      </c>
      <c r="AE619" s="108" t="s">
        <v>2558</v>
      </c>
    </row>
    <row r="620" spans="1:31" s="65" customFormat="1" ht="27" customHeight="1" x14ac:dyDescent="0.15">
      <c r="A620" s="150">
        <v>1111800601</v>
      </c>
      <c r="B620" s="130" t="s">
        <v>2857</v>
      </c>
      <c r="C620" s="108" t="s">
        <v>2858</v>
      </c>
      <c r="D620" s="108" t="s">
        <v>1033</v>
      </c>
      <c r="E620" s="108" t="s">
        <v>2859</v>
      </c>
      <c r="F620" s="230">
        <v>3400004</v>
      </c>
      <c r="G620" s="132" t="s">
        <v>2860</v>
      </c>
      <c r="H620" s="132" t="s">
        <v>2861</v>
      </c>
      <c r="I620" s="116"/>
      <c r="J620" s="154"/>
      <c r="K620" s="154"/>
      <c r="L620" s="154"/>
      <c r="M620" s="154" t="s">
        <v>2832</v>
      </c>
      <c r="N620" s="143" t="s">
        <v>2832</v>
      </c>
      <c r="O620" s="138"/>
      <c r="P620" s="105"/>
      <c r="Q620" s="116"/>
      <c r="R620" s="138"/>
      <c r="S620" s="105"/>
      <c r="T620" s="105"/>
      <c r="U620" s="105"/>
      <c r="V620" s="116"/>
      <c r="W620" s="138"/>
      <c r="X620" s="116"/>
      <c r="Y620" s="138"/>
      <c r="Z620" s="105"/>
      <c r="AA620" s="105">
        <v>20</v>
      </c>
      <c r="AB620" s="105"/>
      <c r="AC620" s="105"/>
      <c r="AD620" s="118">
        <v>42095</v>
      </c>
      <c r="AE620" s="108" t="s">
        <v>2862</v>
      </c>
    </row>
    <row r="621" spans="1:31" ht="27" customHeight="1" x14ac:dyDescent="0.15">
      <c r="A621" s="105">
        <v>1111800619</v>
      </c>
      <c r="B621" s="106" t="s">
        <v>3027</v>
      </c>
      <c r="C621" s="107" t="s">
        <v>3028</v>
      </c>
      <c r="D621" s="108" t="s">
        <v>1033</v>
      </c>
      <c r="E621" s="108" t="s">
        <v>3029</v>
      </c>
      <c r="F621" s="139" t="s">
        <v>3030</v>
      </c>
      <c r="G621" s="140" t="s">
        <v>3031</v>
      </c>
      <c r="H621" s="140" t="s">
        <v>3032</v>
      </c>
      <c r="I621" s="141"/>
      <c r="J621" s="142"/>
      <c r="K621" s="142"/>
      <c r="L621" s="142"/>
      <c r="M621" s="142" t="s">
        <v>3033</v>
      </c>
      <c r="N621" s="143" t="s">
        <v>3033</v>
      </c>
      <c r="O621" s="138"/>
      <c r="P621" s="105"/>
      <c r="Q621" s="137"/>
      <c r="R621" s="138"/>
      <c r="S621" s="105"/>
      <c r="T621" s="105"/>
      <c r="U621" s="105"/>
      <c r="V621" s="137"/>
      <c r="W621" s="138"/>
      <c r="X621" s="137"/>
      <c r="Y621" s="138"/>
      <c r="Z621" s="105">
        <v>20</v>
      </c>
      <c r="AA621" s="105"/>
      <c r="AB621" s="105"/>
      <c r="AC621" s="105"/>
      <c r="AD621" s="144">
        <v>42156</v>
      </c>
      <c r="AE621" s="108" t="s">
        <v>3034</v>
      </c>
    </row>
    <row r="622" spans="1:31" s="218" customFormat="1" ht="27" customHeight="1" x14ac:dyDescent="0.15">
      <c r="A622" s="132">
        <v>1111800742</v>
      </c>
      <c r="B622" s="130" t="s">
        <v>3897</v>
      </c>
      <c r="C622" s="108" t="s">
        <v>9297</v>
      </c>
      <c r="D622" s="108" t="s">
        <v>1033</v>
      </c>
      <c r="E622" s="108" t="s">
        <v>3898</v>
      </c>
      <c r="F622" s="139" t="s">
        <v>3899</v>
      </c>
      <c r="G622" s="132" t="s">
        <v>3900</v>
      </c>
      <c r="H622" s="132" t="s">
        <v>3901</v>
      </c>
      <c r="I622" s="141"/>
      <c r="J622" s="142"/>
      <c r="K622" s="142"/>
      <c r="L622" s="142"/>
      <c r="M622" s="142"/>
      <c r="N622" s="143" t="s">
        <v>49</v>
      </c>
      <c r="O622" s="138"/>
      <c r="P622" s="105"/>
      <c r="Q622" s="137"/>
      <c r="R622" s="138"/>
      <c r="S622" s="105"/>
      <c r="T622" s="105"/>
      <c r="U622" s="105"/>
      <c r="V622" s="137">
        <v>6</v>
      </c>
      <c r="W622" s="138"/>
      <c r="X622" s="137">
        <v>14</v>
      </c>
      <c r="Y622" s="138"/>
      <c r="Z622" s="105"/>
      <c r="AA622" s="105"/>
      <c r="AB622" s="105"/>
      <c r="AC622" s="105"/>
      <c r="AD622" s="118">
        <v>42887</v>
      </c>
      <c r="AE622" s="108" t="s">
        <v>3902</v>
      </c>
    </row>
    <row r="623" spans="1:31" s="218" customFormat="1" ht="27" customHeight="1" x14ac:dyDescent="0.15">
      <c r="A623" s="105">
        <v>1111800742</v>
      </c>
      <c r="B623" s="130" t="s">
        <v>9296</v>
      </c>
      <c r="C623" s="108" t="s">
        <v>9297</v>
      </c>
      <c r="D623" s="108" t="s">
        <v>1033</v>
      </c>
      <c r="E623" s="108" t="s">
        <v>9298</v>
      </c>
      <c r="F623" s="131" t="s">
        <v>9299</v>
      </c>
      <c r="G623" s="132" t="s">
        <v>9300</v>
      </c>
      <c r="H623" s="132" t="s">
        <v>9301</v>
      </c>
      <c r="I623" s="133"/>
      <c r="J623" s="134"/>
      <c r="K623" s="134"/>
      <c r="L623" s="134"/>
      <c r="M623" s="134"/>
      <c r="N623" s="135" t="s">
        <v>6457</v>
      </c>
      <c r="O623" s="136"/>
      <c r="P623" s="105"/>
      <c r="Q623" s="137"/>
      <c r="R623" s="138"/>
      <c r="S623" s="105"/>
      <c r="T623" s="105"/>
      <c r="U623" s="105"/>
      <c r="V623" s="137"/>
      <c r="W623" s="138"/>
      <c r="X623" s="137"/>
      <c r="Y623" s="138"/>
      <c r="Z623" s="105"/>
      <c r="AA623" s="105"/>
      <c r="AB623" s="105" t="s">
        <v>4614</v>
      </c>
      <c r="AC623" s="175"/>
      <c r="AD623" s="227">
        <v>45474</v>
      </c>
      <c r="AE623" s="217" t="s">
        <v>9302</v>
      </c>
    </row>
    <row r="624" spans="1:31" ht="27" customHeight="1" x14ac:dyDescent="0.15">
      <c r="A624" s="105">
        <v>1111800742</v>
      </c>
      <c r="B624" s="130" t="s">
        <v>9296</v>
      </c>
      <c r="C624" s="108" t="s">
        <v>9297</v>
      </c>
      <c r="D624" s="108" t="s">
        <v>1033</v>
      </c>
      <c r="E624" s="108" t="s">
        <v>9298</v>
      </c>
      <c r="F624" s="131" t="s">
        <v>9299</v>
      </c>
      <c r="G624" s="132" t="s">
        <v>9300</v>
      </c>
      <c r="H624" s="132" t="s">
        <v>9301</v>
      </c>
      <c r="I624" s="133"/>
      <c r="J624" s="134"/>
      <c r="K624" s="134"/>
      <c r="L624" s="134"/>
      <c r="M624" s="134"/>
      <c r="N624" s="135" t="s">
        <v>6457</v>
      </c>
      <c r="O624" s="136"/>
      <c r="P624" s="105"/>
      <c r="Q624" s="137"/>
      <c r="R624" s="138"/>
      <c r="S624" s="105"/>
      <c r="T624" s="105"/>
      <c r="U624" s="105"/>
      <c r="V624" s="137"/>
      <c r="W624" s="138"/>
      <c r="X624" s="137"/>
      <c r="Y624" s="138"/>
      <c r="Z624" s="105"/>
      <c r="AA624" s="105"/>
      <c r="AB624" s="105"/>
      <c r="AC624" s="175">
        <v>10</v>
      </c>
      <c r="AD624" s="227">
        <v>45931</v>
      </c>
      <c r="AE624" s="217" t="s">
        <v>9302</v>
      </c>
    </row>
    <row r="625" spans="1:31" ht="27" customHeight="1" x14ac:dyDescent="0.15">
      <c r="A625" s="105">
        <v>1111800809</v>
      </c>
      <c r="B625" s="106" t="s">
        <v>4356</v>
      </c>
      <c r="C625" s="107" t="s">
        <v>4357</v>
      </c>
      <c r="D625" s="108" t="s">
        <v>1033</v>
      </c>
      <c r="E625" s="215" t="s">
        <v>4358</v>
      </c>
      <c r="F625" s="139">
        <v>3400033</v>
      </c>
      <c r="G625" s="159" t="s">
        <v>4359</v>
      </c>
      <c r="H625" s="140" t="s">
        <v>4360</v>
      </c>
      <c r="I625" s="141"/>
      <c r="J625" s="142"/>
      <c r="K625" s="142"/>
      <c r="L625" s="142"/>
      <c r="M625" s="142" t="s">
        <v>49</v>
      </c>
      <c r="N625" s="143"/>
      <c r="O625" s="138"/>
      <c r="P625" s="105"/>
      <c r="Q625" s="137"/>
      <c r="R625" s="138"/>
      <c r="S625" s="105"/>
      <c r="T625" s="105">
        <v>6</v>
      </c>
      <c r="U625" s="105"/>
      <c r="V625" s="116"/>
      <c r="W625" s="117"/>
      <c r="X625" s="116"/>
      <c r="Y625" s="138"/>
      <c r="Z625" s="105"/>
      <c r="AA625" s="105">
        <v>14</v>
      </c>
      <c r="AB625" s="105"/>
      <c r="AC625" s="105"/>
      <c r="AD625" s="144">
        <v>43191</v>
      </c>
      <c r="AE625" s="108" t="s">
        <v>4361</v>
      </c>
    </row>
    <row r="626" spans="1:31" s="65" customFormat="1" ht="27" customHeight="1" x14ac:dyDescent="0.15">
      <c r="A626" s="105">
        <v>1111800825</v>
      </c>
      <c r="B626" s="106" t="s">
        <v>4453</v>
      </c>
      <c r="C626" s="107" t="s">
        <v>4454</v>
      </c>
      <c r="D626" s="108" t="s">
        <v>1033</v>
      </c>
      <c r="E626" s="108" t="s">
        <v>4455</v>
      </c>
      <c r="F626" s="139" t="s">
        <v>4456</v>
      </c>
      <c r="G626" s="140" t="s">
        <v>7864</v>
      </c>
      <c r="H626" s="140" t="s">
        <v>4457</v>
      </c>
      <c r="I626" s="141"/>
      <c r="J626" s="142"/>
      <c r="K626" s="142"/>
      <c r="L626" s="142"/>
      <c r="M626" s="142" t="s">
        <v>49</v>
      </c>
      <c r="N626" s="143" t="s">
        <v>49</v>
      </c>
      <c r="O626" s="138"/>
      <c r="P626" s="105"/>
      <c r="Q626" s="137"/>
      <c r="R626" s="138"/>
      <c r="S626" s="105"/>
      <c r="T626" s="105"/>
      <c r="U626" s="105"/>
      <c r="V626" s="137"/>
      <c r="W626" s="138"/>
      <c r="X626" s="137"/>
      <c r="Y626" s="138"/>
      <c r="Z626" s="105"/>
      <c r="AA626" s="105">
        <v>20</v>
      </c>
      <c r="AB626" s="105"/>
      <c r="AC626" s="105"/>
      <c r="AD626" s="144">
        <v>43221</v>
      </c>
      <c r="AE626" s="108" t="s">
        <v>4458</v>
      </c>
    </row>
    <row r="627" spans="1:31" ht="27" customHeight="1" x14ac:dyDescent="0.15">
      <c r="A627" s="132">
        <v>1111800866</v>
      </c>
      <c r="B627" s="130" t="s">
        <v>4674</v>
      </c>
      <c r="C627" s="108" t="s">
        <v>4675</v>
      </c>
      <c r="D627" s="108" t="s">
        <v>1033</v>
      </c>
      <c r="E627" s="108" t="s">
        <v>4676</v>
      </c>
      <c r="F627" s="139" t="s">
        <v>4677</v>
      </c>
      <c r="G627" s="140" t="s">
        <v>4678</v>
      </c>
      <c r="H627" s="140" t="s">
        <v>4679</v>
      </c>
      <c r="I627" s="141"/>
      <c r="J627" s="142"/>
      <c r="K627" s="142"/>
      <c r="L627" s="142"/>
      <c r="M627" s="142" t="s">
        <v>4680</v>
      </c>
      <c r="N627" s="143" t="s">
        <v>4680</v>
      </c>
      <c r="O627" s="138"/>
      <c r="P627" s="105"/>
      <c r="Q627" s="137"/>
      <c r="R627" s="138"/>
      <c r="S627" s="105"/>
      <c r="T627" s="105"/>
      <c r="U627" s="105"/>
      <c r="V627" s="116"/>
      <c r="W627" s="117"/>
      <c r="X627" s="137"/>
      <c r="Y627" s="138"/>
      <c r="Z627" s="105"/>
      <c r="AA627" s="105"/>
      <c r="AB627" s="105" t="s">
        <v>4680</v>
      </c>
      <c r="AC627" s="105"/>
      <c r="AD627" s="144">
        <v>43374</v>
      </c>
      <c r="AE627" s="108" t="s">
        <v>2512</v>
      </c>
    </row>
    <row r="628" spans="1:31" ht="27" customHeight="1" x14ac:dyDescent="0.15">
      <c r="A628" s="105">
        <v>1111800890</v>
      </c>
      <c r="B628" s="130" t="s">
        <v>4971</v>
      </c>
      <c r="C628" s="108" t="s">
        <v>4972</v>
      </c>
      <c r="D628" s="108" t="s">
        <v>1033</v>
      </c>
      <c r="E628" s="108" t="s">
        <v>8472</v>
      </c>
      <c r="F628" s="131" t="s">
        <v>8473</v>
      </c>
      <c r="G628" s="132" t="s">
        <v>4973</v>
      </c>
      <c r="H628" s="132" t="s">
        <v>4974</v>
      </c>
      <c r="I628" s="133"/>
      <c r="J628" s="134"/>
      <c r="K628" s="135"/>
      <c r="L628" s="134"/>
      <c r="M628" s="134" t="s">
        <v>49</v>
      </c>
      <c r="N628" s="135" t="s">
        <v>49</v>
      </c>
      <c r="O628" s="136"/>
      <c r="P628" s="105"/>
      <c r="Q628" s="137"/>
      <c r="R628" s="138"/>
      <c r="S628" s="105"/>
      <c r="T628" s="105">
        <v>20</v>
      </c>
      <c r="U628" s="105"/>
      <c r="V628" s="137"/>
      <c r="W628" s="138"/>
      <c r="X628" s="137"/>
      <c r="Y628" s="138"/>
      <c r="Z628" s="105"/>
      <c r="AA628" s="105">
        <v>10</v>
      </c>
      <c r="AB628" s="105"/>
      <c r="AC628" s="105"/>
      <c r="AD628" s="118">
        <v>43556</v>
      </c>
      <c r="AE628" s="108" t="s">
        <v>8474</v>
      </c>
    </row>
    <row r="629" spans="1:31" ht="27" customHeight="1" x14ac:dyDescent="0.15">
      <c r="A629" s="105">
        <v>1111800940</v>
      </c>
      <c r="B629" s="106" t="s">
        <v>5141</v>
      </c>
      <c r="C629" s="107" t="s">
        <v>5144</v>
      </c>
      <c r="D629" s="108" t="s">
        <v>1033</v>
      </c>
      <c r="E629" s="108" t="s">
        <v>5142</v>
      </c>
      <c r="F629" s="139" t="s">
        <v>2509</v>
      </c>
      <c r="G629" s="140" t="s">
        <v>5145</v>
      </c>
      <c r="H629" s="140" t="s">
        <v>5146</v>
      </c>
      <c r="I629" s="141"/>
      <c r="J629" s="142"/>
      <c r="K629" s="142"/>
      <c r="L629" s="142" t="s">
        <v>765</v>
      </c>
      <c r="M629" s="142" t="s">
        <v>765</v>
      </c>
      <c r="N629" s="143" t="s">
        <v>765</v>
      </c>
      <c r="O629" s="138"/>
      <c r="P629" s="105"/>
      <c r="Q629" s="137"/>
      <c r="R629" s="138"/>
      <c r="S629" s="105"/>
      <c r="T629" s="105"/>
      <c r="U629" s="105"/>
      <c r="V629" s="116"/>
      <c r="W629" s="117"/>
      <c r="X629" s="137">
        <v>20</v>
      </c>
      <c r="Y629" s="138"/>
      <c r="Z629" s="105"/>
      <c r="AA629" s="105"/>
      <c r="AB629" s="105"/>
      <c r="AC629" s="105"/>
      <c r="AD629" s="144">
        <v>43647</v>
      </c>
      <c r="AE629" s="108" t="s">
        <v>5143</v>
      </c>
    </row>
    <row r="630" spans="1:31" s="65" customFormat="1" ht="27" customHeight="1" x14ac:dyDescent="0.15">
      <c r="A630" s="105">
        <v>1111800940</v>
      </c>
      <c r="B630" s="106" t="s">
        <v>5141</v>
      </c>
      <c r="C630" s="107" t="s">
        <v>7362</v>
      </c>
      <c r="D630" s="108" t="s">
        <v>1033</v>
      </c>
      <c r="E630" s="108" t="s">
        <v>5142</v>
      </c>
      <c r="F630" s="139" t="s">
        <v>2509</v>
      </c>
      <c r="G630" s="140" t="s">
        <v>5145</v>
      </c>
      <c r="H630" s="140" t="s">
        <v>5146</v>
      </c>
      <c r="I630" s="141" t="s">
        <v>765</v>
      </c>
      <c r="J630" s="142"/>
      <c r="K630" s="142"/>
      <c r="L630" s="142" t="s">
        <v>765</v>
      </c>
      <c r="M630" s="142" t="s">
        <v>765</v>
      </c>
      <c r="N630" s="143" t="s">
        <v>765</v>
      </c>
      <c r="O630" s="138" t="s">
        <v>765</v>
      </c>
      <c r="P630" s="105"/>
      <c r="Q630" s="137"/>
      <c r="R630" s="138"/>
      <c r="S630" s="105"/>
      <c r="T630" s="105"/>
      <c r="U630" s="105"/>
      <c r="V630" s="116"/>
      <c r="W630" s="117"/>
      <c r="X630" s="137"/>
      <c r="Y630" s="138"/>
      <c r="Z630" s="105"/>
      <c r="AA630" s="105"/>
      <c r="AB630" s="105" t="s">
        <v>765</v>
      </c>
      <c r="AC630" s="105"/>
      <c r="AD630" s="144">
        <v>44652</v>
      </c>
      <c r="AE630" s="108" t="s">
        <v>5143</v>
      </c>
    </row>
    <row r="631" spans="1:31" s="65" customFormat="1" ht="27" customHeight="1" x14ac:dyDescent="0.15">
      <c r="A631" s="105">
        <v>1111800973</v>
      </c>
      <c r="B631" s="106" t="s">
        <v>5258</v>
      </c>
      <c r="C631" s="107" t="s">
        <v>5259</v>
      </c>
      <c r="D631" s="108" t="s">
        <v>1033</v>
      </c>
      <c r="E631" s="108" t="s">
        <v>5260</v>
      </c>
      <c r="F631" s="139" t="s">
        <v>2555</v>
      </c>
      <c r="G631" s="140" t="s">
        <v>5261</v>
      </c>
      <c r="H631" s="140" t="s">
        <v>5262</v>
      </c>
      <c r="I631" s="141"/>
      <c r="J631" s="142"/>
      <c r="K631" s="142"/>
      <c r="L631" s="142" t="s">
        <v>765</v>
      </c>
      <c r="M631" s="142" t="s">
        <v>765</v>
      </c>
      <c r="N631" s="143" t="s">
        <v>765</v>
      </c>
      <c r="O631" s="138" t="s">
        <v>49</v>
      </c>
      <c r="P631" s="105"/>
      <c r="Q631" s="137"/>
      <c r="R631" s="138"/>
      <c r="S631" s="105"/>
      <c r="T631" s="105"/>
      <c r="U631" s="105"/>
      <c r="V631" s="116"/>
      <c r="W631" s="117"/>
      <c r="X631" s="137">
        <v>20</v>
      </c>
      <c r="Y631" s="138"/>
      <c r="Z631" s="105"/>
      <c r="AA631" s="105"/>
      <c r="AB631" s="105"/>
      <c r="AC631" s="105"/>
      <c r="AD631" s="144">
        <v>43709</v>
      </c>
      <c r="AE631" s="108" t="s">
        <v>5263</v>
      </c>
    </row>
    <row r="632" spans="1:31" ht="27" customHeight="1" x14ac:dyDescent="0.15">
      <c r="A632" s="105">
        <v>1111800973</v>
      </c>
      <c r="B632" s="130" t="s">
        <v>2311</v>
      </c>
      <c r="C632" s="108" t="s">
        <v>7500</v>
      </c>
      <c r="D632" s="108" t="s">
        <v>1033</v>
      </c>
      <c r="E632" s="108" t="s">
        <v>5260</v>
      </c>
      <c r="F632" s="131" t="s">
        <v>7501</v>
      </c>
      <c r="G632" s="132" t="s">
        <v>7502</v>
      </c>
      <c r="H632" s="132" t="s">
        <v>7503</v>
      </c>
      <c r="I632" s="133"/>
      <c r="J632" s="134"/>
      <c r="K632" s="134"/>
      <c r="L632" s="134" t="s">
        <v>6457</v>
      </c>
      <c r="M632" s="134" t="s">
        <v>6457</v>
      </c>
      <c r="N632" s="135" t="s">
        <v>6457</v>
      </c>
      <c r="O632" s="136" t="s">
        <v>6457</v>
      </c>
      <c r="P632" s="105"/>
      <c r="Q632" s="137"/>
      <c r="R632" s="138"/>
      <c r="S632" s="105"/>
      <c r="T632" s="105"/>
      <c r="U632" s="105"/>
      <c r="V632" s="137"/>
      <c r="W632" s="138"/>
      <c r="X632" s="137"/>
      <c r="Y632" s="138"/>
      <c r="Z632" s="105"/>
      <c r="AA632" s="105"/>
      <c r="AB632" s="105" t="s">
        <v>4614</v>
      </c>
      <c r="AC632" s="105"/>
      <c r="AD632" s="155">
        <v>44682</v>
      </c>
      <c r="AE632" s="217" t="s">
        <v>5263</v>
      </c>
    </row>
    <row r="633" spans="1:31" ht="27" customHeight="1" x14ac:dyDescent="0.15">
      <c r="A633" s="105">
        <v>1111801021</v>
      </c>
      <c r="B633" s="130" t="s">
        <v>5735</v>
      </c>
      <c r="C633" s="108" t="s">
        <v>5736</v>
      </c>
      <c r="D633" s="108" t="s">
        <v>1033</v>
      </c>
      <c r="E633" s="108" t="s">
        <v>5737</v>
      </c>
      <c r="F633" s="131">
        <v>3400011</v>
      </c>
      <c r="G633" s="132" t="s">
        <v>5738</v>
      </c>
      <c r="H633" s="132" t="s">
        <v>5739</v>
      </c>
      <c r="I633" s="133"/>
      <c r="J633" s="134"/>
      <c r="K633" s="134"/>
      <c r="L633" s="134"/>
      <c r="M633" s="134" t="s">
        <v>765</v>
      </c>
      <c r="N633" s="135" t="s">
        <v>765</v>
      </c>
      <c r="O633" s="136"/>
      <c r="P633" s="105"/>
      <c r="Q633" s="137"/>
      <c r="R633" s="138"/>
      <c r="S633" s="105"/>
      <c r="T633" s="105"/>
      <c r="U633" s="105"/>
      <c r="V633" s="137"/>
      <c r="W633" s="138"/>
      <c r="X633" s="137"/>
      <c r="Y633" s="138"/>
      <c r="Z633" s="105"/>
      <c r="AA633" s="105">
        <v>20</v>
      </c>
      <c r="AB633" s="105"/>
      <c r="AC633" s="105"/>
      <c r="AD633" s="155">
        <v>43922</v>
      </c>
      <c r="AE633" s="108" t="s">
        <v>5740</v>
      </c>
    </row>
    <row r="634" spans="1:31" ht="27" customHeight="1" x14ac:dyDescent="0.15">
      <c r="A634" s="105">
        <v>1111801039</v>
      </c>
      <c r="B634" s="106" t="s">
        <v>6296</v>
      </c>
      <c r="C634" s="107" t="s">
        <v>6297</v>
      </c>
      <c r="D634" s="108" t="s">
        <v>1033</v>
      </c>
      <c r="E634" s="108" t="s">
        <v>5733</v>
      </c>
      <c r="F634" s="139" t="s">
        <v>5734</v>
      </c>
      <c r="G634" s="140" t="s">
        <v>6298</v>
      </c>
      <c r="H634" s="140" t="s">
        <v>6299</v>
      </c>
      <c r="I634" s="141"/>
      <c r="J634" s="142" t="s">
        <v>49</v>
      </c>
      <c r="K634" s="142" t="s">
        <v>49</v>
      </c>
      <c r="L634" s="142" t="s">
        <v>765</v>
      </c>
      <c r="M634" s="142" t="s">
        <v>765</v>
      </c>
      <c r="N634" s="143" t="s">
        <v>765</v>
      </c>
      <c r="O634" s="138" t="s">
        <v>49</v>
      </c>
      <c r="P634" s="105"/>
      <c r="Q634" s="137"/>
      <c r="R634" s="138"/>
      <c r="S634" s="105"/>
      <c r="T634" s="105"/>
      <c r="U634" s="105"/>
      <c r="V634" s="116">
        <v>6</v>
      </c>
      <c r="W634" s="117"/>
      <c r="X634" s="137"/>
      <c r="Y634" s="138"/>
      <c r="Z634" s="105"/>
      <c r="AA634" s="105">
        <v>10</v>
      </c>
      <c r="AB634" s="105"/>
      <c r="AC634" s="105"/>
      <c r="AD634" s="144">
        <v>44105</v>
      </c>
      <c r="AE634" s="108" t="s">
        <v>6357</v>
      </c>
    </row>
    <row r="635" spans="1:31" s="65" customFormat="1" ht="27" customHeight="1" x14ac:dyDescent="0.15">
      <c r="A635" s="105">
        <v>1111801047</v>
      </c>
      <c r="B635" s="130" t="s">
        <v>6307</v>
      </c>
      <c r="C635" s="108" t="s">
        <v>6308</v>
      </c>
      <c r="D635" s="108" t="s">
        <v>1033</v>
      </c>
      <c r="E635" s="108" t="s">
        <v>6309</v>
      </c>
      <c r="F635" s="131" t="s">
        <v>6310</v>
      </c>
      <c r="G635" s="132" t="s">
        <v>6311</v>
      </c>
      <c r="H635" s="132" t="s">
        <v>6311</v>
      </c>
      <c r="I635" s="133"/>
      <c r="J635" s="134"/>
      <c r="K635" s="134"/>
      <c r="L635" s="142"/>
      <c r="M635" s="142" t="s">
        <v>49</v>
      </c>
      <c r="N635" s="143" t="s">
        <v>49</v>
      </c>
      <c r="O635" s="138"/>
      <c r="P635" s="105"/>
      <c r="Q635" s="137"/>
      <c r="R635" s="138"/>
      <c r="S635" s="105"/>
      <c r="T635" s="105"/>
      <c r="U635" s="105"/>
      <c r="V635" s="116"/>
      <c r="W635" s="117"/>
      <c r="X635" s="116"/>
      <c r="Y635" s="138"/>
      <c r="Z635" s="105"/>
      <c r="AA635" s="105">
        <v>20</v>
      </c>
      <c r="AB635" s="105"/>
      <c r="AC635" s="105"/>
      <c r="AD635" s="118">
        <v>44105</v>
      </c>
      <c r="AE635" s="108" t="s">
        <v>6312</v>
      </c>
    </row>
    <row r="636" spans="1:31" s="65" customFormat="1" ht="27" customHeight="1" x14ac:dyDescent="0.15">
      <c r="A636" s="105">
        <v>1111801054</v>
      </c>
      <c r="B636" s="130" t="s">
        <v>1032</v>
      </c>
      <c r="C636" s="108" t="s">
        <v>6484</v>
      </c>
      <c r="D636" s="108" t="s">
        <v>1033</v>
      </c>
      <c r="E636" s="108" t="s">
        <v>6485</v>
      </c>
      <c r="F636" s="131" t="s">
        <v>6486</v>
      </c>
      <c r="G636" s="132" t="s">
        <v>6487</v>
      </c>
      <c r="H636" s="132" t="s">
        <v>6487</v>
      </c>
      <c r="I636" s="133"/>
      <c r="J636" s="134"/>
      <c r="K636" s="134"/>
      <c r="L636" s="134"/>
      <c r="M636" s="142" t="s">
        <v>49</v>
      </c>
      <c r="N636" s="135"/>
      <c r="O636" s="136"/>
      <c r="P636" s="132"/>
      <c r="Q636" s="152"/>
      <c r="R636" s="136"/>
      <c r="S636" s="132"/>
      <c r="T636" s="105">
        <v>20</v>
      </c>
      <c r="U636" s="132"/>
      <c r="V636" s="133"/>
      <c r="W636" s="242"/>
      <c r="X636" s="133"/>
      <c r="Y636" s="136"/>
      <c r="Z636" s="132"/>
      <c r="AA636" s="105"/>
      <c r="AB636" s="105"/>
      <c r="AC636" s="105"/>
      <c r="AD636" s="118">
        <v>44197</v>
      </c>
      <c r="AE636" s="108" t="s">
        <v>6488</v>
      </c>
    </row>
    <row r="637" spans="1:31" s="65" customFormat="1" ht="27" customHeight="1" x14ac:dyDescent="0.15">
      <c r="A637" s="105">
        <v>1111801138</v>
      </c>
      <c r="B637" s="130" t="s">
        <v>7105</v>
      </c>
      <c r="C637" s="108" t="s">
        <v>8107</v>
      </c>
      <c r="D637" s="108" t="s">
        <v>1033</v>
      </c>
      <c r="E637" s="108" t="s">
        <v>6616</v>
      </c>
      <c r="F637" s="131" t="s">
        <v>6486</v>
      </c>
      <c r="G637" s="132" t="s">
        <v>6617</v>
      </c>
      <c r="H637" s="132" t="s">
        <v>6618</v>
      </c>
      <c r="I637" s="133"/>
      <c r="J637" s="134"/>
      <c r="K637" s="134"/>
      <c r="L637" s="134"/>
      <c r="M637" s="134"/>
      <c r="N637" s="135" t="s">
        <v>49</v>
      </c>
      <c r="O637" s="136"/>
      <c r="P637" s="105"/>
      <c r="Q637" s="137"/>
      <c r="R637" s="138"/>
      <c r="S637" s="105"/>
      <c r="T637" s="105"/>
      <c r="U637" s="105"/>
      <c r="V637" s="137">
        <v>10</v>
      </c>
      <c r="W637" s="138"/>
      <c r="X637" s="137"/>
      <c r="Y637" s="138"/>
      <c r="Z637" s="105"/>
      <c r="AA637" s="105">
        <v>10</v>
      </c>
      <c r="AB637" s="105"/>
      <c r="AC637" s="105"/>
      <c r="AD637" s="118">
        <v>44501</v>
      </c>
      <c r="AE637" s="108" t="s">
        <v>6619</v>
      </c>
    </row>
    <row r="638" spans="1:31" ht="27" customHeight="1" x14ac:dyDescent="0.15">
      <c r="A638" s="132">
        <v>1111801187</v>
      </c>
      <c r="B638" s="130" t="s">
        <v>7717</v>
      </c>
      <c r="C638" s="108" t="s">
        <v>7718</v>
      </c>
      <c r="D638" s="108" t="s">
        <v>1033</v>
      </c>
      <c r="E638" s="108" t="s">
        <v>7719</v>
      </c>
      <c r="F638" s="139" t="s">
        <v>7720</v>
      </c>
      <c r="G638" s="140" t="s">
        <v>11436</v>
      </c>
      <c r="H638" s="140" t="s">
        <v>11437</v>
      </c>
      <c r="I638" s="141" t="s">
        <v>6457</v>
      </c>
      <c r="J638" s="142"/>
      <c r="K638" s="142"/>
      <c r="L638" s="142"/>
      <c r="M638" s="142" t="s">
        <v>765</v>
      </c>
      <c r="N638" s="143"/>
      <c r="O638" s="138"/>
      <c r="P638" s="105"/>
      <c r="Q638" s="137"/>
      <c r="R638" s="138"/>
      <c r="S638" s="105"/>
      <c r="T638" s="105">
        <v>20</v>
      </c>
      <c r="U638" s="105"/>
      <c r="V638" s="137"/>
      <c r="W638" s="138"/>
      <c r="X638" s="137"/>
      <c r="Y638" s="138"/>
      <c r="Z638" s="105"/>
      <c r="AA638" s="105"/>
      <c r="AB638" s="105"/>
      <c r="AC638" s="105"/>
      <c r="AD638" s="155">
        <v>44774</v>
      </c>
      <c r="AE638" s="108" t="s">
        <v>7721</v>
      </c>
    </row>
    <row r="639" spans="1:31" s="65" customFormat="1" ht="27" customHeight="1" x14ac:dyDescent="0.15">
      <c r="A639" s="105">
        <v>1111801237</v>
      </c>
      <c r="B639" s="106" t="s">
        <v>4453</v>
      </c>
      <c r="C639" s="107" t="s">
        <v>7881</v>
      </c>
      <c r="D639" s="108" t="s">
        <v>1033</v>
      </c>
      <c r="E639" s="108" t="s">
        <v>7882</v>
      </c>
      <c r="F639" s="139" t="s">
        <v>4456</v>
      </c>
      <c r="G639" s="140" t="s">
        <v>7883</v>
      </c>
      <c r="H639" s="140" t="s">
        <v>7884</v>
      </c>
      <c r="I639" s="141"/>
      <c r="J639" s="142"/>
      <c r="K639" s="142"/>
      <c r="L639" s="142"/>
      <c r="M639" s="142" t="s">
        <v>49</v>
      </c>
      <c r="N639" s="143" t="s">
        <v>49</v>
      </c>
      <c r="O639" s="138"/>
      <c r="P639" s="105"/>
      <c r="Q639" s="137"/>
      <c r="R639" s="138"/>
      <c r="S639" s="105"/>
      <c r="T639" s="105">
        <v>20</v>
      </c>
      <c r="U639" s="105"/>
      <c r="V639" s="137"/>
      <c r="W639" s="138"/>
      <c r="X639" s="137"/>
      <c r="Y639" s="138"/>
      <c r="Z639" s="105"/>
      <c r="AA639" s="105"/>
      <c r="AB639" s="105"/>
      <c r="AC639" s="105"/>
      <c r="AD639" s="144">
        <v>44835</v>
      </c>
      <c r="AE639" s="108" t="s">
        <v>7885</v>
      </c>
    </row>
    <row r="640" spans="1:31" ht="27" customHeight="1" x14ac:dyDescent="0.15">
      <c r="A640" s="105">
        <v>1111801245</v>
      </c>
      <c r="B640" s="157" t="s">
        <v>7928</v>
      </c>
      <c r="C640" s="108" t="s">
        <v>7929</v>
      </c>
      <c r="D640" s="108" t="s">
        <v>1033</v>
      </c>
      <c r="E640" s="108" t="s">
        <v>7930</v>
      </c>
      <c r="F640" s="264" t="s">
        <v>7931</v>
      </c>
      <c r="G640" s="105" t="s">
        <v>7932</v>
      </c>
      <c r="H640" s="105" t="s">
        <v>7933</v>
      </c>
      <c r="I640" s="160" t="s">
        <v>765</v>
      </c>
      <c r="J640" s="142"/>
      <c r="K640" s="142" t="s">
        <v>765</v>
      </c>
      <c r="L640" s="142" t="s">
        <v>765</v>
      </c>
      <c r="M640" s="142" t="s">
        <v>765</v>
      </c>
      <c r="N640" s="143" t="s">
        <v>765</v>
      </c>
      <c r="O640" s="138" t="s">
        <v>765</v>
      </c>
      <c r="P640" s="105"/>
      <c r="Q640" s="116"/>
      <c r="R640" s="117"/>
      <c r="S640" s="105"/>
      <c r="T640" s="105"/>
      <c r="U640" s="105"/>
      <c r="V640" s="137"/>
      <c r="W640" s="138"/>
      <c r="X640" s="116"/>
      <c r="Y640" s="117"/>
      <c r="Z640" s="105"/>
      <c r="AA640" s="105">
        <v>20</v>
      </c>
      <c r="AB640" s="105"/>
      <c r="AC640" s="105"/>
      <c r="AD640" s="144">
        <v>44866</v>
      </c>
      <c r="AE640" s="157" t="s">
        <v>7934</v>
      </c>
    </row>
    <row r="641" spans="1:31" s="65" customFormat="1" ht="27" customHeight="1" x14ac:dyDescent="0.15">
      <c r="A641" s="132">
        <v>1111801252</v>
      </c>
      <c r="B641" s="130" t="s">
        <v>7935</v>
      </c>
      <c r="C641" s="108" t="s">
        <v>7936</v>
      </c>
      <c r="D641" s="108" t="s">
        <v>1033</v>
      </c>
      <c r="E641" s="108" t="s">
        <v>7937</v>
      </c>
      <c r="F641" s="131" t="s">
        <v>7938</v>
      </c>
      <c r="G641" s="132" t="s">
        <v>7939</v>
      </c>
      <c r="H641" s="132" t="s">
        <v>7940</v>
      </c>
      <c r="I641" s="133"/>
      <c r="J641" s="134"/>
      <c r="K641" s="134"/>
      <c r="L641" s="134"/>
      <c r="M641" s="134" t="s">
        <v>49</v>
      </c>
      <c r="N641" s="135" t="s">
        <v>49</v>
      </c>
      <c r="O641" s="136"/>
      <c r="P641" s="105"/>
      <c r="Q641" s="152"/>
      <c r="R641" s="138"/>
      <c r="S641" s="132"/>
      <c r="T641" s="105"/>
      <c r="U641" s="132"/>
      <c r="V641" s="116"/>
      <c r="W641" s="117"/>
      <c r="X641" s="152"/>
      <c r="Y641" s="136"/>
      <c r="Z641" s="132">
        <v>20</v>
      </c>
      <c r="AA641" s="132"/>
      <c r="AB641" s="132"/>
      <c r="AC641" s="132"/>
      <c r="AD641" s="144">
        <v>44866</v>
      </c>
      <c r="AE641" s="108" t="s">
        <v>7941</v>
      </c>
    </row>
    <row r="642" spans="1:31" s="65" customFormat="1" ht="27" customHeight="1" x14ac:dyDescent="0.15">
      <c r="A642" s="105">
        <v>1111801286</v>
      </c>
      <c r="B642" s="130" t="s">
        <v>8376</v>
      </c>
      <c r="C642" s="108" t="s">
        <v>8377</v>
      </c>
      <c r="D642" s="108" t="s">
        <v>4095</v>
      </c>
      <c r="E642" s="108" t="s">
        <v>8378</v>
      </c>
      <c r="F642" s="131" t="s">
        <v>8379</v>
      </c>
      <c r="G642" s="132" t="s">
        <v>8380</v>
      </c>
      <c r="H642" s="132" t="s">
        <v>8381</v>
      </c>
      <c r="I642" s="133"/>
      <c r="J642" s="134"/>
      <c r="K642" s="134"/>
      <c r="L642" s="134"/>
      <c r="M642" s="134" t="s">
        <v>765</v>
      </c>
      <c r="N642" s="135" t="s">
        <v>49</v>
      </c>
      <c r="O642" s="136"/>
      <c r="P642" s="132"/>
      <c r="Q642" s="152"/>
      <c r="R642" s="136"/>
      <c r="S642" s="132"/>
      <c r="T642" s="132">
        <v>18</v>
      </c>
      <c r="U642" s="132"/>
      <c r="V642" s="152"/>
      <c r="W642" s="136"/>
      <c r="X642" s="152"/>
      <c r="Y642" s="136"/>
      <c r="Z642" s="132"/>
      <c r="AA642" s="105"/>
      <c r="AB642" s="105"/>
      <c r="AC642" s="105"/>
      <c r="AD642" s="155">
        <v>45078</v>
      </c>
      <c r="AE642" s="108" t="s">
        <v>8382</v>
      </c>
    </row>
    <row r="643" spans="1:31" ht="27" customHeight="1" x14ac:dyDescent="0.15">
      <c r="A643" s="76">
        <v>1111801328</v>
      </c>
      <c r="B643" s="165" t="s">
        <v>8717</v>
      </c>
      <c r="C643" s="166" t="s">
        <v>8718</v>
      </c>
      <c r="D643" s="166" t="s">
        <v>1033</v>
      </c>
      <c r="E643" s="166" t="s">
        <v>8719</v>
      </c>
      <c r="F643" s="254" t="s">
        <v>8720</v>
      </c>
      <c r="G643" s="72" t="s">
        <v>8721</v>
      </c>
      <c r="H643" s="72" t="s">
        <v>8722</v>
      </c>
      <c r="I643" s="292"/>
      <c r="J643" s="293"/>
      <c r="K643" s="293"/>
      <c r="L643" s="293"/>
      <c r="M643" s="293" t="s">
        <v>49</v>
      </c>
      <c r="N643" s="294"/>
      <c r="O643" s="295"/>
      <c r="P643" s="76"/>
      <c r="Q643" s="70"/>
      <c r="R643" s="92"/>
      <c r="S643" s="76"/>
      <c r="T643" s="76"/>
      <c r="U643" s="76"/>
      <c r="V643" s="70"/>
      <c r="W643" s="92"/>
      <c r="X643" s="73"/>
      <c r="Y643" s="92"/>
      <c r="Z643" s="76"/>
      <c r="AA643" s="76">
        <v>10</v>
      </c>
      <c r="AB643" s="76"/>
      <c r="AC643" s="76"/>
      <c r="AD643" s="104">
        <v>45200</v>
      </c>
      <c r="AE643" s="166" t="s">
        <v>8723</v>
      </c>
    </row>
    <row r="644" spans="1:31" ht="27" customHeight="1" x14ac:dyDescent="0.15">
      <c r="A644" s="105">
        <v>1111801344</v>
      </c>
      <c r="B644" s="106" t="s">
        <v>8792</v>
      </c>
      <c r="C644" s="107" t="s">
        <v>8793</v>
      </c>
      <c r="D644" s="108" t="s">
        <v>1033</v>
      </c>
      <c r="E644" s="108" t="s">
        <v>8794</v>
      </c>
      <c r="F644" s="139" t="s">
        <v>2509</v>
      </c>
      <c r="G644" s="140" t="s">
        <v>8795</v>
      </c>
      <c r="H644" s="140" t="s">
        <v>8796</v>
      </c>
      <c r="I644" s="141" t="s">
        <v>765</v>
      </c>
      <c r="J644" s="142" t="s">
        <v>765</v>
      </c>
      <c r="K644" s="142" t="s">
        <v>765</v>
      </c>
      <c r="L644" s="142" t="s">
        <v>765</v>
      </c>
      <c r="M644" s="142" t="s">
        <v>765</v>
      </c>
      <c r="N644" s="143" t="s">
        <v>765</v>
      </c>
      <c r="O644" s="138" t="s">
        <v>765</v>
      </c>
      <c r="P644" s="105"/>
      <c r="Q644" s="137"/>
      <c r="R644" s="138"/>
      <c r="S644" s="105"/>
      <c r="T644" s="105"/>
      <c r="U644" s="105"/>
      <c r="V644" s="137"/>
      <c r="W644" s="138"/>
      <c r="X644" s="137"/>
      <c r="Y644" s="138"/>
      <c r="Z644" s="105">
        <v>20</v>
      </c>
      <c r="AA644" s="105"/>
      <c r="AB644" s="105"/>
      <c r="AC644" s="105"/>
      <c r="AD644" s="144">
        <v>45261</v>
      </c>
      <c r="AE644" s="108" t="s">
        <v>8797</v>
      </c>
    </row>
    <row r="645" spans="1:31" s="65" customFormat="1" ht="27" customHeight="1" x14ac:dyDescent="0.15">
      <c r="A645" s="105">
        <v>1111801351</v>
      </c>
      <c r="B645" s="106" t="s">
        <v>8787</v>
      </c>
      <c r="C645" s="107" t="s">
        <v>8788</v>
      </c>
      <c r="D645" s="108" t="s">
        <v>1033</v>
      </c>
      <c r="E645" s="108" t="s">
        <v>8789</v>
      </c>
      <c r="F645" s="139" t="s">
        <v>8790</v>
      </c>
      <c r="G645" s="140" t="s">
        <v>7883</v>
      </c>
      <c r="H645" s="140" t="s">
        <v>7884</v>
      </c>
      <c r="I645" s="141"/>
      <c r="J645" s="142"/>
      <c r="K645" s="142"/>
      <c r="L645" s="142"/>
      <c r="M645" s="142" t="s">
        <v>49</v>
      </c>
      <c r="N645" s="143" t="s">
        <v>49</v>
      </c>
      <c r="O645" s="138"/>
      <c r="P645" s="105"/>
      <c r="Q645" s="137"/>
      <c r="R645" s="138"/>
      <c r="S645" s="105"/>
      <c r="T645" s="105"/>
      <c r="U645" s="105"/>
      <c r="V645" s="137"/>
      <c r="W645" s="138"/>
      <c r="X645" s="137"/>
      <c r="Y645" s="138"/>
      <c r="Z645" s="105">
        <v>10</v>
      </c>
      <c r="AA645" s="105"/>
      <c r="AB645" s="105"/>
      <c r="AC645" s="105"/>
      <c r="AD645" s="144">
        <v>45261</v>
      </c>
      <c r="AE645" s="108" t="s">
        <v>8791</v>
      </c>
    </row>
    <row r="646" spans="1:31" ht="27" customHeight="1" x14ac:dyDescent="0.15">
      <c r="A646" s="105">
        <v>1111801369</v>
      </c>
      <c r="B646" s="130" t="s">
        <v>8966</v>
      </c>
      <c r="C646" s="108" t="s">
        <v>8967</v>
      </c>
      <c r="D646" s="108" t="s">
        <v>1033</v>
      </c>
      <c r="E646" s="108" t="s">
        <v>8968</v>
      </c>
      <c r="F646" s="131" t="s">
        <v>2509</v>
      </c>
      <c r="G646" s="132" t="s">
        <v>8969</v>
      </c>
      <c r="H646" s="132" t="s">
        <v>8970</v>
      </c>
      <c r="I646" s="133"/>
      <c r="J646" s="134"/>
      <c r="K646" s="134"/>
      <c r="L646" s="134"/>
      <c r="M646" s="134" t="s">
        <v>765</v>
      </c>
      <c r="N646" s="135" t="s">
        <v>49</v>
      </c>
      <c r="O646" s="136"/>
      <c r="P646" s="105"/>
      <c r="Q646" s="137"/>
      <c r="R646" s="138"/>
      <c r="S646" s="105"/>
      <c r="T646" s="105">
        <v>6</v>
      </c>
      <c r="U646" s="105"/>
      <c r="V646" s="137"/>
      <c r="W646" s="138"/>
      <c r="X646" s="137"/>
      <c r="Y646" s="138"/>
      <c r="Z646" s="105"/>
      <c r="AA646" s="105">
        <v>14</v>
      </c>
      <c r="AB646" s="105"/>
      <c r="AC646" s="105"/>
      <c r="AD646" s="155">
        <v>45323</v>
      </c>
      <c r="AE646" s="108" t="s">
        <v>8971</v>
      </c>
    </row>
    <row r="647" spans="1:31" ht="27" customHeight="1" x14ac:dyDescent="0.15">
      <c r="A647" s="203">
        <v>1111801377</v>
      </c>
      <c r="B647" s="204" t="s">
        <v>9110</v>
      </c>
      <c r="C647" s="162" t="s">
        <v>9111</v>
      </c>
      <c r="D647" s="162" t="s">
        <v>1033</v>
      </c>
      <c r="E647" s="162" t="s">
        <v>9112</v>
      </c>
      <c r="F647" s="205" t="s">
        <v>9113</v>
      </c>
      <c r="G647" s="206" t="s">
        <v>9114</v>
      </c>
      <c r="H647" s="206" t="s">
        <v>9115</v>
      </c>
      <c r="I647" s="221" t="s">
        <v>765</v>
      </c>
      <c r="J647" s="222" t="s">
        <v>765</v>
      </c>
      <c r="K647" s="222" t="s">
        <v>765</v>
      </c>
      <c r="L647" s="222" t="s">
        <v>765</v>
      </c>
      <c r="M647" s="208" t="s">
        <v>765</v>
      </c>
      <c r="N647" s="208" t="s">
        <v>765</v>
      </c>
      <c r="O647" s="208" t="s">
        <v>765</v>
      </c>
      <c r="P647" s="175"/>
      <c r="Q647" s="209"/>
      <c r="R647" s="210">
        <v>9</v>
      </c>
      <c r="S647" s="175"/>
      <c r="T647" s="175">
        <v>18</v>
      </c>
      <c r="U647" s="175"/>
      <c r="V647" s="209"/>
      <c r="W647" s="210"/>
      <c r="X647" s="209"/>
      <c r="Y647" s="210"/>
      <c r="Z647" s="175"/>
      <c r="AA647" s="175"/>
      <c r="AB647" s="175"/>
      <c r="AC647" s="175"/>
      <c r="AD647" s="211">
        <v>45383</v>
      </c>
      <c r="AE647" s="162" t="s">
        <v>9116</v>
      </c>
    </row>
    <row r="648" spans="1:31" ht="27" customHeight="1" x14ac:dyDescent="0.15">
      <c r="A648" s="150">
        <v>1111801393</v>
      </c>
      <c r="B648" s="130" t="s">
        <v>9198</v>
      </c>
      <c r="C648" s="108" t="s">
        <v>9199</v>
      </c>
      <c r="D648" s="108" t="s">
        <v>1033</v>
      </c>
      <c r="E648" s="108" t="s">
        <v>9200</v>
      </c>
      <c r="F648" s="230" t="s">
        <v>6486</v>
      </c>
      <c r="G648" s="132" t="s">
        <v>9201</v>
      </c>
      <c r="H648" s="132"/>
      <c r="I648" s="116"/>
      <c r="J648" s="154"/>
      <c r="K648" s="154" t="s">
        <v>765</v>
      </c>
      <c r="L648" s="154" t="s">
        <v>765</v>
      </c>
      <c r="M648" s="154" t="s">
        <v>49</v>
      </c>
      <c r="N648" s="143" t="s">
        <v>49</v>
      </c>
      <c r="O648" s="138"/>
      <c r="P648" s="105"/>
      <c r="Q648" s="116"/>
      <c r="R648" s="138"/>
      <c r="S648" s="105"/>
      <c r="T648" s="105"/>
      <c r="U648" s="105"/>
      <c r="V648" s="116"/>
      <c r="W648" s="138"/>
      <c r="X648" s="116"/>
      <c r="Y648" s="138"/>
      <c r="Z648" s="105"/>
      <c r="AA648" s="105">
        <v>20</v>
      </c>
      <c r="AB648" s="105"/>
      <c r="AC648" s="105"/>
      <c r="AD648" s="118">
        <v>45413</v>
      </c>
      <c r="AE648" s="108" t="s">
        <v>9202</v>
      </c>
    </row>
    <row r="649" spans="1:31" ht="27" customHeight="1" x14ac:dyDescent="0.15">
      <c r="A649" s="105">
        <v>1111801419</v>
      </c>
      <c r="B649" s="130" t="s">
        <v>11783</v>
      </c>
      <c r="C649" s="108" t="s">
        <v>10098</v>
      </c>
      <c r="D649" s="108" t="s">
        <v>1033</v>
      </c>
      <c r="E649" s="108" t="s">
        <v>6811</v>
      </c>
      <c r="F649" s="131" t="s">
        <v>2509</v>
      </c>
      <c r="G649" s="132" t="s">
        <v>6812</v>
      </c>
      <c r="H649" s="132" t="s">
        <v>6813</v>
      </c>
      <c r="I649" s="133"/>
      <c r="J649" s="134"/>
      <c r="K649" s="135"/>
      <c r="L649" s="134"/>
      <c r="M649" s="134" t="s">
        <v>765</v>
      </c>
      <c r="N649" s="135" t="s">
        <v>6433</v>
      </c>
      <c r="O649" s="136"/>
      <c r="P649" s="105"/>
      <c r="Q649" s="137"/>
      <c r="R649" s="138"/>
      <c r="S649" s="105"/>
      <c r="T649" s="105"/>
      <c r="U649" s="105"/>
      <c r="V649" s="137"/>
      <c r="W649" s="138"/>
      <c r="X649" s="137">
        <v>6</v>
      </c>
      <c r="Y649" s="138"/>
      <c r="Z649" s="105"/>
      <c r="AA649" s="105">
        <v>16</v>
      </c>
      <c r="AB649" s="105"/>
      <c r="AC649" s="175"/>
      <c r="AD649" s="227">
        <v>45536</v>
      </c>
      <c r="AE649" s="108" t="s">
        <v>6814</v>
      </c>
    </row>
    <row r="650" spans="1:31" ht="27" customHeight="1" x14ac:dyDescent="0.15">
      <c r="A650" s="150">
        <v>1111801427</v>
      </c>
      <c r="B650" s="130" t="s">
        <v>9611</v>
      </c>
      <c r="C650" s="108" t="s">
        <v>9612</v>
      </c>
      <c r="D650" s="108" t="s">
        <v>1033</v>
      </c>
      <c r="E650" s="108" t="s">
        <v>9613</v>
      </c>
      <c r="F650" s="230" t="s">
        <v>2509</v>
      </c>
      <c r="G650" s="132" t="s">
        <v>9614</v>
      </c>
      <c r="H650" s="132" t="s">
        <v>9615</v>
      </c>
      <c r="I650" s="116" t="s">
        <v>49</v>
      </c>
      <c r="J650" s="154" t="s">
        <v>49</v>
      </c>
      <c r="K650" s="154" t="s">
        <v>49</v>
      </c>
      <c r="L650" s="154" t="s">
        <v>765</v>
      </c>
      <c r="M650" s="154" t="s">
        <v>49</v>
      </c>
      <c r="N650" s="143" t="s">
        <v>49</v>
      </c>
      <c r="O650" s="138" t="s">
        <v>49</v>
      </c>
      <c r="P650" s="105"/>
      <c r="Q650" s="116"/>
      <c r="R650" s="138"/>
      <c r="S650" s="105"/>
      <c r="T650" s="105"/>
      <c r="U650" s="105"/>
      <c r="V650" s="116"/>
      <c r="W650" s="138"/>
      <c r="X650" s="116"/>
      <c r="Y650" s="138"/>
      <c r="Z650" s="105"/>
      <c r="AA650" s="105">
        <v>20</v>
      </c>
      <c r="AB650" s="105"/>
      <c r="AC650" s="105"/>
      <c r="AD650" s="118">
        <v>45597</v>
      </c>
      <c r="AE650" s="108" t="s">
        <v>9202</v>
      </c>
    </row>
    <row r="651" spans="1:31" s="65" customFormat="1" ht="27" customHeight="1" x14ac:dyDescent="0.15">
      <c r="A651" s="76">
        <v>1111801435</v>
      </c>
      <c r="B651" s="163" t="s">
        <v>8744</v>
      </c>
      <c r="C651" s="164" t="s">
        <v>10277</v>
      </c>
      <c r="D651" s="166" t="s">
        <v>1033</v>
      </c>
      <c r="E651" s="166" t="s">
        <v>9843</v>
      </c>
      <c r="F651" s="167" t="s">
        <v>2555</v>
      </c>
      <c r="G651" s="168" t="s">
        <v>9844</v>
      </c>
      <c r="H651" s="168" t="s">
        <v>9845</v>
      </c>
      <c r="I651" s="178"/>
      <c r="J651" s="170"/>
      <c r="K651" s="170"/>
      <c r="L651" s="170"/>
      <c r="M651" s="170" t="s">
        <v>49</v>
      </c>
      <c r="N651" s="148" t="s">
        <v>765</v>
      </c>
      <c r="O651" s="170" t="s">
        <v>49</v>
      </c>
      <c r="P651" s="76"/>
      <c r="Q651" s="70"/>
      <c r="R651" s="92"/>
      <c r="S651" s="76"/>
      <c r="T651" s="76"/>
      <c r="U651" s="76"/>
      <c r="V651" s="103"/>
      <c r="W651" s="75"/>
      <c r="X651" s="70">
        <v>20</v>
      </c>
      <c r="Y651" s="92"/>
      <c r="Z651" s="76"/>
      <c r="AA651" s="76"/>
      <c r="AB651" s="76"/>
      <c r="AC651" s="76"/>
      <c r="AD651" s="145">
        <v>45658</v>
      </c>
      <c r="AE651" s="166" t="s">
        <v>9846</v>
      </c>
    </row>
    <row r="652" spans="1:31" s="65" customFormat="1" ht="27" customHeight="1" x14ac:dyDescent="0.15">
      <c r="A652" s="76">
        <v>1111801435</v>
      </c>
      <c r="B652" s="163" t="s">
        <v>8744</v>
      </c>
      <c r="C652" s="164" t="s">
        <v>10277</v>
      </c>
      <c r="D652" s="166" t="s">
        <v>1033</v>
      </c>
      <c r="E652" s="166" t="s">
        <v>9843</v>
      </c>
      <c r="F652" s="167" t="s">
        <v>2555</v>
      </c>
      <c r="G652" s="168" t="s">
        <v>9844</v>
      </c>
      <c r="H652" s="168" t="s">
        <v>9845</v>
      </c>
      <c r="I652" s="178"/>
      <c r="J652" s="170" t="s">
        <v>765</v>
      </c>
      <c r="K652" s="170" t="s">
        <v>765</v>
      </c>
      <c r="L652" s="170" t="s">
        <v>765</v>
      </c>
      <c r="M652" s="170" t="s">
        <v>49</v>
      </c>
      <c r="N652" s="148" t="s">
        <v>765</v>
      </c>
      <c r="O652" s="170" t="s">
        <v>49</v>
      </c>
      <c r="P652" s="76"/>
      <c r="Q652" s="70"/>
      <c r="R652" s="92"/>
      <c r="S652" s="76"/>
      <c r="T652" s="76"/>
      <c r="U652" s="76"/>
      <c r="V652" s="103"/>
      <c r="W652" s="75"/>
      <c r="X652" s="70"/>
      <c r="Y652" s="92"/>
      <c r="Z652" s="76"/>
      <c r="AA652" s="76"/>
      <c r="AB652" s="76" t="s">
        <v>49</v>
      </c>
      <c r="AC652" s="76"/>
      <c r="AD652" s="144">
        <v>46113</v>
      </c>
      <c r="AE652" s="166" t="s">
        <v>9846</v>
      </c>
    </row>
    <row r="653" spans="1:31" ht="27" customHeight="1" x14ac:dyDescent="0.15">
      <c r="A653" s="105">
        <v>1111801450</v>
      </c>
      <c r="B653" s="130" t="s">
        <v>11662</v>
      </c>
      <c r="C653" s="108" t="s">
        <v>9929</v>
      </c>
      <c r="D653" s="108" t="s">
        <v>1033</v>
      </c>
      <c r="E653" s="108" t="s">
        <v>9930</v>
      </c>
      <c r="F653" s="131" t="s">
        <v>7938</v>
      </c>
      <c r="G653" s="132" t="s">
        <v>9931</v>
      </c>
      <c r="H653" s="132" t="s">
        <v>839</v>
      </c>
      <c r="I653" s="133"/>
      <c r="J653" s="134"/>
      <c r="K653" s="134"/>
      <c r="L653" s="134"/>
      <c r="M653" s="134" t="s">
        <v>765</v>
      </c>
      <c r="N653" s="135" t="s">
        <v>49</v>
      </c>
      <c r="O653" s="136"/>
      <c r="P653" s="105"/>
      <c r="Q653" s="137"/>
      <c r="R653" s="138"/>
      <c r="S653" s="105"/>
      <c r="T653" s="105"/>
      <c r="U653" s="105"/>
      <c r="V653" s="137"/>
      <c r="W653" s="138"/>
      <c r="X653" s="137"/>
      <c r="Y653" s="138"/>
      <c r="Z653" s="105"/>
      <c r="AA653" s="105">
        <v>20</v>
      </c>
      <c r="AB653" s="105"/>
      <c r="AC653" s="105"/>
      <c r="AD653" s="118">
        <v>45717</v>
      </c>
      <c r="AE653" s="108" t="s">
        <v>9932</v>
      </c>
    </row>
    <row r="654" spans="1:31" ht="27" customHeight="1" x14ac:dyDescent="0.15">
      <c r="A654" s="105">
        <v>1111801468</v>
      </c>
      <c r="B654" s="130" t="s">
        <v>1032</v>
      </c>
      <c r="C654" s="108" t="s">
        <v>10078</v>
      </c>
      <c r="D654" s="108" t="s">
        <v>1033</v>
      </c>
      <c r="E654" s="108" t="s">
        <v>10079</v>
      </c>
      <c r="F654" s="131" t="s">
        <v>7720</v>
      </c>
      <c r="G654" s="132" t="s">
        <v>10080</v>
      </c>
      <c r="H654" s="132" t="s">
        <v>10080</v>
      </c>
      <c r="I654" s="133"/>
      <c r="J654" s="134"/>
      <c r="K654" s="134"/>
      <c r="L654" s="134"/>
      <c r="M654" s="134" t="s">
        <v>49</v>
      </c>
      <c r="N654" s="135"/>
      <c r="O654" s="136"/>
      <c r="P654" s="132"/>
      <c r="Q654" s="152"/>
      <c r="R654" s="136"/>
      <c r="S654" s="132"/>
      <c r="T654" s="105">
        <v>20</v>
      </c>
      <c r="U654" s="132"/>
      <c r="V654" s="152"/>
      <c r="W654" s="136"/>
      <c r="X654" s="152"/>
      <c r="Y654" s="136"/>
      <c r="Z654" s="132"/>
      <c r="AA654" s="105"/>
      <c r="AB654" s="105"/>
      <c r="AC654" s="105"/>
      <c r="AD654" s="155">
        <v>45748</v>
      </c>
      <c r="AE654" s="108" t="s">
        <v>10081</v>
      </c>
    </row>
    <row r="655" spans="1:31" s="65" customFormat="1" ht="27" customHeight="1" x14ac:dyDescent="0.15">
      <c r="A655" s="76">
        <v>1111801476</v>
      </c>
      <c r="B655" s="163" t="s">
        <v>10092</v>
      </c>
      <c r="C655" s="164" t="s">
        <v>10093</v>
      </c>
      <c r="D655" s="166" t="s">
        <v>1033</v>
      </c>
      <c r="E655" s="166" t="s">
        <v>10094</v>
      </c>
      <c r="F655" s="167" t="s">
        <v>10095</v>
      </c>
      <c r="G655" s="168" t="s">
        <v>10096</v>
      </c>
      <c r="H655" s="168"/>
      <c r="I655" s="178" t="s">
        <v>765</v>
      </c>
      <c r="J655" s="170" t="s">
        <v>765</v>
      </c>
      <c r="K655" s="170" t="s">
        <v>765</v>
      </c>
      <c r="L655" s="170" t="s">
        <v>765</v>
      </c>
      <c r="M655" s="170" t="s">
        <v>49</v>
      </c>
      <c r="N655" s="148" t="s">
        <v>765</v>
      </c>
      <c r="O655" s="170" t="s">
        <v>49</v>
      </c>
      <c r="P655" s="76"/>
      <c r="Q655" s="70"/>
      <c r="R655" s="92"/>
      <c r="S655" s="76"/>
      <c r="T655" s="76"/>
      <c r="U655" s="76"/>
      <c r="V655" s="103">
        <v>14</v>
      </c>
      <c r="W655" s="75"/>
      <c r="X655" s="70">
        <v>6</v>
      </c>
      <c r="Y655" s="92"/>
      <c r="Z655" s="76"/>
      <c r="AA655" s="76"/>
      <c r="AB655" s="76"/>
      <c r="AC655" s="76"/>
      <c r="AD655" s="145">
        <v>45748</v>
      </c>
      <c r="AE655" s="166" t="s">
        <v>10097</v>
      </c>
    </row>
    <row r="656" spans="1:31" s="65" customFormat="1" ht="27" customHeight="1" x14ac:dyDescent="0.15">
      <c r="A656" s="76">
        <v>1111801476</v>
      </c>
      <c r="B656" s="163" t="s">
        <v>10092</v>
      </c>
      <c r="C656" s="164" t="s">
        <v>12246</v>
      </c>
      <c r="D656" s="166" t="s">
        <v>1033</v>
      </c>
      <c r="E656" s="166" t="s">
        <v>10094</v>
      </c>
      <c r="F656" s="167" t="s">
        <v>10095</v>
      </c>
      <c r="G656" s="168" t="s">
        <v>10096</v>
      </c>
      <c r="H656" s="168"/>
      <c r="I656" s="178" t="s">
        <v>765</v>
      </c>
      <c r="J656" s="170" t="s">
        <v>765</v>
      </c>
      <c r="K656" s="170" t="s">
        <v>765</v>
      </c>
      <c r="L656" s="170" t="s">
        <v>765</v>
      </c>
      <c r="M656" s="170" t="s">
        <v>49</v>
      </c>
      <c r="N656" s="148" t="s">
        <v>765</v>
      </c>
      <c r="O656" s="170" t="s">
        <v>49</v>
      </c>
      <c r="P656" s="76"/>
      <c r="Q656" s="70"/>
      <c r="R656" s="92"/>
      <c r="S656" s="76"/>
      <c r="T656" s="76"/>
      <c r="U656" s="76"/>
      <c r="V656" s="103"/>
      <c r="W656" s="75"/>
      <c r="X656" s="70"/>
      <c r="Y656" s="92"/>
      <c r="Z656" s="76"/>
      <c r="AA656" s="76"/>
      <c r="AB656" s="76" t="s">
        <v>10951</v>
      </c>
      <c r="AC656" s="76"/>
      <c r="AD656" s="145">
        <v>46204</v>
      </c>
      <c r="AE656" s="166" t="s">
        <v>10097</v>
      </c>
    </row>
    <row r="657" spans="1:157" ht="27" customHeight="1" x14ac:dyDescent="0.15">
      <c r="A657" s="105">
        <v>1111801484</v>
      </c>
      <c r="B657" s="106" t="s">
        <v>12069</v>
      </c>
      <c r="C657" s="107" t="s">
        <v>10082</v>
      </c>
      <c r="D657" s="108" t="s">
        <v>1033</v>
      </c>
      <c r="E657" s="108" t="s">
        <v>10083</v>
      </c>
      <c r="F657" s="139" t="s">
        <v>1036</v>
      </c>
      <c r="G657" s="140" t="s">
        <v>10084</v>
      </c>
      <c r="H657" s="140" t="s">
        <v>10085</v>
      </c>
      <c r="I657" s="141"/>
      <c r="J657" s="142"/>
      <c r="K657" s="142"/>
      <c r="L657" s="142"/>
      <c r="M657" s="142" t="s">
        <v>49</v>
      </c>
      <c r="N657" s="143" t="s">
        <v>49</v>
      </c>
      <c r="O657" s="138" t="s">
        <v>49</v>
      </c>
      <c r="P657" s="105"/>
      <c r="Q657" s="137"/>
      <c r="R657" s="138"/>
      <c r="S657" s="105"/>
      <c r="T657" s="105"/>
      <c r="U657" s="105"/>
      <c r="V657" s="137"/>
      <c r="W657" s="138"/>
      <c r="X657" s="137"/>
      <c r="Y657" s="138"/>
      <c r="Z657" s="105"/>
      <c r="AA657" s="105">
        <v>20</v>
      </c>
      <c r="AB657" s="105"/>
      <c r="AC657" s="105"/>
      <c r="AD657" s="144">
        <v>45748</v>
      </c>
      <c r="AE657" s="108" t="s">
        <v>10086</v>
      </c>
    </row>
    <row r="658" spans="1:157" s="65" customFormat="1" ht="27" customHeight="1" x14ac:dyDescent="0.15">
      <c r="A658" s="105">
        <v>1111801534</v>
      </c>
      <c r="B658" s="130" t="s">
        <v>10829</v>
      </c>
      <c r="C658" s="108" t="s">
        <v>7146</v>
      </c>
      <c r="D658" s="108" t="s">
        <v>1033</v>
      </c>
      <c r="E658" s="108" t="s">
        <v>7147</v>
      </c>
      <c r="F658" s="131" t="s">
        <v>7148</v>
      </c>
      <c r="G658" s="132" t="s">
        <v>7149</v>
      </c>
      <c r="H658" s="132" t="s">
        <v>7150</v>
      </c>
      <c r="I658" s="133"/>
      <c r="J658" s="134"/>
      <c r="K658" s="134"/>
      <c r="L658" s="142"/>
      <c r="M658" s="142" t="s">
        <v>49</v>
      </c>
      <c r="N658" s="143" t="s">
        <v>49</v>
      </c>
      <c r="O658" s="138" t="s">
        <v>765</v>
      </c>
      <c r="P658" s="105"/>
      <c r="Q658" s="137"/>
      <c r="R658" s="138"/>
      <c r="S658" s="105"/>
      <c r="T658" s="105"/>
      <c r="U658" s="105"/>
      <c r="V658" s="116"/>
      <c r="W658" s="117"/>
      <c r="X658" s="116"/>
      <c r="Y658" s="138"/>
      <c r="Z658" s="105"/>
      <c r="AA658" s="105">
        <v>20</v>
      </c>
      <c r="AB658" s="105"/>
      <c r="AC658" s="105"/>
      <c r="AD658" s="118">
        <v>45931</v>
      </c>
      <c r="AE658" s="108" t="s">
        <v>7151</v>
      </c>
    </row>
    <row r="659" spans="1:157" ht="27" customHeight="1" x14ac:dyDescent="0.15">
      <c r="A659" s="150">
        <v>1111801575</v>
      </c>
      <c r="B659" s="130" t="s">
        <v>11510</v>
      </c>
      <c r="C659" s="108" t="s">
        <v>11511</v>
      </c>
      <c r="D659" s="108" t="s">
        <v>1033</v>
      </c>
      <c r="E659" s="108" t="s">
        <v>11512</v>
      </c>
      <c r="F659" s="230" t="s">
        <v>11513</v>
      </c>
      <c r="G659" s="132" t="s">
        <v>12245</v>
      </c>
      <c r="H659" s="132" t="s">
        <v>12245</v>
      </c>
      <c r="I659" s="116" t="s">
        <v>49</v>
      </c>
      <c r="J659" s="154" t="s">
        <v>49</v>
      </c>
      <c r="K659" s="154" t="s">
        <v>49</v>
      </c>
      <c r="L659" s="154" t="s">
        <v>765</v>
      </c>
      <c r="M659" s="154" t="s">
        <v>49</v>
      </c>
      <c r="N659" s="143" t="s">
        <v>49</v>
      </c>
      <c r="O659" s="138" t="s">
        <v>49</v>
      </c>
      <c r="P659" s="105"/>
      <c r="Q659" s="116"/>
      <c r="R659" s="138"/>
      <c r="S659" s="105"/>
      <c r="T659" s="105"/>
      <c r="U659" s="105"/>
      <c r="V659" s="116"/>
      <c r="W659" s="138"/>
      <c r="X659" s="116"/>
      <c r="Y659" s="138"/>
      <c r="Z659" s="105"/>
      <c r="AA659" s="105">
        <v>20</v>
      </c>
      <c r="AB659" s="105"/>
      <c r="AC659" s="105"/>
      <c r="AD659" s="118">
        <v>46143</v>
      </c>
      <c r="AE659" s="108" t="s">
        <v>11514</v>
      </c>
    </row>
    <row r="660" spans="1:157" ht="27" customHeight="1" x14ac:dyDescent="0.15">
      <c r="A660" s="175">
        <v>1111801609</v>
      </c>
      <c r="B660" s="204" t="s">
        <v>12136</v>
      </c>
      <c r="C660" s="162" t="s">
        <v>12137</v>
      </c>
      <c r="D660" s="162" t="s">
        <v>1180</v>
      </c>
      <c r="E660" s="162" t="s">
        <v>12138</v>
      </c>
      <c r="F660" s="268" t="s">
        <v>7720</v>
      </c>
      <c r="G660" s="203" t="s">
        <v>12139</v>
      </c>
      <c r="H660" s="203" t="s">
        <v>12140</v>
      </c>
      <c r="I660" s="133" t="s">
        <v>765</v>
      </c>
      <c r="J660" s="134" t="s">
        <v>765</v>
      </c>
      <c r="K660" s="134" t="s">
        <v>765</v>
      </c>
      <c r="L660" s="134" t="s">
        <v>765</v>
      </c>
      <c r="M660" s="134" t="s">
        <v>765</v>
      </c>
      <c r="N660" s="135" t="s">
        <v>765</v>
      </c>
      <c r="O660" s="136" t="s">
        <v>765</v>
      </c>
      <c r="P660" s="175"/>
      <c r="Q660" s="209"/>
      <c r="R660" s="210"/>
      <c r="S660" s="175"/>
      <c r="T660" s="175"/>
      <c r="U660" s="175"/>
      <c r="V660" s="209"/>
      <c r="W660" s="210"/>
      <c r="X660" s="209"/>
      <c r="Y660" s="210"/>
      <c r="Z660" s="175"/>
      <c r="AA660" s="175">
        <v>20</v>
      </c>
      <c r="AB660" s="175"/>
      <c r="AC660" s="175"/>
      <c r="AD660" s="227">
        <v>46174</v>
      </c>
      <c r="AE660" s="162" t="s">
        <v>12141</v>
      </c>
    </row>
    <row r="661" spans="1:157" ht="27" customHeight="1" x14ac:dyDescent="0.15">
      <c r="A661" s="132">
        <v>1111801617</v>
      </c>
      <c r="B661" s="130" t="s">
        <v>12142</v>
      </c>
      <c r="C661" s="108" t="s">
        <v>12143</v>
      </c>
      <c r="D661" s="108" t="s">
        <v>12144</v>
      </c>
      <c r="E661" s="108" t="s">
        <v>12145</v>
      </c>
      <c r="F661" s="131" t="s">
        <v>12146</v>
      </c>
      <c r="G661" s="132" t="s">
        <v>12147</v>
      </c>
      <c r="H661" s="132" t="s">
        <v>12148</v>
      </c>
      <c r="I661" s="116" t="s">
        <v>49</v>
      </c>
      <c r="J661" s="154" t="s">
        <v>49</v>
      </c>
      <c r="K661" s="154" t="s">
        <v>49</v>
      </c>
      <c r="L661" s="154" t="s">
        <v>49</v>
      </c>
      <c r="M661" s="154" t="s">
        <v>49</v>
      </c>
      <c r="N661" s="143"/>
      <c r="O661" s="138"/>
      <c r="P661" s="105"/>
      <c r="Q661" s="137"/>
      <c r="R661" s="138"/>
      <c r="S661" s="105"/>
      <c r="T661" s="105">
        <v>5</v>
      </c>
      <c r="U661" s="105"/>
      <c r="V661" s="137"/>
      <c r="W661" s="138"/>
      <c r="X661" s="137"/>
      <c r="Y661" s="138"/>
      <c r="Z661" s="105"/>
      <c r="AA661" s="105"/>
      <c r="AB661" s="105"/>
      <c r="AC661" s="105"/>
      <c r="AD661" s="118">
        <v>46174</v>
      </c>
      <c r="AE661" s="108" t="s">
        <v>12149</v>
      </c>
    </row>
    <row r="662" spans="1:157" s="65" customFormat="1" ht="27.6" customHeight="1" x14ac:dyDescent="0.15">
      <c r="A662" s="76">
        <v>1111801625</v>
      </c>
      <c r="B662" s="163" t="s">
        <v>12247</v>
      </c>
      <c r="C662" s="164" t="s">
        <v>12248</v>
      </c>
      <c r="D662" s="166" t="s">
        <v>1033</v>
      </c>
      <c r="E662" s="166" t="s">
        <v>12249</v>
      </c>
      <c r="F662" s="167" t="s">
        <v>7720</v>
      </c>
      <c r="G662" s="168" t="s">
        <v>12250</v>
      </c>
      <c r="H662" s="168"/>
      <c r="I662" s="178"/>
      <c r="J662" s="170"/>
      <c r="K662" s="170" t="s">
        <v>765</v>
      </c>
      <c r="L662" s="170" t="s">
        <v>765</v>
      </c>
      <c r="M662" s="170" t="s">
        <v>765</v>
      </c>
      <c r="N662" s="148" t="s">
        <v>765</v>
      </c>
      <c r="O662" s="170" t="s">
        <v>765</v>
      </c>
      <c r="P662" s="76"/>
      <c r="Q662" s="70"/>
      <c r="R662" s="92"/>
      <c r="S662" s="76"/>
      <c r="T662" s="76"/>
      <c r="U662" s="76"/>
      <c r="V662" s="103"/>
      <c r="W662" s="75"/>
      <c r="X662" s="70"/>
      <c r="Y662" s="92"/>
      <c r="Z662" s="76"/>
      <c r="AA662" s="76">
        <v>20</v>
      </c>
      <c r="AB662" s="76"/>
      <c r="AC662" s="76"/>
      <c r="AD662" s="145">
        <v>46204</v>
      </c>
      <c r="AE662" s="166" t="s">
        <v>12251</v>
      </c>
    </row>
    <row r="663" spans="1:157" s="563" customFormat="1" ht="24.95" customHeight="1" x14ac:dyDescent="0.15">
      <c r="A663" s="612">
        <v>1111801633</v>
      </c>
      <c r="B663" s="613" t="s">
        <v>12358</v>
      </c>
      <c r="C663" s="614" t="s">
        <v>12359</v>
      </c>
      <c r="D663" s="614" t="s">
        <v>1033</v>
      </c>
      <c r="E663" s="614" t="s">
        <v>12360</v>
      </c>
      <c r="F663" s="615" t="s">
        <v>12361</v>
      </c>
      <c r="G663" s="616" t="s">
        <v>12362</v>
      </c>
      <c r="H663" s="616"/>
      <c r="I663" s="655"/>
      <c r="J663" s="617"/>
      <c r="K663" s="617"/>
      <c r="L663" s="617"/>
      <c r="M663" s="617" t="s">
        <v>10951</v>
      </c>
      <c r="N663" s="617" t="s">
        <v>10951</v>
      </c>
      <c r="O663" s="617" t="s">
        <v>10951</v>
      </c>
      <c r="P663" s="618"/>
      <c r="Q663" s="619"/>
      <c r="R663" s="620"/>
      <c r="S663" s="618"/>
      <c r="T663" s="618"/>
      <c r="U663" s="618"/>
      <c r="V663" s="619"/>
      <c r="W663" s="620"/>
      <c r="X663" s="619"/>
      <c r="Y663" s="620"/>
      <c r="Z663" s="618"/>
      <c r="AA663" s="618">
        <v>20</v>
      </c>
      <c r="AB663" s="618"/>
      <c r="AC663" s="618"/>
      <c r="AD663" s="621">
        <v>46235</v>
      </c>
      <c r="AE663" s="614" t="s">
        <v>12363</v>
      </c>
    </row>
    <row r="664" spans="1:157" s="542" customFormat="1" ht="27" customHeight="1" x14ac:dyDescent="0.15">
      <c r="A664" s="569">
        <v>1111801641</v>
      </c>
      <c r="B664" s="544" t="s">
        <v>12364</v>
      </c>
      <c r="C664" s="545" t="s">
        <v>12365</v>
      </c>
      <c r="D664" s="545" t="s">
        <v>1033</v>
      </c>
      <c r="E664" s="545" t="s">
        <v>12366</v>
      </c>
      <c r="F664" s="546" t="s">
        <v>7931</v>
      </c>
      <c r="G664" s="547" t="s">
        <v>12367</v>
      </c>
      <c r="H664" s="547" t="s">
        <v>12367</v>
      </c>
      <c r="I664" s="548"/>
      <c r="J664" s="549" t="s">
        <v>49</v>
      </c>
      <c r="K664" s="549" t="s">
        <v>49</v>
      </c>
      <c r="L664" s="549" t="s">
        <v>49</v>
      </c>
      <c r="M664" s="549" t="s">
        <v>49</v>
      </c>
      <c r="N664" s="549" t="s">
        <v>49</v>
      </c>
      <c r="O664" s="549" t="s">
        <v>49</v>
      </c>
      <c r="P664" s="569"/>
      <c r="Q664" s="582"/>
      <c r="R664" s="587"/>
      <c r="S664" s="569"/>
      <c r="T664" s="569"/>
      <c r="U664" s="569"/>
      <c r="V664" s="622"/>
      <c r="W664" s="623"/>
      <c r="X664" s="622"/>
      <c r="Y664" s="587"/>
      <c r="Z664" s="569"/>
      <c r="AA664" s="569">
        <v>20</v>
      </c>
      <c r="AB664" s="569"/>
      <c r="AC664" s="569"/>
      <c r="AD664" s="588">
        <v>46235</v>
      </c>
      <c r="AE664" s="545" t="s">
        <v>12370</v>
      </c>
    </row>
    <row r="665" spans="1:157" ht="27" customHeight="1" x14ac:dyDescent="0.15">
      <c r="A665" s="105">
        <v>1111900120</v>
      </c>
      <c r="B665" s="130" t="s">
        <v>771</v>
      </c>
      <c r="C665" s="108" t="s">
        <v>316</v>
      </c>
      <c r="D665" s="108" t="s">
        <v>76</v>
      </c>
      <c r="E665" s="215" t="s">
        <v>2212</v>
      </c>
      <c r="F665" s="131">
        <v>3350021</v>
      </c>
      <c r="G665" s="152" t="s">
        <v>2213</v>
      </c>
      <c r="H665" s="132" t="s">
        <v>2214</v>
      </c>
      <c r="I665" s="133" t="s">
        <v>49</v>
      </c>
      <c r="J665" s="134" t="s">
        <v>49</v>
      </c>
      <c r="K665" s="134" t="s">
        <v>49</v>
      </c>
      <c r="L665" s="134" t="s">
        <v>49</v>
      </c>
      <c r="M665" s="134" t="s">
        <v>49</v>
      </c>
      <c r="N665" s="135"/>
      <c r="O665" s="136"/>
      <c r="P665" s="132"/>
      <c r="Q665" s="152"/>
      <c r="R665" s="136"/>
      <c r="S665" s="132"/>
      <c r="T665" s="105">
        <v>25</v>
      </c>
      <c r="U665" s="132"/>
      <c r="V665" s="133"/>
      <c r="W665" s="242"/>
      <c r="X665" s="133"/>
      <c r="Y665" s="136"/>
      <c r="Z665" s="132"/>
      <c r="AA665" s="105">
        <v>15</v>
      </c>
      <c r="AB665" s="105"/>
      <c r="AC665" s="105"/>
      <c r="AD665" s="155">
        <v>39539</v>
      </c>
      <c r="AE665" s="108" t="s">
        <v>462</v>
      </c>
    </row>
    <row r="666" spans="1:157" ht="27" customHeight="1" x14ac:dyDescent="0.15">
      <c r="A666" s="105">
        <v>1111900187</v>
      </c>
      <c r="B666" s="130" t="s">
        <v>65</v>
      </c>
      <c r="C666" s="108" t="s">
        <v>465</v>
      </c>
      <c r="D666" s="108" t="s">
        <v>76</v>
      </c>
      <c r="E666" s="215" t="s">
        <v>143</v>
      </c>
      <c r="F666" s="131">
        <v>3350034</v>
      </c>
      <c r="G666" s="152" t="s">
        <v>635</v>
      </c>
      <c r="H666" s="132" t="s">
        <v>636</v>
      </c>
      <c r="I666" s="133" t="s">
        <v>49</v>
      </c>
      <c r="J666" s="134" t="s">
        <v>49</v>
      </c>
      <c r="K666" s="134" t="s">
        <v>49</v>
      </c>
      <c r="L666" s="134" t="s">
        <v>49</v>
      </c>
      <c r="M666" s="134" t="s">
        <v>49</v>
      </c>
      <c r="N666" s="135" t="s">
        <v>49</v>
      </c>
      <c r="O666" s="136"/>
      <c r="P666" s="132"/>
      <c r="Q666" s="152"/>
      <c r="R666" s="136"/>
      <c r="S666" s="132"/>
      <c r="T666" s="132"/>
      <c r="U666" s="132"/>
      <c r="V666" s="133"/>
      <c r="W666" s="242"/>
      <c r="X666" s="116">
        <v>6</v>
      </c>
      <c r="Y666" s="136"/>
      <c r="Z666" s="132"/>
      <c r="AA666" s="105">
        <v>25</v>
      </c>
      <c r="AB666" s="105"/>
      <c r="AC666" s="105"/>
      <c r="AD666" s="155">
        <v>39904</v>
      </c>
      <c r="AE666" s="108" t="s">
        <v>317</v>
      </c>
    </row>
    <row r="667" spans="1:157" ht="27" customHeight="1" x14ac:dyDescent="0.15">
      <c r="A667" s="105">
        <v>1111900195</v>
      </c>
      <c r="B667" s="106" t="s">
        <v>65</v>
      </c>
      <c r="C667" s="107" t="s">
        <v>167</v>
      </c>
      <c r="D667" s="108" t="s">
        <v>76</v>
      </c>
      <c r="E667" s="215" t="s">
        <v>318</v>
      </c>
      <c r="F667" s="139">
        <v>3350023</v>
      </c>
      <c r="G667" s="159" t="s">
        <v>319</v>
      </c>
      <c r="H667" s="140" t="s">
        <v>320</v>
      </c>
      <c r="I667" s="141" t="s">
        <v>254</v>
      </c>
      <c r="J667" s="142"/>
      <c r="K667" s="142"/>
      <c r="L667" s="142"/>
      <c r="M667" s="142" t="s">
        <v>254</v>
      </c>
      <c r="N667" s="143"/>
      <c r="O667" s="138"/>
      <c r="P667" s="105"/>
      <c r="Q667" s="137"/>
      <c r="R667" s="138"/>
      <c r="S667" s="105"/>
      <c r="T667" s="105"/>
      <c r="U667" s="105"/>
      <c r="V667" s="116"/>
      <c r="W667" s="117"/>
      <c r="X667" s="116"/>
      <c r="Y667" s="138"/>
      <c r="Z667" s="105"/>
      <c r="AA667" s="105">
        <v>20</v>
      </c>
      <c r="AB667" s="105"/>
      <c r="AC667" s="105"/>
      <c r="AD667" s="144">
        <v>39904</v>
      </c>
      <c r="AE667" s="108" t="s">
        <v>382</v>
      </c>
    </row>
    <row r="668" spans="1:157" s="65" customFormat="1" ht="27" customHeight="1" x14ac:dyDescent="0.15">
      <c r="A668" s="105">
        <v>1111900203</v>
      </c>
      <c r="B668" s="106" t="s">
        <v>425</v>
      </c>
      <c r="C668" s="107" t="s">
        <v>166</v>
      </c>
      <c r="D668" s="108" t="s">
        <v>76</v>
      </c>
      <c r="E668" s="108" t="s">
        <v>321</v>
      </c>
      <c r="F668" s="139">
        <v>3350015</v>
      </c>
      <c r="G668" s="140" t="s">
        <v>322</v>
      </c>
      <c r="H668" s="140" t="s">
        <v>323</v>
      </c>
      <c r="I668" s="141" t="s">
        <v>269</v>
      </c>
      <c r="J668" s="142"/>
      <c r="K668" s="142"/>
      <c r="L668" s="142"/>
      <c r="M668" s="142" t="s">
        <v>269</v>
      </c>
      <c r="N668" s="143"/>
      <c r="O668" s="138"/>
      <c r="P668" s="105"/>
      <c r="Q668" s="116"/>
      <c r="R668" s="138"/>
      <c r="S668" s="105"/>
      <c r="T668" s="105">
        <v>35</v>
      </c>
      <c r="U668" s="105"/>
      <c r="V668" s="116"/>
      <c r="W668" s="138"/>
      <c r="X668" s="116"/>
      <c r="Y668" s="138"/>
      <c r="Z668" s="105"/>
      <c r="AA668" s="105"/>
      <c r="AB668" s="105"/>
      <c r="AC668" s="105"/>
      <c r="AD668" s="144">
        <v>39904</v>
      </c>
      <c r="AE668" s="108" t="s">
        <v>67</v>
      </c>
    </row>
    <row r="669" spans="1:157" s="65" customFormat="1" ht="27" customHeight="1" x14ac:dyDescent="0.15">
      <c r="A669" s="105">
        <v>1111900351</v>
      </c>
      <c r="B669" s="106" t="s">
        <v>2562</v>
      </c>
      <c r="C669" s="107" t="s">
        <v>2221</v>
      </c>
      <c r="D669" s="108" t="s">
        <v>76</v>
      </c>
      <c r="E669" s="108" t="s">
        <v>2222</v>
      </c>
      <c r="F669" s="139" t="s">
        <v>2223</v>
      </c>
      <c r="G669" s="140" t="s">
        <v>2224</v>
      </c>
      <c r="H669" s="140" t="s">
        <v>2225</v>
      </c>
      <c r="I669" s="141"/>
      <c r="J669" s="142"/>
      <c r="K669" s="142"/>
      <c r="L669" s="142"/>
      <c r="M669" s="142" t="s">
        <v>49</v>
      </c>
      <c r="N669" s="143" t="s">
        <v>49</v>
      </c>
      <c r="O669" s="138"/>
      <c r="P669" s="105"/>
      <c r="Q669" s="137"/>
      <c r="R669" s="138"/>
      <c r="S669" s="105"/>
      <c r="T669" s="105"/>
      <c r="U669" s="105"/>
      <c r="V669" s="137"/>
      <c r="W669" s="138"/>
      <c r="X669" s="137"/>
      <c r="Y669" s="138"/>
      <c r="Z669" s="105"/>
      <c r="AA669" s="105">
        <v>20</v>
      </c>
      <c r="AB669" s="105"/>
      <c r="AC669" s="105"/>
      <c r="AD669" s="144">
        <v>45689</v>
      </c>
      <c r="AE669" s="108" t="s">
        <v>2226</v>
      </c>
      <c r="AU669" s="229"/>
      <c r="AV669" s="229"/>
      <c r="AW669" s="229"/>
      <c r="AX669" s="229"/>
      <c r="AY669" s="229"/>
      <c r="AZ669" s="229"/>
      <c r="BA669" s="229"/>
      <c r="BB669" s="229"/>
      <c r="BC669" s="229"/>
      <c r="BD669" s="229"/>
      <c r="BE669" s="229"/>
      <c r="BF669" s="229"/>
      <c r="BG669" s="229"/>
      <c r="BH669" s="229"/>
      <c r="BI669" s="229"/>
      <c r="BJ669" s="229"/>
      <c r="BK669" s="229"/>
      <c r="BL669" s="229"/>
      <c r="BM669" s="229"/>
      <c r="BN669" s="229"/>
      <c r="BO669" s="229"/>
      <c r="BP669" s="229"/>
      <c r="BQ669" s="229"/>
      <c r="BR669" s="229"/>
      <c r="BS669" s="229"/>
      <c r="BT669" s="229"/>
      <c r="BU669" s="229"/>
      <c r="BV669" s="229"/>
      <c r="BW669" s="229"/>
      <c r="BX669" s="229"/>
      <c r="BY669" s="229"/>
      <c r="BZ669" s="229"/>
      <c r="CA669" s="229"/>
      <c r="CB669" s="229"/>
      <c r="CC669" s="229"/>
      <c r="CD669" s="229"/>
      <c r="CE669" s="229"/>
      <c r="CF669" s="229"/>
      <c r="CG669" s="229"/>
      <c r="CH669" s="229"/>
      <c r="CI669" s="229"/>
      <c r="CJ669" s="229"/>
      <c r="CK669" s="229"/>
      <c r="CL669" s="229"/>
      <c r="CM669" s="229"/>
      <c r="CN669" s="229"/>
      <c r="CO669" s="229"/>
      <c r="CP669" s="229"/>
      <c r="CQ669" s="229"/>
      <c r="CR669" s="229"/>
      <c r="CS669" s="229"/>
      <c r="CT669" s="229"/>
      <c r="CU669" s="229"/>
      <c r="CV669" s="229"/>
      <c r="CW669" s="229"/>
      <c r="CX669" s="229"/>
      <c r="CY669" s="229"/>
      <c r="CZ669" s="229"/>
      <c r="DA669" s="229"/>
      <c r="DB669" s="229"/>
      <c r="DC669" s="229"/>
      <c r="DD669" s="229"/>
      <c r="DE669" s="229"/>
      <c r="DF669" s="229"/>
      <c r="DG669" s="229"/>
      <c r="DH669" s="229"/>
      <c r="DI669" s="229"/>
      <c r="DJ669" s="229"/>
      <c r="DK669" s="229"/>
      <c r="DL669" s="229"/>
      <c r="DM669" s="229"/>
      <c r="DN669" s="229"/>
      <c r="DO669" s="229"/>
      <c r="DP669" s="229"/>
      <c r="DQ669" s="229"/>
      <c r="DR669" s="229"/>
      <c r="DS669" s="229"/>
      <c r="DT669" s="229"/>
      <c r="DU669" s="229"/>
      <c r="DV669" s="229"/>
      <c r="DW669" s="229"/>
      <c r="DX669" s="229"/>
      <c r="DY669" s="229"/>
      <c r="DZ669" s="229"/>
      <c r="EA669" s="229"/>
      <c r="EB669" s="229"/>
      <c r="EC669" s="229"/>
      <c r="ED669" s="229"/>
      <c r="EE669" s="229"/>
      <c r="EF669" s="229"/>
      <c r="EG669" s="229"/>
      <c r="EH669" s="229"/>
      <c r="EI669" s="229"/>
      <c r="EJ669" s="229"/>
      <c r="EK669" s="229"/>
      <c r="EL669" s="229"/>
      <c r="EM669" s="229"/>
      <c r="EN669" s="229"/>
      <c r="EO669" s="229"/>
      <c r="EP669" s="229"/>
      <c r="EQ669" s="229"/>
      <c r="ER669" s="229"/>
      <c r="ES669" s="229"/>
      <c r="ET669" s="229"/>
      <c r="EU669" s="229"/>
      <c r="EV669" s="229"/>
      <c r="EW669" s="229"/>
      <c r="EX669" s="229"/>
      <c r="EY669" s="229"/>
      <c r="EZ669" s="229"/>
      <c r="FA669" s="229"/>
    </row>
    <row r="670" spans="1:157" ht="27" customHeight="1" x14ac:dyDescent="0.15">
      <c r="A670" s="105">
        <v>1111900427</v>
      </c>
      <c r="B670" s="130" t="s">
        <v>2431</v>
      </c>
      <c r="C670" s="108" t="s">
        <v>2432</v>
      </c>
      <c r="D670" s="108" t="s">
        <v>76</v>
      </c>
      <c r="E670" s="108" t="s">
        <v>2433</v>
      </c>
      <c r="F670" s="131" t="s">
        <v>3321</v>
      </c>
      <c r="G670" s="132" t="s">
        <v>3322</v>
      </c>
      <c r="H670" s="132" t="s">
        <v>3323</v>
      </c>
      <c r="I670" s="133" t="s">
        <v>49</v>
      </c>
      <c r="J670" s="134" t="s">
        <v>49</v>
      </c>
      <c r="K670" s="134" t="s">
        <v>49</v>
      </c>
      <c r="L670" s="134" t="s">
        <v>49</v>
      </c>
      <c r="M670" s="134" t="s">
        <v>49</v>
      </c>
      <c r="N670" s="135" t="s">
        <v>49</v>
      </c>
      <c r="O670" s="136" t="s">
        <v>49</v>
      </c>
      <c r="P670" s="105"/>
      <c r="Q670" s="137"/>
      <c r="R670" s="138">
        <v>12</v>
      </c>
      <c r="S670" s="105"/>
      <c r="T670" s="105">
        <v>30</v>
      </c>
      <c r="U670" s="105"/>
      <c r="V670" s="137"/>
      <c r="W670" s="138"/>
      <c r="X670" s="152"/>
      <c r="Y670" s="138"/>
      <c r="Z670" s="105"/>
      <c r="AA670" s="105">
        <v>30</v>
      </c>
      <c r="AB670" s="105"/>
      <c r="AC670" s="105"/>
      <c r="AD670" s="118">
        <v>41730</v>
      </c>
      <c r="AE670" s="108" t="s">
        <v>2434</v>
      </c>
    </row>
    <row r="671" spans="1:157" ht="27" customHeight="1" x14ac:dyDescent="0.15">
      <c r="A671" s="105">
        <v>1111900674</v>
      </c>
      <c r="B671" s="130" t="s">
        <v>4911</v>
      </c>
      <c r="C671" s="108" t="s">
        <v>4912</v>
      </c>
      <c r="D671" s="108" t="s">
        <v>76</v>
      </c>
      <c r="E671" s="108" t="s">
        <v>4913</v>
      </c>
      <c r="F671" s="131" t="s">
        <v>4914</v>
      </c>
      <c r="G671" s="132" t="s">
        <v>4915</v>
      </c>
      <c r="H671" s="132" t="s">
        <v>4916</v>
      </c>
      <c r="I671" s="133"/>
      <c r="J671" s="134"/>
      <c r="K671" s="134" t="s">
        <v>49</v>
      </c>
      <c r="L671" s="134"/>
      <c r="M671" s="134" t="s">
        <v>49</v>
      </c>
      <c r="N671" s="134" t="s">
        <v>49</v>
      </c>
      <c r="O671" s="134" t="s">
        <v>49</v>
      </c>
      <c r="P671" s="105"/>
      <c r="Q671" s="137"/>
      <c r="R671" s="138"/>
      <c r="S671" s="105"/>
      <c r="T671" s="105"/>
      <c r="U671" s="105"/>
      <c r="V671" s="137"/>
      <c r="W671" s="138"/>
      <c r="X671" s="137"/>
      <c r="Y671" s="138"/>
      <c r="Z671" s="105"/>
      <c r="AA671" s="105">
        <v>20</v>
      </c>
      <c r="AB671" s="105"/>
      <c r="AC671" s="105"/>
      <c r="AD671" s="118">
        <v>43525</v>
      </c>
      <c r="AE671" s="108" t="s">
        <v>4917</v>
      </c>
    </row>
    <row r="672" spans="1:157" ht="27" customHeight="1" x14ac:dyDescent="0.15">
      <c r="A672" s="105">
        <v>1111900807</v>
      </c>
      <c r="B672" s="108" t="s">
        <v>11989</v>
      </c>
      <c r="C672" s="108" t="s">
        <v>8413</v>
      </c>
      <c r="D672" s="108" t="s">
        <v>76</v>
      </c>
      <c r="E672" s="108" t="s">
        <v>8421</v>
      </c>
      <c r="F672" s="264" t="s">
        <v>8422</v>
      </c>
      <c r="G672" s="105" t="s">
        <v>8423</v>
      </c>
      <c r="H672" s="105" t="s">
        <v>8424</v>
      </c>
      <c r="I672" s="141"/>
      <c r="J672" s="142"/>
      <c r="K672" s="142"/>
      <c r="L672" s="142"/>
      <c r="M672" s="142" t="s">
        <v>49</v>
      </c>
      <c r="N672" s="143" t="s">
        <v>49</v>
      </c>
      <c r="O672" s="138"/>
      <c r="P672" s="105"/>
      <c r="Q672" s="137"/>
      <c r="R672" s="138"/>
      <c r="S672" s="105"/>
      <c r="T672" s="105"/>
      <c r="U672" s="105"/>
      <c r="V672" s="137"/>
      <c r="W672" s="138"/>
      <c r="X672" s="137"/>
      <c r="Y672" s="138"/>
      <c r="Z672" s="105"/>
      <c r="AA672" s="105">
        <v>20</v>
      </c>
      <c r="AB672" s="105"/>
      <c r="AC672" s="105"/>
      <c r="AD672" s="155">
        <v>45078</v>
      </c>
      <c r="AE672" s="157" t="s">
        <v>8425</v>
      </c>
    </row>
    <row r="673" spans="1:31" s="93" customFormat="1" ht="27" customHeight="1" x14ac:dyDescent="0.15">
      <c r="A673" s="76">
        <v>1111900831</v>
      </c>
      <c r="B673" s="165" t="s">
        <v>12244</v>
      </c>
      <c r="C673" s="165" t="s">
        <v>9378</v>
      </c>
      <c r="D673" s="166" t="s">
        <v>76</v>
      </c>
      <c r="E673" s="498" t="s">
        <v>9379</v>
      </c>
      <c r="F673" s="72" t="s">
        <v>9380</v>
      </c>
      <c r="G673" s="167" t="s">
        <v>9381</v>
      </c>
      <c r="H673" s="167" t="s">
        <v>9382</v>
      </c>
      <c r="I673" s="178"/>
      <c r="J673" s="170"/>
      <c r="K673" s="170"/>
      <c r="L673" s="170"/>
      <c r="M673" s="170" t="s">
        <v>49</v>
      </c>
      <c r="N673" s="170" t="s">
        <v>49</v>
      </c>
      <c r="O673" s="170"/>
      <c r="P673" s="76"/>
      <c r="Q673" s="70"/>
      <c r="R673" s="92"/>
      <c r="S673" s="76"/>
      <c r="T673" s="76"/>
      <c r="U673" s="76"/>
      <c r="V673" s="70">
        <v>10</v>
      </c>
      <c r="W673" s="92"/>
      <c r="X673" s="70"/>
      <c r="Y673" s="92"/>
      <c r="Z673" s="76"/>
      <c r="AA673" s="76">
        <v>10</v>
      </c>
      <c r="AB673" s="76"/>
      <c r="AC673" s="76"/>
      <c r="AD673" s="146">
        <v>45658</v>
      </c>
      <c r="AE673" s="166" t="s">
        <v>9383</v>
      </c>
    </row>
    <row r="674" spans="1:31" s="65" customFormat="1" ht="27" customHeight="1" x14ac:dyDescent="0.15">
      <c r="A674" s="105">
        <v>1111900856</v>
      </c>
      <c r="B674" s="130" t="s">
        <v>11784</v>
      </c>
      <c r="C674" s="108" t="s">
        <v>10806</v>
      </c>
      <c r="D674" s="108" t="s">
        <v>76</v>
      </c>
      <c r="E674" s="108" t="s">
        <v>10807</v>
      </c>
      <c r="F674" s="131" t="s">
        <v>2685</v>
      </c>
      <c r="G674" s="132" t="s">
        <v>10808</v>
      </c>
      <c r="H674" s="132" t="s">
        <v>10809</v>
      </c>
      <c r="I674" s="133" t="s">
        <v>765</v>
      </c>
      <c r="J674" s="134"/>
      <c r="K674" s="134" t="s">
        <v>765</v>
      </c>
      <c r="L674" s="134" t="s">
        <v>765</v>
      </c>
      <c r="M674" s="134" t="s">
        <v>765</v>
      </c>
      <c r="N674" s="135" t="s">
        <v>765</v>
      </c>
      <c r="O674" s="136"/>
      <c r="P674" s="105"/>
      <c r="Q674" s="152"/>
      <c r="R674" s="138"/>
      <c r="S674" s="132"/>
      <c r="T674" s="105"/>
      <c r="U674" s="132"/>
      <c r="V674" s="152"/>
      <c r="W674" s="136"/>
      <c r="X674" s="152">
        <v>10</v>
      </c>
      <c r="Y674" s="136"/>
      <c r="Z674" s="132"/>
      <c r="AA674" s="132"/>
      <c r="AB674" s="132"/>
      <c r="AC674" s="132"/>
      <c r="AD674" s="155">
        <v>45931</v>
      </c>
      <c r="AE674" s="108" t="s">
        <v>10810</v>
      </c>
    </row>
    <row r="675" spans="1:31" s="218" customFormat="1" ht="27" customHeight="1" x14ac:dyDescent="0.15">
      <c r="A675" s="132">
        <v>1111900864</v>
      </c>
      <c r="B675" s="130" t="s">
        <v>11785</v>
      </c>
      <c r="C675" s="108" t="s">
        <v>11032</v>
      </c>
      <c r="D675" s="108" t="s">
        <v>76</v>
      </c>
      <c r="E675" s="108" t="s">
        <v>11033</v>
      </c>
      <c r="F675" s="264" t="s">
        <v>5605</v>
      </c>
      <c r="G675" s="137" t="s">
        <v>11034</v>
      </c>
      <c r="H675" s="137" t="s">
        <v>11035</v>
      </c>
      <c r="I675" s="141" t="s">
        <v>391</v>
      </c>
      <c r="J675" s="142" t="s">
        <v>392</v>
      </c>
      <c r="K675" s="142" t="s">
        <v>393</v>
      </c>
      <c r="L675" s="142" t="s">
        <v>394</v>
      </c>
      <c r="M675" s="142" t="s">
        <v>395</v>
      </c>
      <c r="N675" s="177" t="s">
        <v>396</v>
      </c>
      <c r="O675" s="92" t="s">
        <v>2178</v>
      </c>
      <c r="P675" s="105"/>
      <c r="Q675" s="137"/>
      <c r="R675" s="138"/>
      <c r="S675" s="105"/>
      <c r="T675" s="105"/>
      <c r="U675" s="105"/>
      <c r="V675" s="137"/>
      <c r="W675" s="138"/>
      <c r="X675" s="137"/>
      <c r="Y675" s="138"/>
      <c r="Z675" s="105"/>
      <c r="AA675" s="105">
        <v>20</v>
      </c>
      <c r="AB675" s="105"/>
      <c r="AC675" s="105"/>
      <c r="AD675" s="118">
        <v>46023</v>
      </c>
      <c r="AE675" s="108" t="s">
        <v>11036</v>
      </c>
    </row>
    <row r="676" spans="1:31" s="65" customFormat="1" ht="27" customHeight="1" x14ac:dyDescent="0.15">
      <c r="A676" s="105">
        <v>1111900880</v>
      </c>
      <c r="B676" s="106" t="s">
        <v>11786</v>
      </c>
      <c r="C676" s="107" t="s">
        <v>11449</v>
      </c>
      <c r="D676" s="108" t="s">
        <v>76</v>
      </c>
      <c r="E676" s="108" t="s">
        <v>11450</v>
      </c>
      <c r="F676" s="139" t="s">
        <v>11451</v>
      </c>
      <c r="G676" s="140" t="s">
        <v>11453</v>
      </c>
      <c r="H676" s="140"/>
      <c r="I676" s="141"/>
      <c r="J676" s="142" t="s">
        <v>6457</v>
      </c>
      <c r="K676" s="142" t="s">
        <v>6457</v>
      </c>
      <c r="L676" s="142" t="s">
        <v>6457</v>
      </c>
      <c r="M676" s="142" t="s">
        <v>6457</v>
      </c>
      <c r="N676" s="143" t="s">
        <v>6457</v>
      </c>
      <c r="O676" s="138" t="s">
        <v>6457</v>
      </c>
      <c r="P676" s="105"/>
      <c r="Q676" s="137"/>
      <c r="R676" s="138"/>
      <c r="S676" s="105"/>
      <c r="T676" s="105"/>
      <c r="U676" s="105"/>
      <c r="V676" s="137"/>
      <c r="W676" s="138"/>
      <c r="X676" s="137"/>
      <c r="Y676" s="138"/>
      <c r="Z676" s="105"/>
      <c r="AA676" s="105">
        <v>20</v>
      </c>
      <c r="AB676" s="105"/>
      <c r="AC676" s="105"/>
      <c r="AD676" s="144">
        <v>46143</v>
      </c>
      <c r="AE676" s="108" t="s">
        <v>11452</v>
      </c>
    </row>
    <row r="677" spans="1:31" s="523" customFormat="1" ht="27" customHeight="1" x14ac:dyDescent="0.15">
      <c r="A677" s="575">
        <v>1112100084</v>
      </c>
      <c r="B677" s="525" t="s">
        <v>868</v>
      </c>
      <c r="C677" s="576" t="s">
        <v>1284</v>
      </c>
      <c r="D677" s="526" t="s">
        <v>1285</v>
      </c>
      <c r="E677" s="526" t="s">
        <v>1286</v>
      </c>
      <c r="F677" s="577">
        <v>3510016</v>
      </c>
      <c r="G677" s="528" t="s">
        <v>1287</v>
      </c>
      <c r="H677" s="528" t="s">
        <v>1288</v>
      </c>
      <c r="I677" s="567" t="s">
        <v>49</v>
      </c>
      <c r="J677" s="578"/>
      <c r="K677" s="578"/>
      <c r="L677" s="578"/>
      <c r="M677" s="578" t="s">
        <v>49</v>
      </c>
      <c r="N677" s="579" t="s">
        <v>49</v>
      </c>
      <c r="O677" s="566"/>
      <c r="P677" s="564">
        <v>40</v>
      </c>
      <c r="Q677" s="535" t="s">
        <v>49</v>
      </c>
      <c r="R677" s="566">
        <v>6</v>
      </c>
      <c r="S677" s="564"/>
      <c r="T677" s="564">
        <v>40</v>
      </c>
      <c r="U677" s="564"/>
      <c r="V677" s="565"/>
      <c r="W677" s="566"/>
      <c r="X677" s="565"/>
      <c r="Y677" s="566"/>
      <c r="Z677" s="564"/>
      <c r="AA677" s="569">
        <v>20</v>
      </c>
      <c r="AB677" s="564"/>
      <c r="AC677" s="564"/>
      <c r="AD677" s="580">
        <v>40634</v>
      </c>
      <c r="AE677" s="526" t="s">
        <v>2677</v>
      </c>
    </row>
    <row r="678" spans="1:31" s="65" customFormat="1" ht="27" customHeight="1" x14ac:dyDescent="0.15">
      <c r="A678" s="150">
        <v>1112100092</v>
      </c>
      <c r="B678" s="130" t="s">
        <v>1341</v>
      </c>
      <c r="C678" s="107" t="s">
        <v>3842</v>
      </c>
      <c r="D678" s="108" t="s">
        <v>3835</v>
      </c>
      <c r="E678" s="108" t="s">
        <v>1342</v>
      </c>
      <c r="F678" s="139">
        <v>3518560</v>
      </c>
      <c r="G678" s="152" t="s">
        <v>3836</v>
      </c>
      <c r="H678" s="132" t="s">
        <v>3837</v>
      </c>
      <c r="I678" s="181"/>
      <c r="J678" s="154"/>
      <c r="K678" s="154"/>
      <c r="L678" s="154"/>
      <c r="M678" s="154" t="s">
        <v>3838</v>
      </c>
      <c r="N678" s="143"/>
      <c r="O678" s="138"/>
      <c r="P678" s="105"/>
      <c r="Q678" s="137"/>
      <c r="R678" s="138"/>
      <c r="S678" s="105"/>
      <c r="T678" s="105">
        <v>36</v>
      </c>
      <c r="U678" s="105"/>
      <c r="V678" s="137"/>
      <c r="W678" s="138"/>
      <c r="X678" s="137"/>
      <c r="Y678" s="138"/>
      <c r="Z678" s="105"/>
      <c r="AA678" s="105">
        <v>44</v>
      </c>
      <c r="AB678" s="105"/>
      <c r="AC678" s="105"/>
      <c r="AD678" s="144">
        <v>40634</v>
      </c>
      <c r="AE678" s="108" t="s">
        <v>1343</v>
      </c>
    </row>
    <row r="679" spans="1:31" s="65" customFormat="1" ht="27" customHeight="1" x14ac:dyDescent="0.15">
      <c r="A679" s="132">
        <v>1112100340</v>
      </c>
      <c r="B679" s="130" t="s">
        <v>2122</v>
      </c>
      <c r="C679" s="108" t="s">
        <v>2249</v>
      </c>
      <c r="D679" s="108" t="s">
        <v>2250</v>
      </c>
      <c r="E679" s="108" t="s">
        <v>6810</v>
      </c>
      <c r="F679" s="131" t="s">
        <v>2251</v>
      </c>
      <c r="G679" s="132" t="s">
        <v>2252</v>
      </c>
      <c r="H679" s="132" t="s">
        <v>2253</v>
      </c>
      <c r="I679" s="133"/>
      <c r="J679" s="134"/>
      <c r="K679" s="134"/>
      <c r="L679" s="134" t="s">
        <v>49</v>
      </c>
      <c r="M679" s="134" t="s">
        <v>49</v>
      </c>
      <c r="N679" s="135" t="s">
        <v>49</v>
      </c>
      <c r="O679" s="136" t="s">
        <v>49</v>
      </c>
      <c r="P679" s="105"/>
      <c r="Q679" s="152"/>
      <c r="R679" s="138"/>
      <c r="S679" s="132"/>
      <c r="T679" s="105"/>
      <c r="U679" s="132"/>
      <c r="V679" s="116"/>
      <c r="W679" s="117"/>
      <c r="X679" s="152">
        <v>20</v>
      </c>
      <c r="Y679" s="136"/>
      <c r="Z679" s="132"/>
      <c r="AA679" s="132"/>
      <c r="AB679" s="132"/>
      <c r="AC679" s="132"/>
      <c r="AD679" s="155">
        <v>41518</v>
      </c>
      <c r="AE679" s="108" t="s">
        <v>2254</v>
      </c>
    </row>
    <row r="680" spans="1:31" s="65" customFormat="1" ht="27" customHeight="1" x14ac:dyDescent="0.15">
      <c r="A680" s="105">
        <v>1112100340</v>
      </c>
      <c r="B680" s="130" t="s">
        <v>2311</v>
      </c>
      <c r="C680" s="108" t="s">
        <v>4685</v>
      </c>
      <c r="D680" s="108" t="s">
        <v>2250</v>
      </c>
      <c r="E680" s="108" t="s">
        <v>6810</v>
      </c>
      <c r="F680" s="131" t="s">
        <v>2251</v>
      </c>
      <c r="G680" s="132" t="s">
        <v>2252</v>
      </c>
      <c r="H680" s="132" t="s">
        <v>2253</v>
      </c>
      <c r="I680" s="133"/>
      <c r="J680" s="134"/>
      <c r="K680" s="134"/>
      <c r="L680" s="134" t="s">
        <v>49</v>
      </c>
      <c r="M680" s="134" t="s">
        <v>49</v>
      </c>
      <c r="N680" s="135" t="s">
        <v>49</v>
      </c>
      <c r="O680" s="136" t="s">
        <v>49</v>
      </c>
      <c r="P680" s="105"/>
      <c r="Q680" s="137"/>
      <c r="R680" s="138"/>
      <c r="S680" s="105"/>
      <c r="T680" s="105"/>
      <c r="U680" s="105"/>
      <c r="V680" s="137"/>
      <c r="W680" s="138"/>
      <c r="X680" s="137"/>
      <c r="Y680" s="138"/>
      <c r="Z680" s="105"/>
      <c r="AA680" s="105"/>
      <c r="AB680" s="105" t="s">
        <v>49</v>
      </c>
      <c r="AC680" s="105"/>
      <c r="AD680" s="118">
        <v>43374</v>
      </c>
      <c r="AE680" s="108" t="s">
        <v>4687</v>
      </c>
    </row>
    <row r="681" spans="1:31" s="65" customFormat="1" ht="27" customHeight="1" x14ac:dyDescent="0.15">
      <c r="A681" s="132">
        <v>1112100357</v>
      </c>
      <c r="B681" s="130" t="s">
        <v>2786</v>
      </c>
      <c r="C681" s="108" t="s">
        <v>2787</v>
      </c>
      <c r="D681" s="108" t="s">
        <v>2250</v>
      </c>
      <c r="E681" s="108" t="s">
        <v>2788</v>
      </c>
      <c r="F681" s="131" t="s">
        <v>2789</v>
      </c>
      <c r="G681" s="132" t="s">
        <v>2790</v>
      </c>
      <c r="H681" s="132" t="s">
        <v>2790</v>
      </c>
      <c r="I681" s="133"/>
      <c r="J681" s="134"/>
      <c r="K681" s="134"/>
      <c r="L681" s="134"/>
      <c r="M681" s="134"/>
      <c r="N681" s="135" t="s">
        <v>2784</v>
      </c>
      <c r="O681" s="136"/>
      <c r="P681" s="105"/>
      <c r="Q681" s="152"/>
      <c r="R681" s="138"/>
      <c r="S681" s="132"/>
      <c r="T681" s="105"/>
      <c r="U681" s="132"/>
      <c r="V681" s="137">
        <v>20</v>
      </c>
      <c r="W681" s="138"/>
      <c r="X681" s="152"/>
      <c r="Y681" s="136"/>
      <c r="Z681" s="132"/>
      <c r="AA681" s="132"/>
      <c r="AB681" s="132"/>
      <c r="AC681" s="132"/>
      <c r="AD681" s="155">
        <v>42064</v>
      </c>
      <c r="AE681" s="108" t="s">
        <v>2791</v>
      </c>
    </row>
    <row r="682" spans="1:31" s="65" customFormat="1" ht="27" customHeight="1" x14ac:dyDescent="0.15">
      <c r="A682" s="150">
        <v>1112100415</v>
      </c>
      <c r="B682" s="130" t="s">
        <v>3333</v>
      </c>
      <c r="C682" s="107" t="s">
        <v>3334</v>
      </c>
      <c r="D682" s="108" t="s">
        <v>3331</v>
      </c>
      <c r="E682" s="108" t="s">
        <v>3335</v>
      </c>
      <c r="F682" s="139" t="s">
        <v>3336</v>
      </c>
      <c r="G682" s="152" t="s">
        <v>3377</v>
      </c>
      <c r="H682" s="132" t="s">
        <v>3378</v>
      </c>
      <c r="I682" s="116"/>
      <c r="J682" s="154"/>
      <c r="K682" s="154"/>
      <c r="L682" s="154"/>
      <c r="M682" s="154" t="s">
        <v>3332</v>
      </c>
      <c r="N682" s="143"/>
      <c r="O682" s="138"/>
      <c r="P682" s="105"/>
      <c r="Q682" s="137"/>
      <c r="R682" s="138"/>
      <c r="S682" s="105"/>
      <c r="T682" s="105">
        <v>15</v>
      </c>
      <c r="U682" s="105"/>
      <c r="V682" s="137"/>
      <c r="W682" s="138"/>
      <c r="X682" s="137">
        <v>8</v>
      </c>
      <c r="Y682" s="138"/>
      <c r="Z682" s="105"/>
      <c r="AA682" s="105">
        <v>37</v>
      </c>
      <c r="AB682" s="105"/>
      <c r="AC682" s="105"/>
      <c r="AD682" s="144">
        <v>42461</v>
      </c>
      <c r="AE682" s="108" t="s">
        <v>1344</v>
      </c>
    </row>
    <row r="683" spans="1:31" ht="27" customHeight="1" x14ac:dyDescent="0.15">
      <c r="A683" s="150">
        <v>1112100449</v>
      </c>
      <c r="B683" s="130" t="s">
        <v>3888</v>
      </c>
      <c r="C683" s="107" t="s">
        <v>3889</v>
      </c>
      <c r="D683" s="108" t="s">
        <v>3890</v>
      </c>
      <c r="E683" s="108" t="s">
        <v>3891</v>
      </c>
      <c r="F683" s="139">
        <v>3510015</v>
      </c>
      <c r="G683" s="152" t="s">
        <v>7865</v>
      </c>
      <c r="H683" s="132" t="s">
        <v>7865</v>
      </c>
      <c r="I683" s="181"/>
      <c r="J683" s="154"/>
      <c r="K683" s="154"/>
      <c r="L683" s="154"/>
      <c r="M683" s="154"/>
      <c r="N683" s="143" t="s">
        <v>3892</v>
      </c>
      <c r="O683" s="138"/>
      <c r="P683" s="105"/>
      <c r="Q683" s="137"/>
      <c r="R683" s="138"/>
      <c r="S683" s="105"/>
      <c r="T683" s="105"/>
      <c r="U683" s="105"/>
      <c r="V683" s="137"/>
      <c r="W683" s="138"/>
      <c r="X683" s="137">
        <v>6</v>
      </c>
      <c r="Y683" s="138"/>
      <c r="Z683" s="105"/>
      <c r="AA683" s="105">
        <v>14</v>
      </c>
      <c r="AB683" s="105"/>
      <c r="AC683" s="105"/>
      <c r="AD683" s="144">
        <v>42856</v>
      </c>
      <c r="AE683" s="108" t="s">
        <v>3893</v>
      </c>
    </row>
    <row r="684" spans="1:31" s="65" customFormat="1" ht="27" customHeight="1" x14ac:dyDescent="0.15">
      <c r="A684" s="150">
        <v>1112100464</v>
      </c>
      <c r="B684" s="130" t="s">
        <v>3953</v>
      </c>
      <c r="C684" s="107" t="s">
        <v>3954</v>
      </c>
      <c r="D684" s="108" t="s">
        <v>5503</v>
      </c>
      <c r="E684" s="108" t="s">
        <v>3955</v>
      </c>
      <c r="F684" s="139">
        <v>3510031</v>
      </c>
      <c r="G684" s="152" t="s">
        <v>5504</v>
      </c>
      <c r="H684" s="132" t="s">
        <v>5505</v>
      </c>
      <c r="I684" s="133" t="s">
        <v>5506</v>
      </c>
      <c r="J684" s="154"/>
      <c r="K684" s="154"/>
      <c r="L684" s="154"/>
      <c r="M684" s="134" t="s">
        <v>5506</v>
      </c>
      <c r="N684" s="135" t="s">
        <v>5506</v>
      </c>
      <c r="O684" s="138"/>
      <c r="P684" s="105"/>
      <c r="Q684" s="137"/>
      <c r="R684" s="138"/>
      <c r="S684" s="105"/>
      <c r="T684" s="105">
        <v>20</v>
      </c>
      <c r="U684" s="105"/>
      <c r="V684" s="137"/>
      <c r="W684" s="138"/>
      <c r="X684" s="137"/>
      <c r="Y684" s="138"/>
      <c r="Z684" s="105"/>
      <c r="AA684" s="105">
        <v>21</v>
      </c>
      <c r="AB684" s="105"/>
      <c r="AC684" s="105"/>
      <c r="AD684" s="118">
        <v>42917</v>
      </c>
      <c r="AE684" s="108" t="s">
        <v>3956</v>
      </c>
    </row>
    <row r="685" spans="1:31" s="65" customFormat="1" ht="27" customHeight="1" x14ac:dyDescent="0.15">
      <c r="A685" s="105">
        <v>1112100480</v>
      </c>
      <c r="B685" s="106" t="s">
        <v>4308</v>
      </c>
      <c r="C685" s="107" t="s">
        <v>4309</v>
      </c>
      <c r="D685" s="108" t="s">
        <v>2250</v>
      </c>
      <c r="E685" s="108" t="s">
        <v>4310</v>
      </c>
      <c r="F685" s="139" t="s">
        <v>4311</v>
      </c>
      <c r="G685" s="140" t="s">
        <v>4312</v>
      </c>
      <c r="H685" s="140" t="s">
        <v>4312</v>
      </c>
      <c r="I685" s="142"/>
      <c r="J685" s="142"/>
      <c r="K685" s="142"/>
      <c r="L685" s="142"/>
      <c r="M685" s="142" t="s">
        <v>4313</v>
      </c>
      <c r="N685" s="142"/>
      <c r="O685" s="142"/>
      <c r="P685" s="105"/>
      <c r="Q685" s="137"/>
      <c r="R685" s="138"/>
      <c r="S685" s="105"/>
      <c r="T685" s="105">
        <v>20</v>
      </c>
      <c r="U685" s="105"/>
      <c r="V685" s="137"/>
      <c r="W685" s="138"/>
      <c r="X685" s="137"/>
      <c r="Y685" s="138"/>
      <c r="Z685" s="105"/>
      <c r="AA685" s="105"/>
      <c r="AB685" s="105"/>
      <c r="AC685" s="105"/>
      <c r="AD685" s="144">
        <v>43191</v>
      </c>
      <c r="AE685" s="108" t="s">
        <v>4314</v>
      </c>
    </row>
    <row r="686" spans="1:31" s="65" customFormat="1" ht="27" customHeight="1" x14ac:dyDescent="0.15">
      <c r="A686" s="105">
        <v>1112100555</v>
      </c>
      <c r="B686" s="130" t="s">
        <v>4828</v>
      </c>
      <c r="C686" s="108" t="s">
        <v>4829</v>
      </c>
      <c r="D686" s="108" t="s">
        <v>3814</v>
      </c>
      <c r="E686" s="108" t="s">
        <v>4830</v>
      </c>
      <c r="F686" s="131" t="s">
        <v>4831</v>
      </c>
      <c r="G686" s="132" t="s">
        <v>4832</v>
      </c>
      <c r="H686" s="132" t="s">
        <v>4833</v>
      </c>
      <c r="I686" s="133"/>
      <c r="J686" s="134"/>
      <c r="K686" s="134"/>
      <c r="L686" s="134"/>
      <c r="M686" s="134"/>
      <c r="N686" s="135" t="s">
        <v>49</v>
      </c>
      <c r="O686" s="136"/>
      <c r="P686" s="132"/>
      <c r="Q686" s="152"/>
      <c r="R686" s="136"/>
      <c r="S686" s="132"/>
      <c r="T686" s="105"/>
      <c r="U686" s="132"/>
      <c r="V686" s="152">
        <v>10</v>
      </c>
      <c r="W686" s="136"/>
      <c r="X686" s="152"/>
      <c r="Y686" s="136"/>
      <c r="Z686" s="132"/>
      <c r="AA686" s="132">
        <v>10</v>
      </c>
      <c r="AB686" s="132"/>
      <c r="AC686" s="132"/>
      <c r="AD686" s="118">
        <v>43435</v>
      </c>
      <c r="AE686" s="108" t="s">
        <v>4834</v>
      </c>
    </row>
    <row r="687" spans="1:31" s="302" customFormat="1" ht="27" customHeight="1" x14ac:dyDescent="0.15">
      <c r="A687" s="105">
        <v>1112100589</v>
      </c>
      <c r="B687" s="130" t="s">
        <v>5381</v>
      </c>
      <c r="C687" s="108" t="s">
        <v>5382</v>
      </c>
      <c r="D687" s="108" t="s">
        <v>2250</v>
      </c>
      <c r="E687" s="108" t="s">
        <v>4878</v>
      </c>
      <c r="F687" s="131" t="s">
        <v>4879</v>
      </c>
      <c r="G687" s="132" t="s">
        <v>4880</v>
      </c>
      <c r="H687" s="132" t="s">
        <v>4881</v>
      </c>
      <c r="I687" s="133"/>
      <c r="J687" s="134" t="s">
        <v>49</v>
      </c>
      <c r="K687" s="134" t="s">
        <v>49</v>
      </c>
      <c r="L687" s="134" t="s">
        <v>49</v>
      </c>
      <c r="M687" s="134" t="s">
        <v>49</v>
      </c>
      <c r="N687" s="134" t="s">
        <v>49</v>
      </c>
      <c r="O687" s="134" t="s">
        <v>49</v>
      </c>
      <c r="P687" s="105"/>
      <c r="Q687" s="137"/>
      <c r="R687" s="138"/>
      <c r="S687" s="105"/>
      <c r="T687" s="105"/>
      <c r="U687" s="105"/>
      <c r="V687" s="137"/>
      <c r="W687" s="138"/>
      <c r="X687" s="137">
        <v>18</v>
      </c>
      <c r="Y687" s="138"/>
      <c r="Z687" s="105"/>
      <c r="AA687" s="105"/>
      <c r="AB687" s="105"/>
      <c r="AC687" s="105"/>
      <c r="AD687" s="118">
        <v>43497</v>
      </c>
      <c r="AE687" s="108" t="s">
        <v>4882</v>
      </c>
    </row>
    <row r="688" spans="1:31" ht="27" customHeight="1" x14ac:dyDescent="0.15">
      <c r="A688" s="105">
        <v>1112100589</v>
      </c>
      <c r="B688" s="130" t="s">
        <v>5381</v>
      </c>
      <c r="C688" s="108" t="s">
        <v>5382</v>
      </c>
      <c r="D688" s="108" t="s">
        <v>2250</v>
      </c>
      <c r="E688" s="108" t="s">
        <v>4878</v>
      </c>
      <c r="F688" s="131" t="s">
        <v>4879</v>
      </c>
      <c r="G688" s="132" t="s">
        <v>4880</v>
      </c>
      <c r="H688" s="132" t="s">
        <v>4881</v>
      </c>
      <c r="I688" s="133"/>
      <c r="J688" s="134" t="s">
        <v>49</v>
      </c>
      <c r="K688" s="134" t="s">
        <v>49</v>
      </c>
      <c r="L688" s="134" t="s">
        <v>49</v>
      </c>
      <c r="M688" s="134" t="s">
        <v>49</v>
      </c>
      <c r="N688" s="134" t="s">
        <v>49</v>
      </c>
      <c r="O688" s="134" t="s">
        <v>49</v>
      </c>
      <c r="P688" s="105"/>
      <c r="Q688" s="137"/>
      <c r="R688" s="138"/>
      <c r="S688" s="105"/>
      <c r="T688" s="105"/>
      <c r="U688" s="105"/>
      <c r="V688" s="137"/>
      <c r="W688" s="138"/>
      <c r="X688" s="137"/>
      <c r="Y688" s="138"/>
      <c r="Z688" s="105"/>
      <c r="AA688" s="105"/>
      <c r="AB688" s="118" t="s">
        <v>4614</v>
      </c>
      <c r="AC688" s="118"/>
      <c r="AD688" s="155">
        <v>44075</v>
      </c>
      <c r="AE688" s="108" t="s">
        <v>4882</v>
      </c>
    </row>
    <row r="689" spans="1:31" s="65" customFormat="1" ht="27" customHeight="1" x14ac:dyDescent="0.15">
      <c r="A689" s="105">
        <v>1112100647</v>
      </c>
      <c r="B689" s="130" t="s">
        <v>5897</v>
      </c>
      <c r="C689" s="107" t="s">
        <v>5898</v>
      </c>
      <c r="D689" s="108" t="s">
        <v>2250</v>
      </c>
      <c r="E689" s="108" t="s">
        <v>7255</v>
      </c>
      <c r="F689" s="139" t="s">
        <v>5899</v>
      </c>
      <c r="G689" s="140" t="s">
        <v>5900</v>
      </c>
      <c r="H689" s="140" t="s">
        <v>5901</v>
      </c>
      <c r="I689" s="141"/>
      <c r="J689" s="134" t="s">
        <v>765</v>
      </c>
      <c r="K689" s="134" t="s">
        <v>765</v>
      </c>
      <c r="L689" s="134" t="s">
        <v>765</v>
      </c>
      <c r="M689" s="134" t="s">
        <v>765</v>
      </c>
      <c r="N689" s="135" t="s">
        <v>765</v>
      </c>
      <c r="O689" s="136" t="s">
        <v>765</v>
      </c>
      <c r="P689" s="105"/>
      <c r="Q689" s="137"/>
      <c r="R689" s="138"/>
      <c r="S689" s="105"/>
      <c r="T689" s="105"/>
      <c r="U689" s="105"/>
      <c r="V689" s="116"/>
      <c r="W689" s="117"/>
      <c r="X689" s="137">
        <v>18</v>
      </c>
      <c r="Y689" s="138"/>
      <c r="Z689" s="105"/>
      <c r="AA689" s="105"/>
      <c r="AB689" s="105"/>
      <c r="AC689" s="105"/>
      <c r="AD689" s="144">
        <v>43952</v>
      </c>
      <c r="AE689" s="108" t="s">
        <v>5902</v>
      </c>
    </row>
    <row r="690" spans="1:31" s="65" customFormat="1" ht="27" customHeight="1" x14ac:dyDescent="0.15">
      <c r="A690" s="105">
        <v>1112100647</v>
      </c>
      <c r="B690" s="130" t="s">
        <v>5897</v>
      </c>
      <c r="C690" s="107" t="s">
        <v>5898</v>
      </c>
      <c r="D690" s="108" t="s">
        <v>2250</v>
      </c>
      <c r="E690" s="108" t="s">
        <v>7255</v>
      </c>
      <c r="F690" s="139" t="s">
        <v>5899</v>
      </c>
      <c r="G690" s="140" t="s">
        <v>5900</v>
      </c>
      <c r="H690" s="140" t="s">
        <v>5901</v>
      </c>
      <c r="I690" s="141"/>
      <c r="J690" s="134" t="s">
        <v>765</v>
      </c>
      <c r="K690" s="134" t="s">
        <v>765</v>
      </c>
      <c r="L690" s="134" t="s">
        <v>765</v>
      </c>
      <c r="M690" s="134" t="s">
        <v>765</v>
      </c>
      <c r="N690" s="135" t="s">
        <v>765</v>
      </c>
      <c r="O690" s="136" t="s">
        <v>765</v>
      </c>
      <c r="P690" s="105"/>
      <c r="Q690" s="137"/>
      <c r="R690" s="138"/>
      <c r="S690" s="105"/>
      <c r="T690" s="105"/>
      <c r="U690" s="105"/>
      <c r="V690" s="116"/>
      <c r="W690" s="117"/>
      <c r="X690" s="137"/>
      <c r="Y690" s="138"/>
      <c r="Z690" s="105"/>
      <c r="AA690" s="105"/>
      <c r="AB690" s="105" t="s">
        <v>49</v>
      </c>
      <c r="AC690" s="105"/>
      <c r="AD690" s="144">
        <v>44531</v>
      </c>
      <c r="AE690" s="108" t="s">
        <v>5902</v>
      </c>
    </row>
    <row r="691" spans="1:31" s="65" customFormat="1" ht="27" customHeight="1" x14ac:dyDescent="0.15">
      <c r="A691" s="105">
        <v>1112100662</v>
      </c>
      <c r="B691" s="130" t="s">
        <v>9493</v>
      </c>
      <c r="C691" s="108" t="s">
        <v>10329</v>
      </c>
      <c r="D691" s="108" t="s">
        <v>2250</v>
      </c>
      <c r="E691" s="108" t="s">
        <v>6292</v>
      </c>
      <c r="F691" s="131">
        <v>3510006</v>
      </c>
      <c r="G691" s="132" t="s">
        <v>6293</v>
      </c>
      <c r="H691" s="132" t="s">
        <v>6294</v>
      </c>
      <c r="I691" s="116" t="s">
        <v>765</v>
      </c>
      <c r="J691" s="154" t="s">
        <v>765</v>
      </c>
      <c r="K691" s="154" t="s">
        <v>765</v>
      </c>
      <c r="L691" s="154" t="s">
        <v>765</v>
      </c>
      <c r="M691" s="154" t="s">
        <v>765</v>
      </c>
      <c r="N691" s="154" t="s">
        <v>765</v>
      </c>
      <c r="O691" s="138" t="s">
        <v>765</v>
      </c>
      <c r="P691" s="105"/>
      <c r="Q691" s="137"/>
      <c r="R691" s="138"/>
      <c r="S691" s="105"/>
      <c r="T691" s="105"/>
      <c r="U691" s="105"/>
      <c r="V691" s="137"/>
      <c r="W691" s="138"/>
      <c r="X691" s="137"/>
      <c r="Y691" s="138"/>
      <c r="Z691" s="105"/>
      <c r="AA691" s="105">
        <v>20</v>
      </c>
      <c r="AB691" s="105"/>
      <c r="AC691" s="105"/>
      <c r="AD691" s="155">
        <v>44105</v>
      </c>
      <c r="AE691" s="108" t="s">
        <v>6295</v>
      </c>
    </row>
    <row r="692" spans="1:31" s="65" customFormat="1" ht="27" customHeight="1" x14ac:dyDescent="0.15">
      <c r="A692" s="105">
        <v>1112100688</v>
      </c>
      <c r="B692" s="130" t="s">
        <v>6553</v>
      </c>
      <c r="C692" s="108" t="s">
        <v>6441</v>
      </c>
      <c r="D692" s="108" t="s">
        <v>2250</v>
      </c>
      <c r="E692" s="108" t="s">
        <v>6442</v>
      </c>
      <c r="F692" s="131" t="s">
        <v>2251</v>
      </c>
      <c r="G692" s="132" t="s">
        <v>6443</v>
      </c>
      <c r="H692" s="132" t="s">
        <v>6554</v>
      </c>
      <c r="I692" s="133"/>
      <c r="J692" s="134" t="s">
        <v>765</v>
      </c>
      <c r="K692" s="134" t="s">
        <v>765</v>
      </c>
      <c r="L692" s="134" t="s">
        <v>765</v>
      </c>
      <c r="M692" s="134" t="s">
        <v>765</v>
      </c>
      <c r="N692" s="135" t="s">
        <v>765</v>
      </c>
      <c r="O692" s="136" t="s">
        <v>765</v>
      </c>
      <c r="P692" s="105"/>
      <c r="Q692" s="137"/>
      <c r="R692" s="138"/>
      <c r="S692" s="105"/>
      <c r="T692" s="105">
        <v>40</v>
      </c>
      <c r="U692" s="105"/>
      <c r="V692" s="137"/>
      <c r="W692" s="138"/>
      <c r="X692" s="152"/>
      <c r="Y692" s="138"/>
      <c r="Z692" s="105"/>
      <c r="AA692" s="105"/>
      <c r="AB692" s="105"/>
      <c r="AC692" s="105"/>
      <c r="AD692" s="118">
        <v>44197</v>
      </c>
      <c r="AE692" s="108" t="s">
        <v>6445</v>
      </c>
    </row>
    <row r="693" spans="1:31" s="65" customFormat="1" ht="27" customHeight="1" x14ac:dyDescent="0.15">
      <c r="A693" s="105">
        <v>1112100738</v>
      </c>
      <c r="B693" s="130" t="s">
        <v>8487</v>
      </c>
      <c r="C693" s="108" t="s">
        <v>8488</v>
      </c>
      <c r="D693" s="108" t="s">
        <v>2250</v>
      </c>
      <c r="E693" s="108" t="s">
        <v>8489</v>
      </c>
      <c r="F693" s="131" t="s">
        <v>8490</v>
      </c>
      <c r="G693" s="132" t="s">
        <v>8491</v>
      </c>
      <c r="H693" s="132" t="s">
        <v>8492</v>
      </c>
      <c r="I693" s="116" t="s">
        <v>765</v>
      </c>
      <c r="J693" s="154" t="s">
        <v>765</v>
      </c>
      <c r="K693" s="154" t="s">
        <v>765</v>
      </c>
      <c r="L693" s="154" t="s">
        <v>765</v>
      </c>
      <c r="M693" s="154" t="s">
        <v>765</v>
      </c>
      <c r="N693" s="154" t="s">
        <v>765</v>
      </c>
      <c r="O693" s="136"/>
      <c r="P693" s="105"/>
      <c r="Q693" s="137"/>
      <c r="R693" s="138"/>
      <c r="S693" s="105"/>
      <c r="T693" s="105">
        <v>20</v>
      </c>
      <c r="U693" s="105"/>
      <c r="V693" s="137"/>
      <c r="W693" s="138"/>
      <c r="X693" s="152"/>
      <c r="Y693" s="138"/>
      <c r="Z693" s="105"/>
      <c r="AA693" s="105"/>
      <c r="AB693" s="105"/>
      <c r="AC693" s="105"/>
      <c r="AD693" s="118">
        <v>45047</v>
      </c>
      <c r="AE693" s="108" t="s">
        <v>8493</v>
      </c>
    </row>
    <row r="694" spans="1:31" s="65" customFormat="1" ht="27" customHeight="1" x14ac:dyDescent="0.15">
      <c r="A694" s="150">
        <v>1112200041</v>
      </c>
      <c r="B694" s="106" t="s">
        <v>874</v>
      </c>
      <c r="C694" s="107" t="s">
        <v>893</v>
      </c>
      <c r="D694" s="108" t="s">
        <v>894</v>
      </c>
      <c r="E694" s="108" t="s">
        <v>918</v>
      </c>
      <c r="F694" s="230">
        <v>3530003</v>
      </c>
      <c r="G694" s="132" t="s">
        <v>919</v>
      </c>
      <c r="H694" s="132" t="s">
        <v>920</v>
      </c>
      <c r="I694" s="116"/>
      <c r="J694" s="154"/>
      <c r="K694" s="154"/>
      <c r="L694" s="154"/>
      <c r="M694" s="154" t="s">
        <v>977</v>
      </c>
      <c r="N694" s="143"/>
      <c r="O694" s="138"/>
      <c r="P694" s="105"/>
      <c r="Q694" s="137"/>
      <c r="R694" s="138"/>
      <c r="S694" s="105"/>
      <c r="T694" s="105">
        <v>40</v>
      </c>
      <c r="U694" s="105"/>
      <c r="V694" s="137"/>
      <c r="W694" s="138"/>
      <c r="X694" s="137"/>
      <c r="Y694" s="138"/>
      <c r="Z694" s="105"/>
      <c r="AA694" s="105"/>
      <c r="AB694" s="105"/>
      <c r="AC694" s="105"/>
      <c r="AD694" s="118">
        <v>40269</v>
      </c>
      <c r="AE694" s="108" t="s">
        <v>980</v>
      </c>
    </row>
    <row r="695" spans="1:31" ht="27" customHeight="1" x14ac:dyDescent="0.15">
      <c r="A695" s="105">
        <v>1112200074</v>
      </c>
      <c r="B695" s="130" t="s">
        <v>502</v>
      </c>
      <c r="C695" s="108" t="s">
        <v>539</v>
      </c>
      <c r="D695" s="108" t="s">
        <v>77</v>
      </c>
      <c r="E695" s="108" t="s">
        <v>2227</v>
      </c>
      <c r="F695" s="131">
        <v>3530004</v>
      </c>
      <c r="G695" s="132" t="s">
        <v>637</v>
      </c>
      <c r="H695" s="132" t="s">
        <v>2099</v>
      </c>
      <c r="I695" s="133"/>
      <c r="J695" s="134"/>
      <c r="K695" s="134"/>
      <c r="L695" s="134"/>
      <c r="M695" s="134"/>
      <c r="N695" s="135" t="s">
        <v>254</v>
      </c>
      <c r="O695" s="136"/>
      <c r="P695" s="105"/>
      <c r="Q695" s="137"/>
      <c r="R695" s="138"/>
      <c r="S695" s="105"/>
      <c r="T695" s="105"/>
      <c r="U695" s="105"/>
      <c r="V695" s="137"/>
      <c r="W695" s="138"/>
      <c r="X695" s="137"/>
      <c r="Y695" s="138"/>
      <c r="Z695" s="105"/>
      <c r="AA695" s="105">
        <v>20</v>
      </c>
      <c r="AB695" s="105"/>
      <c r="AC695" s="105"/>
      <c r="AD695" s="118">
        <v>39083</v>
      </c>
      <c r="AE695" s="108" t="s">
        <v>324</v>
      </c>
    </row>
    <row r="696" spans="1:31" ht="27" customHeight="1" x14ac:dyDescent="0.15">
      <c r="A696" s="105">
        <v>1112200090</v>
      </c>
      <c r="B696" s="130" t="s">
        <v>773</v>
      </c>
      <c r="C696" s="108" t="s">
        <v>12012</v>
      </c>
      <c r="D696" s="108" t="s">
        <v>77</v>
      </c>
      <c r="E696" s="108" t="s">
        <v>144</v>
      </c>
      <c r="F696" s="131">
        <v>3530001</v>
      </c>
      <c r="G696" s="132" t="s">
        <v>3160</v>
      </c>
      <c r="H696" s="132" t="s">
        <v>638</v>
      </c>
      <c r="I696" s="116" t="s">
        <v>3161</v>
      </c>
      <c r="J696" s="154" t="s">
        <v>3161</v>
      </c>
      <c r="K696" s="154" t="s">
        <v>3161</v>
      </c>
      <c r="L696" s="154" t="s">
        <v>3161</v>
      </c>
      <c r="M696" s="154" t="s">
        <v>3161</v>
      </c>
      <c r="N696" s="143" t="s">
        <v>3161</v>
      </c>
      <c r="O696" s="138" t="s">
        <v>3161</v>
      </c>
      <c r="P696" s="132"/>
      <c r="Q696" s="152"/>
      <c r="R696" s="136"/>
      <c r="S696" s="132"/>
      <c r="T696" s="105">
        <v>18</v>
      </c>
      <c r="U696" s="132"/>
      <c r="V696" s="152"/>
      <c r="W696" s="136"/>
      <c r="X696" s="152"/>
      <c r="Y696" s="136"/>
      <c r="Z696" s="132"/>
      <c r="AA696" s="105">
        <v>22</v>
      </c>
      <c r="AB696" s="105"/>
      <c r="AC696" s="105"/>
      <c r="AD696" s="155">
        <v>39539</v>
      </c>
      <c r="AE696" s="108" t="s">
        <v>1422</v>
      </c>
    </row>
    <row r="697" spans="1:31" s="65" customFormat="1" ht="27" customHeight="1" x14ac:dyDescent="0.15">
      <c r="A697" s="105">
        <v>1112200207</v>
      </c>
      <c r="B697" s="130" t="s">
        <v>2933</v>
      </c>
      <c r="C697" s="108" t="s">
        <v>2722</v>
      </c>
      <c r="D697" s="108" t="s">
        <v>77</v>
      </c>
      <c r="E697" s="108" t="s">
        <v>5235</v>
      </c>
      <c r="F697" s="131" t="s">
        <v>2723</v>
      </c>
      <c r="G697" s="132" t="s">
        <v>2099</v>
      </c>
      <c r="H697" s="132" t="s">
        <v>5238</v>
      </c>
      <c r="I697" s="116"/>
      <c r="J697" s="154"/>
      <c r="K697" s="154"/>
      <c r="L697" s="154"/>
      <c r="M697" s="154"/>
      <c r="N697" s="143" t="s">
        <v>49</v>
      </c>
      <c r="O697" s="138"/>
      <c r="P697" s="132"/>
      <c r="Q697" s="152"/>
      <c r="R697" s="136"/>
      <c r="S697" s="132"/>
      <c r="T697" s="132"/>
      <c r="U697" s="132"/>
      <c r="V697" s="152"/>
      <c r="W697" s="136"/>
      <c r="X697" s="152"/>
      <c r="Y697" s="136"/>
      <c r="Z697" s="132"/>
      <c r="AA697" s="105">
        <v>20</v>
      </c>
      <c r="AB697" s="105"/>
      <c r="AC697" s="105"/>
      <c r="AD697" s="155">
        <v>41944</v>
      </c>
      <c r="AE697" s="108" t="s">
        <v>2724</v>
      </c>
    </row>
    <row r="698" spans="1:31" s="65" customFormat="1" ht="27" customHeight="1" x14ac:dyDescent="0.15">
      <c r="A698" s="105">
        <v>1112200207</v>
      </c>
      <c r="B698" s="130" t="s">
        <v>2933</v>
      </c>
      <c r="C698" s="108" t="s">
        <v>4697</v>
      </c>
      <c r="D698" s="108" t="s">
        <v>77</v>
      </c>
      <c r="E698" s="108" t="s">
        <v>5235</v>
      </c>
      <c r="F698" s="131" t="s">
        <v>4698</v>
      </c>
      <c r="G698" s="132" t="s">
        <v>5236</v>
      </c>
      <c r="H698" s="132" t="s">
        <v>5237</v>
      </c>
      <c r="I698" s="116"/>
      <c r="J698" s="154"/>
      <c r="K698" s="154"/>
      <c r="L698" s="154"/>
      <c r="M698" s="154"/>
      <c r="N698" s="143" t="s">
        <v>4699</v>
      </c>
      <c r="O698" s="138"/>
      <c r="P698" s="132"/>
      <c r="Q698" s="152"/>
      <c r="R698" s="136"/>
      <c r="S698" s="132"/>
      <c r="T698" s="132"/>
      <c r="U698" s="132"/>
      <c r="V698" s="152"/>
      <c r="W698" s="136"/>
      <c r="X698" s="137"/>
      <c r="Y698" s="138"/>
      <c r="Z698" s="105"/>
      <c r="AA698" s="105"/>
      <c r="AB698" s="105" t="s">
        <v>4699</v>
      </c>
      <c r="AC698" s="105"/>
      <c r="AD698" s="118">
        <v>43374</v>
      </c>
      <c r="AE698" s="108" t="s">
        <v>2724</v>
      </c>
    </row>
    <row r="699" spans="1:31" s="65" customFormat="1" ht="27" customHeight="1" x14ac:dyDescent="0.15">
      <c r="A699" s="105">
        <v>1112200272</v>
      </c>
      <c r="B699" s="130" t="s">
        <v>4051</v>
      </c>
      <c r="C699" s="108" t="s">
        <v>4040</v>
      </c>
      <c r="D699" s="108" t="s">
        <v>77</v>
      </c>
      <c r="E699" s="108" t="s">
        <v>4039</v>
      </c>
      <c r="F699" s="131" t="s">
        <v>4041</v>
      </c>
      <c r="G699" s="132" t="s">
        <v>4042</v>
      </c>
      <c r="H699" s="132" t="s">
        <v>4043</v>
      </c>
      <c r="I699" s="133" t="s">
        <v>49</v>
      </c>
      <c r="J699" s="134" t="s">
        <v>49</v>
      </c>
      <c r="K699" s="135" t="s">
        <v>49</v>
      </c>
      <c r="L699" s="134" t="s">
        <v>49</v>
      </c>
      <c r="M699" s="134" t="s">
        <v>49</v>
      </c>
      <c r="N699" s="135" t="s">
        <v>49</v>
      </c>
      <c r="O699" s="136" t="s">
        <v>49</v>
      </c>
      <c r="P699" s="105"/>
      <c r="Q699" s="137"/>
      <c r="R699" s="138"/>
      <c r="S699" s="105"/>
      <c r="T699" s="105"/>
      <c r="U699" s="105"/>
      <c r="V699" s="137"/>
      <c r="W699" s="138"/>
      <c r="X699" s="137"/>
      <c r="Y699" s="138"/>
      <c r="Z699" s="105"/>
      <c r="AA699" s="105">
        <v>20</v>
      </c>
      <c r="AB699" s="105"/>
      <c r="AC699" s="105"/>
      <c r="AD699" s="118">
        <v>43009</v>
      </c>
      <c r="AE699" s="108" t="s">
        <v>4248</v>
      </c>
    </row>
    <row r="700" spans="1:31" s="65" customFormat="1" ht="27" customHeight="1" x14ac:dyDescent="0.15">
      <c r="A700" s="105">
        <v>1112200280</v>
      </c>
      <c r="B700" s="130" t="s">
        <v>4207</v>
      </c>
      <c r="C700" s="108" t="s">
        <v>4208</v>
      </c>
      <c r="D700" s="108" t="s">
        <v>77</v>
      </c>
      <c r="E700" s="108" t="s">
        <v>4209</v>
      </c>
      <c r="F700" s="131" t="s">
        <v>4210</v>
      </c>
      <c r="G700" s="132" t="s">
        <v>4211</v>
      </c>
      <c r="H700" s="132" t="s">
        <v>4212</v>
      </c>
      <c r="I700" s="133"/>
      <c r="J700" s="134"/>
      <c r="K700" s="135"/>
      <c r="L700" s="134"/>
      <c r="M700" s="134" t="s">
        <v>49</v>
      </c>
      <c r="N700" s="135" t="s">
        <v>49</v>
      </c>
      <c r="O700" s="136"/>
      <c r="P700" s="105"/>
      <c r="Q700" s="137"/>
      <c r="R700" s="138"/>
      <c r="S700" s="105"/>
      <c r="T700" s="105"/>
      <c r="U700" s="105"/>
      <c r="V700" s="137"/>
      <c r="W700" s="138"/>
      <c r="X700" s="137">
        <v>10</v>
      </c>
      <c r="Y700" s="138"/>
      <c r="Z700" s="105"/>
      <c r="AA700" s="105">
        <v>10</v>
      </c>
      <c r="AB700" s="105"/>
      <c r="AC700" s="105"/>
      <c r="AD700" s="118">
        <v>43101</v>
      </c>
      <c r="AE700" s="108" t="s">
        <v>4213</v>
      </c>
    </row>
    <row r="701" spans="1:31" s="65" customFormat="1" ht="27" customHeight="1" x14ac:dyDescent="0.15">
      <c r="A701" s="105">
        <v>1112200280</v>
      </c>
      <c r="B701" s="130" t="s">
        <v>4207</v>
      </c>
      <c r="C701" s="108" t="s">
        <v>4208</v>
      </c>
      <c r="D701" s="108" t="s">
        <v>77</v>
      </c>
      <c r="E701" s="108" t="s">
        <v>4209</v>
      </c>
      <c r="F701" s="131" t="s">
        <v>5420</v>
      </c>
      <c r="G701" s="132" t="s">
        <v>5421</v>
      </c>
      <c r="H701" s="132" t="s">
        <v>5422</v>
      </c>
      <c r="I701" s="133"/>
      <c r="J701" s="134"/>
      <c r="K701" s="135"/>
      <c r="L701" s="134"/>
      <c r="M701" s="134" t="s">
        <v>5423</v>
      </c>
      <c r="N701" s="135" t="s">
        <v>5423</v>
      </c>
      <c r="O701" s="136"/>
      <c r="P701" s="105"/>
      <c r="Q701" s="137"/>
      <c r="R701" s="138"/>
      <c r="S701" s="105"/>
      <c r="T701" s="105"/>
      <c r="U701" s="105"/>
      <c r="V701" s="137"/>
      <c r="W701" s="138"/>
      <c r="X701" s="137"/>
      <c r="Y701" s="138"/>
      <c r="Z701" s="105"/>
      <c r="AA701" s="105"/>
      <c r="AB701" s="105" t="s">
        <v>5423</v>
      </c>
      <c r="AC701" s="105"/>
      <c r="AD701" s="144">
        <v>43770</v>
      </c>
      <c r="AE701" s="108" t="s">
        <v>4213</v>
      </c>
    </row>
    <row r="702" spans="1:31" s="65" customFormat="1" ht="27" customHeight="1" x14ac:dyDescent="0.15">
      <c r="A702" s="150">
        <v>1112200298</v>
      </c>
      <c r="B702" s="130" t="s">
        <v>4268</v>
      </c>
      <c r="C702" s="107" t="s">
        <v>4269</v>
      </c>
      <c r="D702" s="108" t="s">
        <v>77</v>
      </c>
      <c r="E702" s="108" t="s">
        <v>4270</v>
      </c>
      <c r="F702" s="139" t="s">
        <v>4041</v>
      </c>
      <c r="G702" s="152" t="s">
        <v>4271</v>
      </c>
      <c r="H702" s="132" t="s">
        <v>4272</v>
      </c>
      <c r="I702" s="133"/>
      <c r="J702" s="154"/>
      <c r="K702" s="154"/>
      <c r="L702" s="154"/>
      <c r="M702" s="134" t="s">
        <v>49</v>
      </c>
      <c r="N702" s="135"/>
      <c r="O702" s="138"/>
      <c r="P702" s="105"/>
      <c r="Q702" s="137"/>
      <c r="R702" s="138"/>
      <c r="S702" s="105"/>
      <c r="T702" s="105">
        <v>15</v>
      </c>
      <c r="U702" s="105"/>
      <c r="V702" s="137"/>
      <c r="W702" s="138"/>
      <c r="X702" s="137"/>
      <c r="Y702" s="138"/>
      <c r="Z702" s="105"/>
      <c r="AA702" s="105">
        <v>25</v>
      </c>
      <c r="AB702" s="105"/>
      <c r="AC702" s="105"/>
      <c r="AD702" s="118">
        <v>43160</v>
      </c>
      <c r="AE702" s="108" t="s">
        <v>4281</v>
      </c>
    </row>
    <row r="703" spans="1:31" ht="27" customHeight="1" x14ac:dyDescent="0.15">
      <c r="A703" s="105">
        <v>1112200348</v>
      </c>
      <c r="B703" s="213" t="s">
        <v>388</v>
      </c>
      <c r="C703" s="108" t="s">
        <v>5211</v>
      </c>
      <c r="D703" s="108" t="s">
        <v>77</v>
      </c>
      <c r="E703" s="108" t="s">
        <v>5212</v>
      </c>
      <c r="F703" s="131">
        <v>3530002</v>
      </c>
      <c r="G703" s="152" t="s">
        <v>5213</v>
      </c>
      <c r="H703" s="132" t="s">
        <v>5214</v>
      </c>
      <c r="I703" s="183"/>
      <c r="J703" s="134"/>
      <c r="K703" s="134"/>
      <c r="L703" s="134"/>
      <c r="M703" s="134" t="s">
        <v>5215</v>
      </c>
      <c r="N703" s="134" t="s">
        <v>5215</v>
      </c>
      <c r="O703" s="136"/>
      <c r="P703" s="105"/>
      <c r="Q703" s="137"/>
      <c r="R703" s="138"/>
      <c r="S703" s="105"/>
      <c r="T703" s="105">
        <v>20</v>
      </c>
      <c r="U703" s="105"/>
      <c r="V703" s="137"/>
      <c r="W703" s="138"/>
      <c r="X703" s="137"/>
      <c r="Y703" s="138"/>
      <c r="Z703" s="105"/>
      <c r="AA703" s="105">
        <v>10</v>
      </c>
      <c r="AB703" s="105"/>
      <c r="AC703" s="105"/>
      <c r="AD703" s="239">
        <v>43678</v>
      </c>
      <c r="AE703" s="108" t="s">
        <v>5216</v>
      </c>
    </row>
    <row r="704" spans="1:31" ht="27" customHeight="1" x14ac:dyDescent="0.15">
      <c r="A704" s="105">
        <v>1112200439</v>
      </c>
      <c r="B704" s="147" t="s">
        <v>11787</v>
      </c>
      <c r="C704" s="106" t="s">
        <v>10957</v>
      </c>
      <c r="D704" s="108" t="s">
        <v>77</v>
      </c>
      <c r="E704" s="108" t="s">
        <v>10958</v>
      </c>
      <c r="F704" s="131" t="s">
        <v>2723</v>
      </c>
      <c r="G704" s="132" t="s">
        <v>10959</v>
      </c>
      <c r="H704" s="132"/>
      <c r="I704" s="133"/>
      <c r="J704" s="134"/>
      <c r="K704" s="134"/>
      <c r="L704" s="134"/>
      <c r="M704" s="134" t="s">
        <v>765</v>
      </c>
      <c r="N704" s="135" t="s">
        <v>765</v>
      </c>
      <c r="O704" s="136" t="s">
        <v>765</v>
      </c>
      <c r="P704" s="105"/>
      <c r="Q704" s="137"/>
      <c r="R704" s="138"/>
      <c r="S704" s="105"/>
      <c r="T704" s="105"/>
      <c r="U704" s="105"/>
      <c r="V704" s="137"/>
      <c r="W704" s="138"/>
      <c r="X704" s="152">
        <v>10</v>
      </c>
      <c r="Y704" s="138"/>
      <c r="Z704" s="105"/>
      <c r="AA704" s="105"/>
      <c r="AB704" s="105"/>
      <c r="AC704" s="105"/>
      <c r="AD704" s="118">
        <v>45992</v>
      </c>
      <c r="AE704" s="108"/>
    </row>
    <row r="705" spans="1:31" s="65" customFormat="1" ht="27" customHeight="1" x14ac:dyDescent="0.15">
      <c r="A705" s="105">
        <v>1112200454</v>
      </c>
      <c r="B705" s="106" t="s">
        <v>11788</v>
      </c>
      <c r="C705" s="107" t="s">
        <v>11443</v>
      </c>
      <c r="D705" s="108" t="s">
        <v>11444</v>
      </c>
      <c r="E705" s="108" t="s">
        <v>11445</v>
      </c>
      <c r="F705" s="139" t="s">
        <v>11446</v>
      </c>
      <c r="G705" s="140" t="s">
        <v>11447</v>
      </c>
      <c r="H705" s="140"/>
      <c r="I705" s="141"/>
      <c r="J705" s="142"/>
      <c r="K705" s="142"/>
      <c r="L705" s="142"/>
      <c r="M705" s="142" t="s">
        <v>10951</v>
      </c>
      <c r="N705" s="143" t="s">
        <v>10951</v>
      </c>
      <c r="O705" s="138" t="s">
        <v>10951</v>
      </c>
      <c r="P705" s="105"/>
      <c r="Q705" s="137"/>
      <c r="R705" s="138"/>
      <c r="S705" s="105"/>
      <c r="T705" s="105"/>
      <c r="U705" s="105"/>
      <c r="V705" s="137"/>
      <c r="W705" s="138"/>
      <c r="X705" s="137"/>
      <c r="Y705" s="138"/>
      <c r="Z705" s="105"/>
      <c r="AA705" s="105">
        <v>20</v>
      </c>
      <c r="AB705" s="105"/>
      <c r="AC705" s="105"/>
      <c r="AD705" s="144">
        <v>46143</v>
      </c>
      <c r="AE705" s="108" t="s">
        <v>11448</v>
      </c>
    </row>
    <row r="706" spans="1:31" s="65" customFormat="1" ht="27" customHeight="1" x14ac:dyDescent="0.15">
      <c r="A706" s="105">
        <v>1112200447</v>
      </c>
      <c r="B706" s="106" t="s">
        <v>11789</v>
      </c>
      <c r="C706" s="107" t="s">
        <v>11454</v>
      </c>
      <c r="D706" s="108" t="s">
        <v>77</v>
      </c>
      <c r="E706" s="108" t="s">
        <v>11455</v>
      </c>
      <c r="F706" s="139" t="s">
        <v>11456</v>
      </c>
      <c r="G706" s="140" t="s">
        <v>11457</v>
      </c>
      <c r="H706" s="140" t="s">
        <v>11458</v>
      </c>
      <c r="I706" s="141"/>
      <c r="J706" s="142"/>
      <c r="K706" s="142"/>
      <c r="L706" s="142"/>
      <c r="M706" s="142" t="s">
        <v>10951</v>
      </c>
      <c r="N706" s="143" t="s">
        <v>10951</v>
      </c>
      <c r="O706" s="138" t="s">
        <v>10951</v>
      </c>
      <c r="P706" s="105"/>
      <c r="Q706" s="137"/>
      <c r="R706" s="138"/>
      <c r="S706" s="105"/>
      <c r="T706" s="105"/>
      <c r="U706" s="105"/>
      <c r="V706" s="137"/>
      <c r="W706" s="138"/>
      <c r="X706" s="137"/>
      <c r="Y706" s="138"/>
      <c r="Z706" s="105"/>
      <c r="AA706" s="105">
        <v>20</v>
      </c>
      <c r="AB706" s="105"/>
      <c r="AC706" s="105"/>
      <c r="AD706" s="144">
        <v>46143</v>
      </c>
      <c r="AE706" s="108" t="s">
        <v>11459</v>
      </c>
    </row>
    <row r="707" spans="1:31" ht="27" customHeight="1" x14ac:dyDescent="0.15">
      <c r="A707" s="150">
        <v>1112300064</v>
      </c>
      <c r="B707" s="130" t="s">
        <v>1130</v>
      </c>
      <c r="C707" s="108" t="s">
        <v>1131</v>
      </c>
      <c r="D707" s="108" t="s">
        <v>1132</v>
      </c>
      <c r="E707" s="108" t="s">
        <v>1133</v>
      </c>
      <c r="F707" s="139">
        <v>3510104</v>
      </c>
      <c r="G707" s="132" t="s">
        <v>1134</v>
      </c>
      <c r="H707" s="132" t="s">
        <v>1135</v>
      </c>
      <c r="I707" s="116"/>
      <c r="J707" s="154"/>
      <c r="K707" s="154"/>
      <c r="L707" s="154"/>
      <c r="M707" s="154" t="s">
        <v>49</v>
      </c>
      <c r="N707" s="143"/>
      <c r="O707" s="138"/>
      <c r="P707" s="132">
        <v>50</v>
      </c>
      <c r="Q707" s="152"/>
      <c r="R707" s="138">
        <v>4</v>
      </c>
      <c r="S707" s="132"/>
      <c r="T707" s="132">
        <v>50</v>
      </c>
      <c r="U707" s="132"/>
      <c r="V707" s="152"/>
      <c r="W707" s="136"/>
      <c r="X707" s="152"/>
      <c r="Y707" s="136"/>
      <c r="Z707" s="132"/>
      <c r="AA707" s="105"/>
      <c r="AB707" s="105"/>
      <c r="AC707" s="105"/>
      <c r="AD707" s="155">
        <v>40634</v>
      </c>
      <c r="AE707" s="108" t="s">
        <v>1136</v>
      </c>
    </row>
    <row r="708" spans="1:31" ht="27" customHeight="1" x14ac:dyDescent="0.15">
      <c r="A708" s="105">
        <v>1112300551</v>
      </c>
      <c r="B708" s="106" t="s">
        <v>5865</v>
      </c>
      <c r="C708" s="107" t="s">
        <v>5866</v>
      </c>
      <c r="D708" s="108" t="s">
        <v>4101</v>
      </c>
      <c r="E708" s="108" t="s">
        <v>5867</v>
      </c>
      <c r="F708" s="139">
        <v>3510104</v>
      </c>
      <c r="G708" s="140" t="s">
        <v>5868</v>
      </c>
      <c r="H708" s="140" t="s">
        <v>5869</v>
      </c>
      <c r="I708" s="141"/>
      <c r="J708" s="142"/>
      <c r="K708" s="142"/>
      <c r="L708" s="142"/>
      <c r="M708" s="142" t="s">
        <v>765</v>
      </c>
      <c r="N708" s="143"/>
      <c r="O708" s="138"/>
      <c r="P708" s="105"/>
      <c r="Q708" s="137"/>
      <c r="R708" s="138"/>
      <c r="S708" s="105"/>
      <c r="T708" s="105"/>
      <c r="U708" s="105"/>
      <c r="V708" s="137"/>
      <c r="W708" s="138"/>
      <c r="X708" s="137"/>
      <c r="Y708" s="138"/>
      <c r="Z708" s="105"/>
      <c r="AA708" s="105">
        <v>55</v>
      </c>
      <c r="AB708" s="144"/>
      <c r="AC708" s="144"/>
      <c r="AD708" s="144">
        <v>43922</v>
      </c>
      <c r="AE708" s="108" t="s">
        <v>5870</v>
      </c>
    </row>
    <row r="709" spans="1:31" s="65" customFormat="1" ht="27" customHeight="1" x14ac:dyDescent="0.15">
      <c r="A709" s="105">
        <v>1112300569</v>
      </c>
      <c r="B709" s="106" t="s">
        <v>5865</v>
      </c>
      <c r="C709" s="107" t="s">
        <v>5871</v>
      </c>
      <c r="D709" s="108" t="s">
        <v>4101</v>
      </c>
      <c r="E709" s="108" t="s">
        <v>5867</v>
      </c>
      <c r="F709" s="139">
        <v>3510104</v>
      </c>
      <c r="G709" s="140" t="s">
        <v>5872</v>
      </c>
      <c r="H709" s="140" t="s">
        <v>5873</v>
      </c>
      <c r="I709" s="154" t="s">
        <v>765</v>
      </c>
      <c r="J709" s="154" t="s">
        <v>765</v>
      </c>
      <c r="K709" s="143" t="s">
        <v>765</v>
      </c>
      <c r="L709" s="154" t="s">
        <v>765</v>
      </c>
      <c r="M709" s="142"/>
      <c r="N709" s="143"/>
      <c r="O709" s="138"/>
      <c r="P709" s="105"/>
      <c r="Q709" s="137"/>
      <c r="R709" s="138"/>
      <c r="S709" s="105"/>
      <c r="T709" s="105">
        <v>16</v>
      </c>
      <c r="U709" s="105"/>
      <c r="V709" s="137"/>
      <c r="W709" s="138"/>
      <c r="X709" s="137"/>
      <c r="Y709" s="138"/>
      <c r="Z709" s="105"/>
      <c r="AA709" s="105"/>
      <c r="AB709" s="144"/>
      <c r="AC709" s="144"/>
      <c r="AD709" s="144">
        <v>43922</v>
      </c>
      <c r="AE709" s="108" t="s">
        <v>5870</v>
      </c>
    </row>
    <row r="710" spans="1:31" s="65" customFormat="1" ht="27" customHeight="1" x14ac:dyDescent="0.15">
      <c r="A710" s="105">
        <v>1112300577</v>
      </c>
      <c r="B710" s="106" t="s">
        <v>5932</v>
      </c>
      <c r="C710" s="107" t="s">
        <v>5933</v>
      </c>
      <c r="D710" s="108" t="s">
        <v>4101</v>
      </c>
      <c r="E710" s="108" t="s">
        <v>5934</v>
      </c>
      <c r="F710" s="139">
        <v>3510111</v>
      </c>
      <c r="G710" s="140" t="s">
        <v>5935</v>
      </c>
      <c r="H710" s="140" t="s">
        <v>5936</v>
      </c>
      <c r="I710" s="141"/>
      <c r="J710" s="142"/>
      <c r="K710" s="142"/>
      <c r="L710" s="142"/>
      <c r="M710" s="142" t="s">
        <v>765</v>
      </c>
      <c r="N710" s="143"/>
      <c r="O710" s="138"/>
      <c r="P710" s="105"/>
      <c r="Q710" s="137"/>
      <c r="R710" s="138"/>
      <c r="S710" s="105"/>
      <c r="T710" s="105">
        <v>25</v>
      </c>
      <c r="U710" s="105"/>
      <c r="V710" s="137"/>
      <c r="W710" s="138"/>
      <c r="X710" s="137"/>
      <c r="Y710" s="138"/>
      <c r="Z710" s="105"/>
      <c r="AA710" s="105"/>
      <c r="AB710" s="144"/>
      <c r="AC710" s="144"/>
      <c r="AD710" s="144">
        <v>43922</v>
      </c>
      <c r="AE710" s="303" t="s">
        <v>5937</v>
      </c>
    </row>
    <row r="711" spans="1:31" s="65" customFormat="1" ht="27" customHeight="1" x14ac:dyDescent="0.15">
      <c r="A711" s="150">
        <v>1112300445</v>
      </c>
      <c r="B711" s="130" t="s">
        <v>4873</v>
      </c>
      <c r="C711" s="108" t="s">
        <v>3389</v>
      </c>
      <c r="D711" s="108" t="s">
        <v>3390</v>
      </c>
      <c r="E711" s="108" t="s">
        <v>1594</v>
      </c>
      <c r="F711" s="139" t="s">
        <v>3391</v>
      </c>
      <c r="G711" s="132" t="s">
        <v>3392</v>
      </c>
      <c r="H711" s="132" t="s">
        <v>3393</v>
      </c>
      <c r="I711" s="116"/>
      <c r="J711" s="154"/>
      <c r="K711" s="154"/>
      <c r="L711" s="154"/>
      <c r="M711" s="154"/>
      <c r="N711" s="143" t="s">
        <v>3388</v>
      </c>
      <c r="O711" s="138"/>
      <c r="P711" s="132"/>
      <c r="Q711" s="152"/>
      <c r="R711" s="138"/>
      <c r="S711" s="132"/>
      <c r="T711" s="132"/>
      <c r="U711" s="132"/>
      <c r="V711" s="152"/>
      <c r="W711" s="136"/>
      <c r="X711" s="152"/>
      <c r="Y711" s="136"/>
      <c r="Z711" s="132"/>
      <c r="AA711" s="105">
        <v>20</v>
      </c>
      <c r="AB711" s="105"/>
      <c r="AC711" s="105"/>
      <c r="AD711" s="155">
        <v>43009</v>
      </c>
      <c r="AE711" s="108" t="s">
        <v>3394</v>
      </c>
    </row>
    <row r="712" spans="1:31" s="65" customFormat="1" ht="27" customHeight="1" x14ac:dyDescent="0.15">
      <c r="A712" s="150">
        <v>1112300395</v>
      </c>
      <c r="B712" s="130" t="s">
        <v>3608</v>
      </c>
      <c r="C712" s="108" t="s">
        <v>3603</v>
      </c>
      <c r="D712" s="108" t="s">
        <v>3604</v>
      </c>
      <c r="E712" s="108" t="s">
        <v>3605</v>
      </c>
      <c r="F712" s="139">
        <v>3510112</v>
      </c>
      <c r="G712" s="132" t="s">
        <v>3606</v>
      </c>
      <c r="H712" s="132" t="s">
        <v>3607</v>
      </c>
      <c r="I712" s="116"/>
      <c r="J712" s="154"/>
      <c r="K712" s="154"/>
      <c r="L712" s="154" t="s">
        <v>765</v>
      </c>
      <c r="M712" s="154" t="s">
        <v>765</v>
      </c>
      <c r="N712" s="143" t="s">
        <v>765</v>
      </c>
      <c r="O712" s="138" t="s">
        <v>765</v>
      </c>
      <c r="P712" s="132"/>
      <c r="Q712" s="152"/>
      <c r="R712" s="138"/>
      <c r="S712" s="132"/>
      <c r="T712" s="132"/>
      <c r="U712" s="132"/>
      <c r="V712" s="152"/>
      <c r="W712" s="136"/>
      <c r="X712" s="152">
        <v>20</v>
      </c>
      <c r="Y712" s="136"/>
      <c r="Z712" s="132"/>
      <c r="AA712" s="105"/>
      <c r="AB712" s="105"/>
      <c r="AC712" s="105"/>
      <c r="AD712" s="155">
        <v>42644</v>
      </c>
      <c r="AE712" s="108" t="s">
        <v>3609</v>
      </c>
    </row>
    <row r="713" spans="1:31" ht="27" customHeight="1" x14ac:dyDescent="0.15">
      <c r="A713" s="150">
        <v>1112300395</v>
      </c>
      <c r="B713" s="130" t="s">
        <v>5170</v>
      </c>
      <c r="C713" s="304" t="s">
        <v>5171</v>
      </c>
      <c r="D713" s="304" t="s">
        <v>2700</v>
      </c>
      <c r="E713" s="304" t="s">
        <v>5172</v>
      </c>
      <c r="F713" s="139">
        <v>3510112</v>
      </c>
      <c r="G713" s="305" t="s">
        <v>3606</v>
      </c>
      <c r="H713" s="305" t="s">
        <v>3607</v>
      </c>
      <c r="I713" s="116"/>
      <c r="J713" s="154"/>
      <c r="K713" s="154"/>
      <c r="L713" s="154" t="s">
        <v>765</v>
      </c>
      <c r="M713" s="154" t="s">
        <v>765</v>
      </c>
      <c r="N713" s="143" t="s">
        <v>765</v>
      </c>
      <c r="O713" s="138" t="s">
        <v>765</v>
      </c>
      <c r="P713" s="305"/>
      <c r="Q713" s="152"/>
      <c r="R713" s="138"/>
      <c r="S713" s="305"/>
      <c r="T713" s="305"/>
      <c r="U713" s="305"/>
      <c r="V713" s="152"/>
      <c r="W713" s="136"/>
      <c r="X713" s="152"/>
      <c r="Y713" s="136"/>
      <c r="Z713" s="305"/>
      <c r="AA713" s="306"/>
      <c r="AB713" s="305" t="s">
        <v>765</v>
      </c>
      <c r="AC713" s="305"/>
      <c r="AD713" s="155">
        <v>43556</v>
      </c>
      <c r="AE713" s="304" t="s">
        <v>5173</v>
      </c>
    </row>
    <row r="714" spans="1:31" ht="27" customHeight="1" x14ac:dyDescent="0.15">
      <c r="A714" s="228">
        <v>1112300510</v>
      </c>
      <c r="B714" s="130" t="s">
        <v>4585</v>
      </c>
      <c r="C714" s="130" t="s">
        <v>5174</v>
      </c>
      <c r="D714" s="304" t="s">
        <v>2700</v>
      </c>
      <c r="E714" s="130" t="s">
        <v>5175</v>
      </c>
      <c r="F714" s="131" t="s">
        <v>5176</v>
      </c>
      <c r="G714" s="305" t="s">
        <v>5177</v>
      </c>
      <c r="H714" s="305" t="s">
        <v>5178</v>
      </c>
      <c r="I714" s="154" t="s">
        <v>765</v>
      </c>
      <c r="J714" s="154" t="s">
        <v>765</v>
      </c>
      <c r="K714" s="143" t="s">
        <v>765</v>
      </c>
      <c r="L714" s="154" t="s">
        <v>765</v>
      </c>
      <c r="M714" s="154" t="s">
        <v>765</v>
      </c>
      <c r="N714" s="143" t="s">
        <v>765</v>
      </c>
      <c r="O714" s="138" t="s">
        <v>765</v>
      </c>
      <c r="P714" s="305"/>
      <c r="Q714" s="307"/>
      <c r="R714" s="248"/>
      <c r="S714" s="305"/>
      <c r="T714" s="305">
        <v>18</v>
      </c>
      <c r="U714" s="305"/>
      <c r="V714" s="152"/>
      <c r="W714" s="248"/>
      <c r="X714" s="152"/>
      <c r="Y714" s="136"/>
      <c r="Z714" s="305"/>
      <c r="AA714" s="305"/>
      <c r="AB714" s="305"/>
      <c r="AC714" s="305"/>
      <c r="AD714" s="239">
        <v>43497</v>
      </c>
      <c r="AE714" s="273" t="s">
        <v>5440</v>
      </c>
    </row>
    <row r="715" spans="1:31" s="65" customFormat="1" ht="27" customHeight="1" x14ac:dyDescent="0.15">
      <c r="A715" s="105">
        <v>1112300585</v>
      </c>
      <c r="B715" s="106" t="s">
        <v>11790</v>
      </c>
      <c r="C715" s="107" t="s">
        <v>6536</v>
      </c>
      <c r="D715" s="108" t="s">
        <v>6537</v>
      </c>
      <c r="E715" s="108" t="s">
        <v>6538</v>
      </c>
      <c r="F715" s="139" t="s">
        <v>6539</v>
      </c>
      <c r="G715" s="140" t="s">
        <v>6540</v>
      </c>
      <c r="H715" s="140" t="s">
        <v>6541</v>
      </c>
      <c r="I715" s="141" t="s">
        <v>765</v>
      </c>
      <c r="J715" s="142" t="s">
        <v>765</v>
      </c>
      <c r="K715" s="142" t="s">
        <v>765</v>
      </c>
      <c r="L715" s="142" t="s">
        <v>765</v>
      </c>
      <c r="M715" s="142" t="s">
        <v>765</v>
      </c>
      <c r="N715" s="143" t="s">
        <v>765</v>
      </c>
      <c r="O715" s="138" t="s">
        <v>765</v>
      </c>
      <c r="P715" s="105"/>
      <c r="Q715" s="137"/>
      <c r="R715" s="138"/>
      <c r="S715" s="105"/>
      <c r="T715" s="105"/>
      <c r="U715" s="105"/>
      <c r="V715" s="137"/>
      <c r="W715" s="138"/>
      <c r="X715" s="137">
        <v>20</v>
      </c>
      <c r="Y715" s="138"/>
      <c r="Z715" s="105"/>
      <c r="AA715" s="105"/>
      <c r="AB715" s="198"/>
      <c r="AC715" s="198"/>
      <c r="AD715" s="144">
        <v>44228</v>
      </c>
      <c r="AE715" s="108" t="s">
        <v>6542</v>
      </c>
    </row>
    <row r="716" spans="1:31" s="65" customFormat="1" ht="27" customHeight="1" x14ac:dyDescent="0.15">
      <c r="A716" s="105">
        <v>1112300593</v>
      </c>
      <c r="B716" s="106" t="s">
        <v>11791</v>
      </c>
      <c r="C716" s="107" t="s">
        <v>6695</v>
      </c>
      <c r="D716" s="108" t="s">
        <v>6696</v>
      </c>
      <c r="E716" s="108" t="s">
        <v>6697</v>
      </c>
      <c r="F716" s="139" t="s">
        <v>6539</v>
      </c>
      <c r="G716" s="140" t="s">
        <v>6698</v>
      </c>
      <c r="H716" s="140" t="s">
        <v>6699</v>
      </c>
      <c r="I716" s="141" t="s">
        <v>765</v>
      </c>
      <c r="J716" s="142" t="s">
        <v>765</v>
      </c>
      <c r="K716" s="142" t="s">
        <v>765</v>
      </c>
      <c r="L716" s="142" t="s">
        <v>765</v>
      </c>
      <c r="M716" s="142" t="s">
        <v>765</v>
      </c>
      <c r="N716" s="143"/>
      <c r="O716" s="138"/>
      <c r="P716" s="105"/>
      <c r="Q716" s="137"/>
      <c r="R716" s="138"/>
      <c r="S716" s="105"/>
      <c r="T716" s="105">
        <v>20</v>
      </c>
      <c r="U716" s="105"/>
      <c r="V716" s="137"/>
      <c r="W716" s="138"/>
      <c r="X716" s="137"/>
      <c r="Y716" s="138"/>
      <c r="Z716" s="105"/>
      <c r="AA716" s="105"/>
      <c r="AB716" s="157"/>
      <c r="AC716" s="157"/>
      <c r="AD716" s="144">
        <v>44287</v>
      </c>
      <c r="AE716" s="108" t="s">
        <v>6700</v>
      </c>
    </row>
    <row r="717" spans="1:31" s="65" customFormat="1" ht="27" customHeight="1" x14ac:dyDescent="0.15">
      <c r="A717" s="105">
        <v>1112400021</v>
      </c>
      <c r="B717" s="130" t="s">
        <v>774</v>
      </c>
      <c r="C717" s="108" t="s">
        <v>565</v>
      </c>
      <c r="D717" s="108" t="s">
        <v>78</v>
      </c>
      <c r="E717" s="108" t="s">
        <v>145</v>
      </c>
      <c r="F717" s="131">
        <v>3540044</v>
      </c>
      <c r="G717" s="132" t="s">
        <v>639</v>
      </c>
      <c r="H717" s="132" t="s">
        <v>640</v>
      </c>
      <c r="I717" s="133" t="s">
        <v>237</v>
      </c>
      <c r="J717" s="134" t="s">
        <v>237</v>
      </c>
      <c r="K717" s="134" t="s">
        <v>237</v>
      </c>
      <c r="L717" s="134" t="s">
        <v>237</v>
      </c>
      <c r="M717" s="134"/>
      <c r="N717" s="135"/>
      <c r="O717" s="136"/>
      <c r="P717" s="105">
        <v>40</v>
      </c>
      <c r="Q717" s="152" t="s">
        <v>2610</v>
      </c>
      <c r="R717" s="138">
        <v>20</v>
      </c>
      <c r="S717" s="105"/>
      <c r="T717" s="105">
        <v>70</v>
      </c>
      <c r="U717" s="105"/>
      <c r="V717" s="137"/>
      <c r="W717" s="138"/>
      <c r="X717" s="137"/>
      <c r="Y717" s="138"/>
      <c r="Z717" s="105"/>
      <c r="AA717" s="105"/>
      <c r="AB717" s="105"/>
      <c r="AC717" s="105"/>
      <c r="AD717" s="118">
        <v>39173</v>
      </c>
      <c r="AE717" s="108" t="s">
        <v>59</v>
      </c>
    </row>
    <row r="718" spans="1:31" s="65" customFormat="1" ht="27" customHeight="1" x14ac:dyDescent="0.15">
      <c r="A718" s="105">
        <v>1112400039</v>
      </c>
      <c r="B718" s="130" t="s">
        <v>775</v>
      </c>
      <c r="C718" s="108" t="s">
        <v>577</v>
      </c>
      <c r="D718" s="108" t="s">
        <v>78</v>
      </c>
      <c r="E718" s="108" t="s">
        <v>146</v>
      </c>
      <c r="F718" s="131">
        <v>3540045</v>
      </c>
      <c r="G718" s="132" t="s">
        <v>641</v>
      </c>
      <c r="H718" s="132" t="s">
        <v>642</v>
      </c>
      <c r="I718" s="133"/>
      <c r="J718" s="134"/>
      <c r="K718" s="134"/>
      <c r="L718" s="134"/>
      <c r="M718" s="134" t="s">
        <v>49</v>
      </c>
      <c r="N718" s="135"/>
      <c r="O718" s="136"/>
      <c r="P718" s="105">
        <v>50</v>
      </c>
      <c r="Q718" s="152" t="s">
        <v>2610</v>
      </c>
      <c r="R718" s="138">
        <v>14</v>
      </c>
      <c r="S718" s="132"/>
      <c r="T718" s="105">
        <v>50</v>
      </c>
      <c r="U718" s="132"/>
      <c r="V718" s="152"/>
      <c r="W718" s="136"/>
      <c r="X718" s="152"/>
      <c r="Y718" s="136"/>
      <c r="Z718" s="132"/>
      <c r="AA718" s="132"/>
      <c r="AB718" s="132"/>
      <c r="AC718" s="132"/>
      <c r="AD718" s="155">
        <v>39539</v>
      </c>
      <c r="AE718" s="108" t="s">
        <v>2676</v>
      </c>
    </row>
    <row r="719" spans="1:31" s="65" customFormat="1" ht="27" customHeight="1" x14ac:dyDescent="0.15">
      <c r="A719" s="105">
        <v>1112433360</v>
      </c>
      <c r="B719" s="130" t="s">
        <v>2010</v>
      </c>
      <c r="C719" s="108" t="s">
        <v>2011</v>
      </c>
      <c r="D719" s="108" t="s">
        <v>80</v>
      </c>
      <c r="E719" s="108" t="s">
        <v>2012</v>
      </c>
      <c r="F719" s="131" t="s">
        <v>2013</v>
      </c>
      <c r="G719" s="132" t="s">
        <v>2014</v>
      </c>
      <c r="H719" s="132" t="s">
        <v>2015</v>
      </c>
      <c r="I719" s="133"/>
      <c r="J719" s="134"/>
      <c r="K719" s="134"/>
      <c r="L719" s="134"/>
      <c r="M719" s="134" t="s">
        <v>49</v>
      </c>
      <c r="N719" s="135"/>
      <c r="O719" s="136"/>
      <c r="P719" s="105">
        <v>45</v>
      </c>
      <c r="Q719" s="152" t="s">
        <v>2610</v>
      </c>
      <c r="R719" s="138"/>
      <c r="S719" s="132"/>
      <c r="T719" s="105">
        <v>45</v>
      </c>
      <c r="U719" s="132"/>
      <c r="V719" s="152"/>
      <c r="W719" s="136"/>
      <c r="X719" s="152"/>
      <c r="Y719" s="136"/>
      <c r="Z719" s="132"/>
      <c r="AA719" s="132"/>
      <c r="AB719" s="132"/>
      <c r="AC719" s="132"/>
      <c r="AD719" s="155">
        <v>41000</v>
      </c>
      <c r="AE719" s="108" t="s">
        <v>8629</v>
      </c>
    </row>
    <row r="720" spans="1:31" s="65" customFormat="1" ht="27" customHeight="1" x14ac:dyDescent="0.15">
      <c r="A720" s="105">
        <v>1112433378</v>
      </c>
      <c r="B720" s="130" t="s">
        <v>1447</v>
      </c>
      <c r="C720" s="108" t="s">
        <v>1663</v>
      </c>
      <c r="D720" s="108" t="s">
        <v>80</v>
      </c>
      <c r="E720" s="108" t="s">
        <v>1664</v>
      </c>
      <c r="F720" s="131">
        <v>3500434</v>
      </c>
      <c r="G720" s="132" t="s">
        <v>1665</v>
      </c>
      <c r="H720" s="132" t="s">
        <v>1666</v>
      </c>
      <c r="I720" s="133"/>
      <c r="J720" s="134"/>
      <c r="K720" s="134"/>
      <c r="L720" s="134"/>
      <c r="M720" s="134" t="s">
        <v>1667</v>
      </c>
      <c r="N720" s="135"/>
      <c r="O720" s="136"/>
      <c r="P720" s="105">
        <v>100</v>
      </c>
      <c r="Q720" s="152" t="s">
        <v>49</v>
      </c>
      <c r="R720" s="138"/>
      <c r="S720" s="132"/>
      <c r="T720" s="105">
        <v>100</v>
      </c>
      <c r="U720" s="132"/>
      <c r="V720" s="152"/>
      <c r="W720" s="136"/>
      <c r="X720" s="152"/>
      <c r="Y720" s="136"/>
      <c r="Z720" s="132"/>
      <c r="AA720" s="132"/>
      <c r="AB720" s="132"/>
      <c r="AC720" s="132"/>
      <c r="AD720" s="155">
        <v>40969</v>
      </c>
      <c r="AE720" s="108" t="s">
        <v>1452</v>
      </c>
    </row>
    <row r="721" spans="1:157" s="65" customFormat="1" ht="27" customHeight="1" x14ac:dyDescent="0.15">
      <c r="A721" s="105">
        <v>1112433386</v>
      </c>
      <c r="B721" s="130" t="s">
        <v>1447</v>
      </c>
      <c r="C721" s="108" t="s">
        <v>1668</v>
      </c>
      <c r="D721" s="108" t="s">
        <v>80</v>
      </c>
      <c r="E721" s="108" t="s">
        <v>1669</v>
      </c>
      <c r="F721" s="131">
        <v>3500434</v>
      </c>
      <c r="G721" s="132" t="s">
        <v>1670</v>
      </c>
      <c r="H721" s="132" t="s">
        <v>1671</v>
      </c>
      <c r="I721" s="133"/>
      <c r="J721" s="134"/>
      <c r="K721" s="134"/>
      <c r="L721" s="134"/>
      <c r="M721" s="134" t="s">
        <v>49</v>
      </c>
      <c r="N721" s="135"/>
      <c r="O721" s="136"/>
      <c r="P721" s="105">
        <v>70</v>
      </c>
      <c r="Q721" s="152" t="s">
        <v>49</v>
      </c>
      <c r="R721" s="138"/>
      <c r="S721" s="132"/>
      <c r="T721" s="105"/>
      <c r="U721" s="132"/>
      <c r="V721" s="152"/>
      <c r="W721" s="136"/>
      <c r="X721" s="152"/>
      <c r="Y721" s="136"/>
      <c r="Z721" s="132"/>
      <c r="AA721" s="132">
        <v>70</v>
      </c>
      <c r="AB721" s="132"/>
      <c r="AC721" s="132"/>
      <c r="AD721" s="155">
        <v>40969</v>
      </c>
      <c r="AE721" s="108" t="s">
        <v>1452</v>
      </c>
    </row>
    <row r="722" spans="1:157" s="65" customFormat="1" ht="27" customHeight="1" x14ac:dyDescent="0.15">
      <c r="A722" s="105">
        <v>1112433394</v>
      </c>
      <c r="B722" s="130" t="s">
        <v>1447</v>
      </c>
      <c r="C722" s="108" t="s">
        <v>1519</v>
      </c>
      <c r="D722" s="108" t="s">
        <v>80</v>
      </c>
      <c r="E722" s="108" t="s">
        <v>1520</v>
      </c>
      <c r="F722" s="131">
        <v>3500434</v>
      </c>
      <c r="G722" s="132" t="s">
        <v>1521</v>
      </c>
      <c r="H722" s="132" t="s">
        <v>1522</v>
      </c>
      <c r="I722" s="133"/>
      <c r="J722" s="134"/>
      <c r="K722" s="134"/>
      <c r="L722" s="134"/>
      <c r="M722" s="134" t="s">
        <v>49</v>
      </c>
      <c r="N722" s="135"/>
      <c r="O722" s="136"/>
      <c r="P722" s="105">
        <v>100</v>
      </c>
      <c r="Q722" s="152"/>
      <c r="R722" s="138">
        <v>3</v>
      </c>
      <c r="S722" s="132"/>
      <c r="T722" s="105">
        <v>100</v>
      </c>
      <c r="U722" s="132"/>
      <c r="V722" s="152"/>
      <c r="W722" s="136"/>
      <c r="X722" s="152"/>
      <c r="Y722" s="136"/>
      <c r="Z722" s="132"/>
      <c r="AA722" s="132"/>
      <c r="AB722" s="132"/>
      <c r="AC722" s="132"/>
      <c r="AD722" s="155">
        <v>40817</v>
      </c>
      <c r="AE722" s="108" t="s">
        <v>1452</v>
      </c>
    </row>
    <row r="723" spans="1:157" s="65" customFormat="1" ht="27" customHeight="1" x14ac:dyDescent="0.15">
      <c r="A723" s="105">
        <v>1112433402</v>
      </c>
      <c r="B723" s="130" t="s">
        <v>1447</v>
      </c>
      <c r="C723" s="108" t="s">
        <v>1595</v>
      </c>
      <c r="D723" s="108" t="s">
        <v>80</v>
      </c>
      <c r="E723" s="108" t="s">
        <v>1596</v>
      </c>
      <c r="F723" s="131">
        <v>3500434</v>
      </c>
      <c r="G723" s="132" t="s">
        <v>1597</v>
      </c>
      <c r="H723" s="132" t="s">
        <v>1598</v>
      </c>
      <c r="I723" s="183"/>
      <c r="J723" s="134"/>
      <c r="K723" s="134"/>
      <c r="L723" s="134"/>
      <c r="M723" s="134" t="s">
        <v>49</v>
      </c>
      <c r="N723" s="135"/>
      <c r="O723" s="136"/>
      <c r="P723" s="105">
        <v>100</v>
      </c>
      <c r="Q723" s="152"/>
      <c r="R723" s="138">
        <v>6</v>
      </c>
      <c r="S723" s="132"/>
      <c r="T723" s="105">
        <v>100</v>
      </c>
      <c r="U723" s="132"/>
      <c r="V723" s="152"/>
      <c r="W723" s="136"/>
      <c r="X723" s="152"/>
      <c r="Y723" s="136"/>
      <c r="Z723" s="132"/>
      <c r="AA723" s="132"/>
      <c r="AB723" s="132"/>
      <c r="AC723" s="132"/>
      <c r="AD723" s="155">
        <v>40909</v>
      </c>
      <c r="AE723" s="108" t="s">
        <v>1452</v>
      </c>
    </row>
    <row r="724" spans="1:157" s="65" customFormat="1" ht="27" customHeight="1" x14ac:dyDescent="0.15">
      <c r="A724" s="105">
        <v>1112433428</v>
      </c>
      <c r="B724" s="130" t="s">
        <v>1447</v>
      </c>
      <c r="C724" s="108" t="s">
        <v>1448</v>
      </c>
      <c r="D724" s="108" t="s">
        <v>80</v>
      </c>
      <c r="E724" s="108" t="s">
        <v>1449</v>
      </c>
      <c r="F724" s="131">
        <v>3500434</v>
      </c>
      <c r="G724" s="132" t="s">
        <v>1450</v>
      </c>
      <c r="H724" s="132" t="s">
        <v>1451</v>
      </c>
      <c r="I724" s="183"/>
      <c r="J724" s="134"/>
      <c r="K724" s="134"/>
      <c r="L724" s="134"/>
      <c r="M724" s="134" t="s">
        <v>49</v>
      </c>
      <c r="N724" s="135"/>
      <c r="O724" s="136"/>
      <c r="P724" s="105">
        <v>90</v>
      </c>
      <c r="Q724" s="152"/>
      <c r="R724" s="138">
        <v>9</v>
      </c>
      <c r="S724" s="132"/>
      <c r="T724" s="105">
        <v>90</v>
      </c>
      <c r="U724" s="132"/>
      <c r="V724" s="152"/>
      <c r="W724" s="136"/>
      <c r="X724" s="152"/>
      <c r="Y724" s="136"/>
      <c r="Z724" s="132"/>
      <c r="AA724" s="132"/>
      <c r="AB724" s="132"/>
      <c r="AC724" s="132"/>
      <c r="AD724" s="155">
        <v>40725</v>
      </c>
      <c r="AE724" s="108" t="s">
        <v>1452</v>
      </c>
    </row>
    <row r="725" spans="1:157" s="65" customFormat="1" ht="27" customHeight="1" x14ac:dyDescent="0.15">
      <c r="A725" s="105">
        <v>1112433436</v>
      </c>
      <c r="B725" s="130" t="s">
        <v>1500</v>
      </c>
      <c r="C725" s="108" t="s">
        <v>1501</v>
      </c>
      <c r="D725" s="108" t="s">
        <v>80</v>
      </c>
      <c r="E725" s="108" t="s">
        <v>1502</v>
      </c>
      <c r="F725" s="131">
        <v>3500433</v>
      </c>
      <c r="G725" s="152" t="s">
        <v>1503</v>
      </c>
      <c r="H725" s="132" t="s">
        <v>1504</v>
      </c>
      <c r="I725" s="183"/>
      <c r="J725" s="134"/>
      <c r="K725" s="134" t="s">
        <v>1498</v>
      </c>
      <c r="L725" s="134"/>
      <c r="M725" s="134"/>
      <c r="N725" s="135"/>
      <c r="O725" s="136"/>
      <c r="P725" s="105">
        <v>50</v>
      </c>
      <c r="Q725" s="152" t="s">
        <v>49</v>
      </c>
      <c r="R725" s="138">
        <v>4</v>
      </c>
      <c r="S725" s="132"/>
      <c r="T725" s="105">
        <v>60</v>
      </c>
      <c r="U725" s="132"/>
      <c r="V725" s="152"/>
      <c r="W725" s="136"/>
      <c r="X725" s="152"/>
      <c r="Y725" s="136"/>
      <c r="Z725" s="132"/>
      <c r="AA725" s="132"/>
      <c r="AB725" s="132"/>
      <c r="AC725" s="132"/>
      <c r="AD725" s="155">
        <v>40817</v>
      </c>
      <c r="AE725" s="108" t="s">
        <v>1452</v>
      </c>
    </row>
    <row r="726" spans="1:157" s="65" customFormat="1" ht="27" customHeight="1" x14ac:dyDescent="0.15">
      <c r="A726" s="105">
        <v>1112433451</v>
      </c>
      <c r="B726" s="130" t="s">
        <v>3430</v>
      </c>
      <c r="C726" s="108" t="s">
        <v>2000</v>
      </c>
      <c r="D726" s="108" t="s">
        <v>80</v>
      </c>
      <c r="E726" s="108" t="s">
        <v>2001</v>
      </c>
      <c r="F726" s="131" t="s">
        <v>2002</v>
      </c>
      <c r="G726" s="152" t="s">
        <v>2003</v>
      </c>
      <c r="H726" s="132" t="s">
        <v>2004</v>
      </c>
      <c r="I726" s="183" t="s">
        <v>1992</v>
      </c>
      <c r="J726" s="134"/>
      <c r="K726" s="134"/>
      <c r="L726" s="134"/>
      <c r="M726" s="134" t="s">
        <v>1992</v>
      </c>
      <c r="N726" s="135"/>
      <c r="O726" s="136"/>
      <c r="P726" s="105"/>
      <c r="Q726" s="152" t="s">
        <v>2610</v>
      </c>
      <c r="R726" s="138">
        <v>13</v>
      </c>
      <c r="S726" s="132">
        <v>332</v>
      </c>
      <c r="T726" s="105">
        <v>15</v>
      </c>
      <c r="U726" s="132"/>
      <c r="V726" s="152"/>
      <c r="W726" s="136"/>
      <c r="X726" s="152"/>
      <c r="Y726" s="136"/>
      <c r="Z726" s="132"/>
      <c r="AA726" s="132"/>
      <c r="AB726" s="132"/>
      <c r="AC726" s="132"/>
      <c r="AD726" s="155">
        <v>41000</v>
      </c>
      <c r="AE726" s="108" t="s">
        <v>6141</v>
      </c>
    </row>
    <row r="727" spans="1:157" ht="27" customHeight="1" x14ac:dyDescent="0.15">
      <c r="A727" s="105">
        <v>1112466675</v>
      </c>
      <c r="B727" s="130" t="s">
        <v>426</v>
      </c>
      <c r="C727" s="108" t="s">
        <v>509</v>
      </c>
      <c r="D727" s="108" t="s">
        <v>79</v>
      </c>
      <c r="E727" s="108" t="s">
        <v>325</v>
      </c>
      <c r="F727" s="131">
        <v>3500413</v>
      </c>
      <c r="G727" s="152" t="s">
        <v>643</v>
      </c>
      <c r="H727" s="132" t="s">
        <v>643</v>
      </c>
      <c r="I727" s="183"/>
      <c r="J727" s="134"/>
      <c r="K727" s="134"/>
      <c r="L727" s="134"/>
      <c r="M727" s="134" t="s">
        <v>240</v>
      </c>
      <c r="N727" s="135"/>
      <c r="O727" s="136"/>
      <c r="P727" s="105"/>
      <c r="Q727" s="137"/>
      <c r="R727" s="138"/>
      <c r="S727" s="105"/>
      <c r="T727" s="105"/>
      <c r="U727" s="105"/>
      <c r="V727" s="137"/>
      <c r="W727" s="138"/>
      <c r="X727" s="137"/>
      <c r="Y727" s="138"/>
      <c r="Z727" s="105"/>
      <c r="AA727" s="105">
        <v>28</v>
      </c>
      <c r="AB727" s="105"/>
      <c r="AC727" s="105"/>
      <c r="AD727" s="118">
        <v>39022</v>
      </c>
      <c r="AE727" s="108" t="s">
        <v>1399</v>
      </c>
    </row>
    <row r="728" spans="1:157" ht="27" customHeight="1" x14ac:dyDescent="0.15">
      <c r="A728" s="175">
        <v>1112467103</v>
      </c>
      <c r="B728" s="204" t="s">
        <v>12262</v>
      </c>
      <c r="C728" s="162" t="s">
        <v>12263</v>
      </c>
      <c r="D728" s="162" t="s">
        <v>12264</v>
      </c>
      <c r="E728" s="162" t="s">
        <v>12265</v>
      </c>
      <c r="F728" s="268" t="s">
        <v>12266</v>
      </c>
      <c r="G728" s="203" t="s">
        <v>12267</v>
      </c>
      <c r="H728" s="203" t="s">
        <v>6957</v>
      </c>
      <c r="I728" s="133"/>
      <c r="J728" s="134"/>
      <c r="K728" s="134"/>
      <c r="L728" s="134"/>
      <c r="M728" s="134" t="s">
        <v>765</v>
      </c>
      <c r="N728" s="135" t="s">
        <v>765</v>
      </c>
      <c r="O728" s="136"/>
      <c r="P728" s="175"/>
      <c r="Q728" s="209"/>
      <c r="R728" s="210"/>
      <c r="S728" s="175"/>
      <c r="T728" s="175"/>
      <c r="U728" s="175"/>
      <c r="V728" s="209"/>
      <c r="W728" s="210"/>
      <c r="X728" s="209"/>
      <c r="Y728" s="210"/>
      <c r="Z728" s="175"/>
      <c r="AA728" s="175">
        <v>20</v>
      </c>
      <c r="AB728" s="175"/>
      <c r="AC728" s="175"/>
      <c r="AD728" s="227">
        <v>46204</v>
      </c>
      <c r="AE728" s="162" t="s">
        <v>12268</v>
      </c>
    </row>
    <row r="729" spans="1:157" s="65" customFormat="1" ht="27" customHeight="1" x14ac:dyDescent="0.15">
      <c r="A729" s="105">
        <v>1112466725</v>
      </c>
      <c r="B729" s="108" t="s">
        <v>172</v>
      </c>
      <c r="C729" s="108" t="s">
        <v>173</v>
      </c>
      <c r="D729" s="108" t="s">
        <v>78</v>
      </c>
      <c r="E729" s="108" t="s">
        <v>174</v>
      </c>
      <c r="F729" s="264">
        <v>3540044</v>
      </c>
      <c r="G729" s="105" t="s">
        <v>175</v>
      </c>
      <c r="H729" s="105" t="s">
        <v>285</v>
      </c>
      <c r="I729" s="141"/>
      <c r="J729" s="142"/>
      <c r="K729" s="142"/>
      <c r="L729" s="142"/>
      <c r="M729" s="142" t="s">
        <v>765</v>
      </c>
      <c r="N729" s="143"/>
      <c r="O729" s="138"/>
      <c r="P729" s="105"/>
      <c r="Q729" s="137"/>
      <c r="R729" s="138"/>
      <c r="S729" s="105"/>
      <c r="T729" s="105">
        <v>10</v>
      </c>
      <c r="U729" s="105"/>
      <c r="V729" s="137"/>
      <c r="W729" s="138"/>
      <c r="X729" s="137"/>
      <c r="Y729" s="138"/>
      <c r="Z729" s="105"/>
      <c r="AA729" s="105">
        <v>30</v>
      </c>
      <c r="AB729" s="105"/>
      <c r="AC729" s="105"/>
      <c r="AD729" s="155">
        <v>40057</v>
      </c>
      <c r="AE729" s="157" t="s">
        <v>59</v>
      </c>
    </row>
    <row r="730" spans="1:157" ht="27" customHeight="1" x14ac:dyDescent="0.15">
      <c r="A730" s="105">
        <v>1112466782</v>
      </c>
      <c r="B730" s="130" t="s">
        <v>775</v>
      </c>
      <c r="C730" s="108" t="s">
        <v>1142</v>
      </c>
      <c r="D730" s="108" t="s">
        <v>78</v>
      </c>
      <c r="E730" s="108" t="s">
        <v>6740</v>
      </c>
      <c r="F730" s="264">
        <v>3540041</v>
      </c>
      <c r="G730" s="105" t="s">
        <v>1143</v>
      </c>
      <c r="H730" s="105" t="s">
        <v>1144</v>
      </c>
      <c r="I730" s="133"/>
      <c r="J730" s="134"/>
      <c r="K730" s="134"/>
      <c r="L730" s="134"/>
      <c r="M730" s="134" t="s">
        <v>49</v>
      </c>
      <c r="N730" s="135"/>
      <c r="O730" s="136"/>
      <c r="P730" s="105"/>
      <c r="Q730" s="152"/>
      <c r="R730" s="138"/>
      <c r="S730" s="132"/>
      <c r="T730" s="105">
        <v>20</v>
      </c>
      <c r="U730" s="132"/>
      <c r="V730" s="133"/>
      <c r="W730" s="242"/>
      <c r="X730" s="133"/>
      <c r="Y730" s="136"/>
      <c r="Z730" s="132"/>
      <c r="AA730" s="132">
        <v>20</v>
      </c>
      <c r="AB730" s="132"/>
      <c r="AC730" s="132"/>
      <c r="AD730" s="118">
        <v>40634</v>
      </c>
      <c r="AE730" s="108" t="s">
        <v>6741</v>
      </c>
    </row>
    <row r="731" spans="1:157" ht="27" customHeight="1" x14ac:dyDescent="0.15">
      <c r="A731" s="105">
        <v>1112466790</v>
      </c>
      <c r="B731" s="130" t="s">
        <v>1423</v>
      </c>
      <c r="C731" s="108" t="s">
        <v>1351</v>
      </c>
      <c r="D731" s="108" t="s">
        <v>80</v>
      </c>
      <c r="E731" s="108" t="s">
        <v>2337</v>
      </c>
      <c r="F731" s="264" t="s">
        <v>2338</v>
      </c>
      <c r="G731" s="105" t="s">
        <v>3298</v>
      </c>
      <c r="H731" s="105" t="s">
        <v>2336</v>
      </c>
      <c r="I731" s="133"/>
      <c r="J731" s="134"/>
      <c r="K731" s="134"/>
      <c r="L731" s="134"/>
      <c r="M731" s="134" t="s">
        <v>49</v>
      </c>
      <c r="N731" s="135"/>
      <c r="O731" s="136"/>
      <c r="P731" s="105"/>
      <c r="Q731" s="152"/>
      <c r="R731" s="138"/>
      <c r="S731" s="132"/>
      <c r="T731" s="105"/>
      <c r="U731" s="132"/>
      <c r="V731" s="133"/>
      <c r="W731" s="242"/>
      <c r="X731" s="133"/>
      <c r="Y731" s="136"/>
      <c r="Z731" s="132"/>
      <c r="AA731" s="132">
        <v>20</v>
      </c>
      <c r="AB731" s="132"/>
      <c r="AC731" s="132"/>
      <c r="AD731" s="118">
        <v>40634</v>
      </c>
      <c r="AE731" s="108" t="s">
        <v>1386</v>
      </c>
    </row>
    <row r="732" spans="1:157" ht="27" customHeight="1" x14ac:dyDescent="0.15">
      <c r="A732" s="105">
        <v>1112466790</v>
      </c>
      <c r="B732" s="130" t="s">
        <v>1423</v>
      </c>
      <c r="C732" s="108" t="s">
        <v>1351</v>
      </c>
      <c r="D732" s="108" t="s">
        <v>80</v>
      </c>
      <c r="E732" s="108" t="s">
        <v>2337</v>
      </c>
      <c r="F732" s="264" t="s">
        <v>4824</v>
      </c>
      <c r="G732" s="105" t="s">
        <v>3298</v>
      </c>
      <c r="H732" s="105" t="s">
        <v>4825</v>
      </c>
      <c r="I732" s="133"/>
      <c r="J732" s="134"/>
      <c r="K732" s="134"/>
      <c r="L732" s="134"/>
      <c r="M732" s="134" t="s">
        <v>4826</v>
      </c>
      <c r="N732" s="135"/>
      <c r="O732" s="136"/>
      <c r="P732" s="105"/>
      <c r="Q732" s="152"/>
      <c r="R732" s="138"/>
      <c r="S732" s="132"/>
      <c r="T732" s="105"/>
      <c r="U732" s="132"/>
      <c r="V732" s="133"/>
      <c r="W732" s="242"/>
      <c r="X732" s="133"/>
      <c r="Y732" s="136"/>
      <c r="Z732" s="132"/>
      <c r="AA732" s="132"/>
      <c r="AB732" s="132" t="s">
        <v>4826</v>
      </c>
      <c r="AC732" s="132"/>
      <c r="AD732" s="118">
        <v>43435</v>
      </c>
      <c r="AE732" s="108" t="s">
        <v>1386</v>
      </c>
    </row>
    <row r="733" spans="1:157" ht="27" customHeight="1" x14ac:dyDescent="0.15">
      <c r="A733" s="105">
        <v>1112466865</v>
      </c>
      <c r="B733" s="130" t="s">
        <v>1423</v>
      </c>
      <c r="C733" s="108" t="s">
        <v>2377</v>
      </c>
      <c r="D733" s="108" t="s">
        <v>80</v>
      </c>
      <c r="E733" s="108" t="s">
        <v>2378</v>
      </c>
      <c r="F733" s="264" t="s">
        <v>2379</v>
      </c>
      <c r="G733" s="105" t="s">
        <v>2380</v>
      </c>
      <c r="H733" s="105" t="s">
        <v>2380</v>
      </c>
      <c r="I733" s="133"/>
      <c r="J733" s="134"/>
      <c r="K733" s="134"/>
      <c r="L733" s="134"/>
      <c r="M733" s="134" t="s">
        <v>49</v>
      </c>
      <c r="N733" s="135"/>
      <c r="O733" s="136"/>
      <c r="P733" s="105"/>
      <c r="Q733" s="152"/>
      <c r="R733" s="138"/>
      <c r="S733" s="132"/>
      <c r="T733" s="105">
        <v>20</v>
      </c>
      <c r="U733" s="132"/>
      <c r="V733" s="133"/>
      <c r="W733" s="242"/>
      <c r="X733" s="133"/>
      <c r="Y733" s="136"/>
      <c r="Z733" s="132"/>
      <c r="AA733" s="132"/>
      <c r="AB733" s="132"/>
      <c r="AC733" s="132"/>
      <c r="AD733" s="118">
        <v>41730</v>
      </c>
      <c r="AE733" s="108" t="s">
        <v>2381</v>
      </c>
    </row>
    <row r="734" spans="1:157" s="65" customFormat="1" ht="27" customHeight="1" x14ac:dyDescent="0.15">
      <c r="A734" s="105">
        <v>1112466873</v>
      </c>
      <c r="B734" s="130" t="s">
        <v>2490</v>
      </c>
      <c r="C734" s="108" t="s">
        <v>2486</v>
      </c>
      <c r="D734" s="108" t="s">
        <v>79</v>
      </c>
      <c r="E734" s="108" t="s">
        <v>2487</v>
      </c>
      <c r="F734" s="131">
        <v>3500413</v>
      </c>
      <c r="G734" s="152" t="s">
        <v>2491</v>
      </c>
      <c r="H734" s="132" t="s">
        <v>2488</v>
      </c>
      <c r="I734" s="133"/>
      <c r="J734" s="134"/>
      <c r="K734" s="134"/>
      <c r="L734" s="134"/>
      <c r="M734" s="134" t="s">
        <v>2480</v>
      </c>
      <c r="N734" s="135"/>
      <c r="O734" s="136"/>
      <c r="P734" s="105"/>
      <c r="Q734" s="152"/>
      <c r="R734" s="138"/>
      <c r="S734" s="132"/>
      <c r="T734" s="105">
        <v>24</v>
      </c>
      <c r="U734" s="132"/>
      <c r="V734" s="133"/>
      <c r="W734" s="242"/>
      <c r="X734" s="133"/>
      <c r="Y734" s="136"/>
      <c r="Z734" s="132"/>
      <c r="AA734" s="132"/>
      <c r="AB734" s="132"/>
      <c r="AC734" s="132"/>
      <c r="AD734" s="118">
        <v>41730</v>
      </c>
      <c r="AE734" s="108" t="s">
        <v>1399</v>
      </c>
      <c r="AU734" s="229"/>
      <c r="AV734" s="229"/>
      <c r="AW734" s="229"/>
      <c r="AX734" s="229"/>
      <c r="AY734" s="229"/>
      <c r="AZ734" s="229"/>
      <c r="BA734" s="229"/>
      <c r="BB734" s="229"/>
      <c r="BC734" s="229"/>
      <c r="BD734" s="229"/>
      <c r="BE734" s="229"/>
      <c r="BF734" s="229"/>
      <c r="BG734" s="229"/>
      <c r="BH734" s="229"/>
      <c r="BI734" s="229"/>
      <c r="BJ734" s="229"/>
      <c r="BK734" s="229"/>
      <c r="BL734" s="229"/>
      <c r="BM734" s="229"/>
      <c r="BN734" s="229"/>
      <c r="BO734" s="229"/>
      <c r="BP734" s="229"/>
      <c r="BQ734" s="229"/>
      <c r="BR734" s="229"/>
      <c r="BS734" s="229"/>
      <c r="BT734" s="229"/>
      <c r="BU734" s="229"/>
      <c r="BV734" s="229"/>
      <c r="BW734" s="229"/>
      <c r="BX734" s="229"/>
      <c r="BY734" s="229"/>
      <c r="BZ734" s="229"/>
      <c r="CA734" s="229"/>
      <c r="CB734" s="229"/>
      <c r="CC734" s="229"/>
      <c r="CD734" s="229"/>
      <c r="CE734" s="229"/>
      <c r="CF734" s="229"/>
      <c r="CG734" s="229"/>
      <c r="CH734" s="229"/>
      <c r="CI734" s="229"/>
      <c r="CJ734" s="229"/>
      <c r="CK734" s="229"/>
      <c r="CL734" s="229"/>
      <c r="CM734" s="229"/>
      <c r="CN734" s="229"/>
      <c r="CO734" s="229"/>
      <c r="CP734" s="229"/>
      <c r="CQ734" s="229"/>
      <c r="CR734" s="229"/>
      <c r="CS734" s="229"/>
      <c r="CT734" s="229"/>
      <c r="CU734" s="229"/>
      <c r="CV734" s="229"/>
      <c r="CW734" s="229"/>
      <c r="CX734" s="229"/>
      <c r="CY734" s="229"/>
      <c r="CZ734" s="229"/>
      <c r="DA734" s="229"/>
      <c r="DB734" s="229"/>
      <c r="DC734" s="229"/>
      <c r="DD734" s="229"/>
      <c r="DE734" s="229"/>
      <c r="DF734" s="229"/>
      <c r="DG734" s="229"/>
      <c r="DH734" s="229"/>
      <c r="DI734" s="229"/>
      <c r="DJ734" s="229"/>
      <c r="DK734" s="229"/>
      <c r="DL734" s="229"/>
      <c r="DM734" s="229"/>
      <c r="DN734" s="229"/>
      <c r="DO734" s="229"/>
      <c r="DP734" s="229"/>
      <c r="DQ734" s="229"/>
      <c r="DR734" s="229"/>
      <c r="DS734" s="229"/>
      <c r="DT734" s="229"/>
      <c r="DU734" s="229"/>
      <c r="DV734" s="229"/>
      <c r="DW734" s="229"/>
      <c r="DX734" s="229"/>
      <c r="DY734" s="229"/>
      <c r="DZ734" s="229"/>
      <c r="EA734" s="229"/>
      <c r="EB734" s="229"/>
      <c r="EC734" s="229"/>
      <c r="ED734" s="229"/>
      <c r="EE734" s="229"/>
      <c r="EF734" s="229"/>
      <c r="EG734" s="229"/>
      <c r="EH734" s="229"/>
      <c r="EI734" s="229"/>
      <c r="EJ734" s="229"/>
      <c r="EK734" s="229"/>
      <c r="EL734" s="229"/>
      <c r="EM734" s="229"/>
      <c r="EN734" s="229"/>
      <c r="EO734" s="229"/>
      <c r="EP734" s="229"/>
      <c r="EQ734" s="229"/>
      <c r="ER734" s="229"/>
      <c r="ES734" s="229"/>
      <c r="ET734" s="229"/>
      <c r="EU734" s="229"/>
      <c r="EV734" s="229"/>
      <c r="EW734" s="229"/>
      <c r="EX734" s="229"/>
      <c r="EY734" s="229"/>
      <c r="EZ734" s="229"/>
      <c r="FA734" s="229"/>
    </row>
    <row r="735" spans="1:157" ht="27" customHeight="1" x14ac:dyDescent="0.15">
      <c r="A735" s="105">
        <v>1112466964</v>
      </c>
      <c r="B735" s="130" t="s">
        <v>3478</v>
      </c>
      <c r="C735" s="108" t="s">
        <v>7998</v>
      </c>
      <c r="D735" s="108" t="s">
        <v>80</v>
      </c>
      <c r="E735" s="108" t="s">
        <v>3479</v>
      </c>
      <c r="F735" s="264" t="s">
        <v>2338</v>
      </c>
      <c r="G735" s="105" t="s">
        <v>3480</v>
      </c>
      <c r="H735" s="105" t="s">
        <v>3481</v>
      </c>
      <c r="I735" s="133" t="s">
        <v>765</v>
      </c>
      <c r="J735" s="134" t="s">
        <v>765</v>
      </c>
      <c r="K735" s="134" t="s">
        <v>765</v>
      </c>
      <c r="L735" s="134" t="s">
        <v>765</v>
      </c>
      <c r="M735" s="134" t="s">
        <v>765</v>
      </c>
      <c r="N735" s="135" t="s">
        <v>765</v>
      </c>
      <c r="O735" s="136" t="s">
        <v>49</v>
      </c>
      <c r="P735" s="105"/>
      <c r="Q735" s="152"/>
      <c r="R735" s="138"/>
      <c r="S735" s="132"/>
      <c r="T735" s="105"/>
      <c r="U735" s="132"/>
      <c r="V735" s="133"/>
      <c r="W735" s="242"/>
      <c r="X735" s="133">
        <v>6</v>
      </c>
      <c r="Y735" s="136"/>
      <c r="Z735" s="132"/>
      <c r="AA735" s="105">
        <v>14</v>
      </c>
      <c r="AB735" s="105"/>
      <c r="AC735" s="105"/>
      <c r="AD735" s="118">
        <v>42583</v>
      </c>
      <c r="AE735" s="108" t="s">
        <v>10860</v>
      </c>
    </row>
    <row r="736" spans="1:157" ht="27" customHeight="1" x14ac:dyDescent="0.15">
      <c r="A736" s="105">
        <v>1112466980</v>
      </c>
      <c r="B736" s="130" t="s">
        <v>4889</v>
      </c>
      <c r="C736" s="108" t="s">
        <v>4890</v>
      </c>
      <c r="D736" s="108" t="s">
        <v>78</v>
      </c>
      <c r="E736" s="108" t="s">
        <v>4891</v>
      </c>
      <c r="F736" s="131" t="s">
        <v>4892</v>
      </c>
      <c r="G736" s="132" t="s">
        <v>4893</v>
      </c>
      <c r="H736" s="132" t="s">
        <v>4894</v>
      </c>
      <c r="I736" s="133"/>
      <c r="J736" s="134"/>
      <c r="K736" s="134"/>
      <c r="L736" s="134"/>
      <c r="M736" s="134" t="s">
        <v>49</v>
      </c>
      <c r="N736" s="134"/>
      <c r="O736" s="134"/>
      <c r="P736" s="105"/>
      <c r="Q736" s="137"/>
      <c r="R736" s="138"/>
      <c r="S736" s="105"/>
      <c r="T736" s="105"/>
      <c r="U736" s="105"/>
      <c r="V736" s="137"/>
      <c r="W736" s="138"/>
      <c r="X736" s="137"/>
      <c r="Y736" s="138"/>
      <c r="Z736" s="105"/>
      <c r="AA736" s="105">
        <v>30</v>
      </c>
      <c r="AB736" s="105"/>
      <c r="AC736" s="105"/>
      <c r="AD736" s="118">
        <v>43497</v>
      </c>
      <c r="AE736" s="108" t="s">
        <v>4895</v>
      </c>
    </row>
    <row r="737" spans="1:31" s="65" customFormat="1" ht="27" customHeight="1" x14ac:dyDescent="0.15">
      <c r="A737" s="175">
        <v>1112467053</v>
      </c>
      <c r="B737" s="308" t="s">
        <v>7977</v>
      </c>
      <c r="C737" s="162" t="s">
        <v>7966</v>
      </c>
      <c r="D737" s="162" t="s">
        <v>78</v>
      </c>
      <c r="E737" s="162" t="s">
        <v>7967</v>
      </c>
      <c r="F737" s="309" t="s">
        <v>4892</v>
      </c>
      <c r="G737" s="175" t="s">
        <v>7968</v>
      </c>
      <c r="H737" s="175" t="s">
        <v>8056</v>
      </c>
      <c r="I737" s="141" t="s">
        <v>6457</v>
      </c>
      <c r="J737" s="142" t="s">
        <v>6457</v>
      </c>
      <c r="K737" s="142" t="s">
        <v>6457</v>
      </c>
      <c r="L737" s="142" t="s">
        <v>6457</v>
      </c>
      <c r="M737" s="142" t="s">
        <v>6457</v>
      </c>
      <c r="N737" s="143" t="s">
        <v>6457</v>
      </c>
      <c r="O737" s="138"/>
      <c r="P737" s="105"/>
      <c r="Q737" s="137"/>
      <c r="R737" s="138"/>
      <c r="S737" s="105"/>
      <c r="T737" s="132"/>
      <c r="U737" s="132"/>
      <c r="V737" s="152"/>
      <c r="W737" s="248"/>
      <c r="X737" s="152"/>
      <c r="Y737" s="136"/>
      <c r="Z737" s="132"/>
      <c r="AA737" s="132">
        <v>20</v>
      </c>
      <c r="AB737" s="132"/>
      <c r="AC737" s="132"/>
      <c r="AD737" s="144">
        <v>44866</v>
      </c>
      <c r="AE737" s="157" t="s">
        <v>7969</v>
      </c>
    </row>
    <row r="738" spans="1:31" ht="27" customHeight="1" x14ac:dyDescent="0.15">
      <c r="A738" s="105">
        <v>1112467079</v>
      </c>
      <c r="B738" s="130" t="s">
        <v>774</v>
      </c>
      <c r="C738" s="108" t="s">
        <v>10326</v>
      </c>
      <c r="D738" s="108" t="s">
        <v>78</v>
      </c>
      <c r="E738" s="108" t="s">
        <v>10276</v>
      </c>
      <c r="F738" s="131">
        <v>3540044</v>
      </c>
      <c r="G738" s="132" t="s">
        <v>10327</v>
      </c>
      <c r="H738" s="132" t="s">
        <v>10328</v>
      </c>
      <c r="I738" s="133" t="s">
        <v>49</v>
      </c>
      <c r="J738" s="134" t="s">
        <v>49</v>
      </c>
      <c r="K738" s="134" t="s">
        <v>49</v>
      </c>
      <c r="L738" s="134" t="s">
        <v>49</v>
      </c>
      <c r="M738" s="134"/>
      <c r="N738" s="135"/>
      <c r="O738" s="136"/>
      <c r="P738" s="105"/>
      <c r="Q738" s="152"/>
      <c r="R738" s="138"/>
      <c r="S738" s="105"/>
      <c r="T738" s="105">
        <v>20</v>
      </c>
      <c r="U738" s="105"/>
      <c r="V738" s="137"/>
      <c r="W738" s="138"/>
      <c r="X738" s="137"/>
      <c r="Y738" s="138"/>
      <c r="Z738" s="105"/>
      <c r="AA738" s="105"/>
      <c r="AB738" s="105"/>
      <c r="AC738" s="105"/>
      <c r="AD738" s="118">
        <v>45748</v>
      </c>
      <c r="AE738" s="108" t="s">
        <v>59</v>
      </c>
    </row>
    <row r="739" spans="1:31" ht="27" customHeight="1" x14ac:dyDescent="0.15">
      <c r="A739" s="150">
        <v>1112500143</v>
      </c>
      <c r="B739" s="106" t="s">
        <v>1137</v>
      </c>
      <c r="C739" s="107" t="s">
        <v>1138</v>
      </c>
      <c r="D739" s="108" t="s">
        <v>1139</v>
      </c>
      <c r="E739" s="108" t="s">
        <v>1140</v>
      </c>
      <c r="F739" s="151">
        <v>3590001</v>
      </c>
      <c r="G739" s="132" t="s">
        <v>8972</v>
      </c>
      <c r="H739" s="132" t="s">
        <v>8973</v>
      </c>
      <c r="I739" s="133" t="s">
        <v>3744</v>
      </c>
      <c r="J739" s="134"/>
      <c r="K739" s="134"/>
      <c r="L739" s="134"/>
      <c r="M739" s="134" t="s">
        <v>49</v>
      </c>
      <c r="N739" s="135" t="s">
        <v>3744</v>
      </c>
      <c r="O739" s="136"/>
      <c r="P739" s="105"/>
      <c r="Q739" s="152"/>
      <c r="R739" s="138"/>
      <c r="S739" s="132"/>
      <c r="T739" s="105">
        <v>50</v>
      </c>
      <c r="U739" s="132"/>
      <c r="V739" s="133"/>
      <c r="W739" s="242"/>
      <c r="X739" s="133"/>
      <c r="Y739" s="136"/>
      <c r="Z739" s="132"/>
      <c r="AA739" s="132"/>
      <c r="AB739" s="132"/>
      <c r="AC739" s="132"/>
      <c r="AD739" s="118">
        <v>40634</v>
      </c>
      <c r="AE739" s="108" t="s">
        <v>1141</v>
      </c>
    </row>
    <row r="740" spans="1:31" ht="27" customHeight="1" x14ac:dyDescent="0.15">
      <c r="A740" s="150">
        <v>1112500150</v>
      </c>
      <c r="B740" s="106" t="s">
        <v>1167</v>
      </c>
      <c r="C740" s="107" t="s">
        <v>1168</v>
      </c>
      <c r="D740" s="108" t="s">
        <v>890</v>
      </c>
      <c r="E740" s="108" t="s">
        <v>1169</v>
      </c>
      <c r="F740" s="151">
        <v>3591106</v>
      </c>
      <c r="G740" s="132" t="s">
        <v>2704</v>
      </c>
      <c r="H740" s="132" t="s">
        <v>8974</v>
      </c>
      <c r="I740" s="133"/>
      <c r="J740" s="134"/>
      <c r="K740" s="134"/>
      <c r="L740" s="134"/>
      <c r="M740" s="134" t="s">
        <v>49</v>
      </c>
      <c r="N740" s="135"/>
      <c r="O740" s="136"/>
      <c r="P740" s="105"/>
      <c r="Q740" s="152"/>
      <c r="R740" s="138"/>
      <c r="S740" s="132"/>
      <c r="T740" s="105">
        <v>55</v>
      </c>
      <c r="U740" s="132"/>
      <c r="V740" s="133"/>
      <c r="W740" s="242"/>
      <c r="X740" s="133"/>
      <c r="Y740" s="136"/>
      <c r="Z740" s="132"/>
      <c r="AA740" s="132"/>
      <c r="AB740" s="132"/>
      <c r="AC740" s="132"/>
      <c r="AD740" s="118">
        <v>40634</v>
      </c>
      <c r="AE740" s="108" t="s">
        <v>1170</v>
      </c>
    </row>
    <row r="741" spans="1:31" ht="27" customHeight="1" x14ac:dyDescent="0.15">
      <c r="A741" s="150">
        <v>1112500184</v>
      </c>
      <c r="B741" s="106" t="s">
        <v>1145</v>
      </c>
      <c r="C741" s="107" t="s">
        <v>1146</v>
      </c>
      <c r="D741" s="108" t="s">
        <v>1139</v>
      </c>
      <c r="E741" s="108" t="s">
        <v>1147</v>
      </c>
      <c r="F741" s="151">
        <v>3590012</v>
      </c>
      <c r="G741" s="132" t="s">
        <v>1148</v>
      </c>
      <c r="H741" s="132" t="s">
        <v>1149</v>
      </c>
      <c r="I741" s="133"/>
      <c r="J741" s="134"/>
      <c r="K741" s="134"/>
      <c r="L741" s="134"/>
      <c r="M741" s="134" t="s">
        <v>49</v>
      </c>
      <c r="N741" s="135"/>
      <c r="O741" s="136"/>
      <c r="P741" s="105"/>
      <c r="Q741" s="152"/>
      <c r="R741" s="138"/>
      <c r="S741" s="132"/>
      <c r="T741" s="105">
        <v>40</v>
      </c>
      <c r="U741" s="132"/>
      <c r="V741" s="133"/>
      <c r="W741" s="242"/>
      <c r="X741" s="133"/>
      <c r="Y741" s="136"/>
      <c r="Z741" s="132"/>
      <c r="AA741" s="132"/>
      <c r="AB741" s="132"/>
      <c r="AC741" s="132"/>
      <c r="AD741" s="118">
        <v>40634</v>
      </c>
      <c r="AE741" s="108" t="s">
        <v>1150</v>
      </c>
    </row>
    <row r="742" spans="1:31" ht="27" customHeight="1" x14ac:dyDescent="0.15">
      <c r="A742" s="105">
        <v>1112500192</v>
      </c>
      <c r="B742" s="106" t="s">
        <v>1221</v>
      </c>
      <c r="C742" s="107" t="s">
        <v>1220</v>
      </c>
      <c r="D742" s="108" t="s">
        <v>81</v>
      </c>
      <c r="E742" s="108" t="s">
        <v>1219</v>
      </c>
      <c r="F742" s="139">
        <v>3590004</v>
      </c>
      <c r="G742" s="140" t="s">
        <v>5884</v>
      </c>
      <c r="H742" s="140" t="s">
        <v>1218</v>
      </c>
      <c r="I742" s="141"/>
      <c r="J742" s="142"/>
      <c r="K742" s="142"/>
      <c r="L742" s="142"/>
      <c r="M742" s="142" t="s">
        <v>1196</v>
      </c>
      <c r="N742" s="143"/>
      <c r="O742" s="138"/>
      <c r="P742" s="105"/>
      <c r="Q742" s="137"/>
      <c r="R742" s="138"/>
      <c r="S742" s="105"/>
      <c r="T742" s="105">
        <v>50</v>
      </c>
      <c r="U742" s="105"/>
      <c r="V742" s="116"/>
      <c r="W742" s="117"/>
      <c r="X742" s="116"/>
      <c r="Y742" s="138"/>
      <c r="Z742" s="105"/>
      <c r="AA742" s="105">
        <v>10</v>
      </c>
      <c r="AB742" s="105"/>
      <c r="AC742" s="105"/>
      <c r="AD742" s="144">
        <v>40634</v>
      </c>
      <c r="AE742" s="108" t="s">
        <v>1217</v>
      </c>
    </row>
    <row r="743" spans="1:31" ht="27" customHeight="1" x14ac:dyDescent="0.15">
      <c r="A743" s="150">
        <v>1112500200</v>
      </c>
      <c r="B743" s="130" t="s">
        <v>872</v>
      </c>
      <c r="C743" s="108" t="s">
        <v>4948</v>
      </c>
      <c r="D743" s="108" t="s">
        <v>4949</v>
      </c>
      <c r="E743" s="108" t="s">
        <v>4950</v>
      </c>
      <c r="F743" s="230">
        <v>3590004</v>
      </c>
      <c r="G743" s="132" t="s">
        <v>4951</v>
      </c>
      <c r="H743" s="132" t="s">
        <v>4952</v>
      </c>
      <c r="I743" s="116"/>
      <c r="J743" s="154"/>
      <c r="K743" s="154"/>
      <c r="L743" s="154"/>
      <c r="M743" s="154" t="s">
        <v>4953</v>
      </c>
      <c r="N743" s="143"/>
      <c r="O743" s="138"/>
      <c r="P743" s="105">
        <v>60</v>
      </c>
      <c r="Q743" s="137" t="s">
        <v>4953</v>
      </c>
      <c r="R743" s="138">
        <v>8</v>
      </c>
      <c r="S743" s="105"/>
      <c r="T743" s="105">
        <v>60</v>
      </c>
      <c r="U743" s="105"/>
      <c r="V743" s="116"/>
      <c r="W743" s="117"/>
      <c r="X743" s="116"/>
      <c r="Y743" s="138"/>
      <c r="Z743" s="105"/>
      <c r="AA743" s="105"/>
      <c r="AB743" s="105"/>
      <c r="AC743" s="105"/>
      <c r="AD743" s="118">
        <v>40269</v>
      </c>
      <c r="AE743" s="108" t="s">
        <v>995</v>
      </c>
    </row>
    <row r="744" spans="1:31" ht="27" customHeight="1" x14ac:dyDescent="0.15">
      <c r="A744" s="105">
        <v>1112500325</v>
      </c>
      <c r="B744" s="130" t="s">
        <v>792</v>
      </c>
      <c r="C744" s="108" t="s">
        <v>519</v>
      </c>
      <c r="D744" s="108" t="s">
        <v>81</v>
      </c>
      <c r="E744" s="108" t="s">
        <v>147</v>
      </c>
      <c r="F744" s="131">
        <v>3590042</v>
      </c>
      <c r="G744" s="132" t="s">
        <v>644</v>
      </c>
      <c r="H744" s="132" t="s">
        <v>326</v>
      </c>
      <c r="I744" s="133" t="s">
        <v>303</v>
      </c>
      <c r="J744" s="134" t="s">
        <v>303</v>
      </c>
      <c r="K744" s="134" t="s">
        <v>303</v>
      </c>
      <c r="L744" s="134" t="s">
        <v>303</v>
      </c>
      <c r="M744" s="154"/>
      <c r="N744" s="143"/>
      <c r="O744" s="138"/>
      <c r="P744" s="105">
        <v>410</v>
      </c>
      <c r="Q744" s="152"/>
      <c r="R744" s="136"/>
      <c r="S744" s="105"/>
      <c r="T744" s="105"/>
      <c r="U744" s="105">
        <v>110</v>
      </c>
      <c r="V744" s="116">
        <v>30</v>
      </c>
      <c r="W744" s="117"/>
      <c r="X744" s="116">
        <v>100</v>
      </c>
      <c r="Y744" s="138">
        <v>168</v>
      </c>
      <c r="Z744" s="105"/>
      <c r="AA744" s="105"/>
      <c r="AB744" s="105"/>
      <c r="AC744" s="105"/>
      <c r="AD744" s="118">
        <v>38991</v>
      </c>
      <c r="AE744" s="108" t="s">
        <v>327</v>
      </c>
    </row>
    <row r="745" spans="1:31" ht="27" customHeight="1" x14ac:dyDescent="0.15">
      <c r="A745" s="105">
        <v>1112500325</v>
      </c>
      <c r="B745" s="130" t="s">
        <v>792</v>
      </c>
      <c r="C745" s="108" t="s">
        <v>519</v>
      </c>
      <c r="D745" s="108" t="s">
        <v>81</v>
      </c>
      <c r="E745" s="108" t="s">
        <v>147</v>
      </c>
      <c r="F745" s="131">
        <v>3590042</v>
      </c>
      <c r="G745" s="132" t="s">
        <v>644</v>
      </c>
      <c r="H745" s="132" t="s">
        <v>326</v>
      </c>
      <c r="I745" s="133" t="s">
        <v>49</v>
      </c>
      <c r="J745" s="134" t="s">
        <v>49</v>
      </c>
      <c r="K745" s="134" t="s">
        <v>49</v>
      </c>
      <c r="L745" s="134" t="s">
        <v>49</v>
      </c>
      <c r="M745" s="154"/>
      <c r="N745" s="143" t="s">
        <v>765</v>
      </c>
      <c r="O745" s="138"/>
      <c r="P745" s="105"/>
      <c r="Q745" s="152"/>
      <c r="R745" s="136"/>
      <c r="S745" s="105"/>
      <c r="T745" s="105"/>
      <c r="U745" s="105"/>
      <c r="V745" s="116"/>
      <c r="W745" s="117"/>
      <c r="X745" s="116"/>
      <c r="Y745" s="138"/>
      <c r="Z745" s="105"/>
      <c r="AA745" s="105"/>
      <c r="AB745" s="105" t="s">
        <v>49</v>
      </c>
      <c r="AC745" s="105"/>
      <c r="AD745" s="118">
        <v>43739</v>
      </c>
      <c r="AE745" s="108" t="s">
        <v>327</v>
      </c>
    </row>
    <row r="746" spans="1:31" s="540" customFormat="1" ht="27" customHeight="1" x14ac:dyDescent="0.15">
      <c r="A746" s="564">
        <v>1112500359</v>
      </c>
      <c r="B746" s="525" t="s">
        <v>776</v>
      </c>
      <c r="C746" s="526" t="s">
        <v>536</v>
      </c>
      <c r="D746" s="526" t="s">
        <v>81</v>
      </c>
      <c r="E746" s="526" t="s">
        <v>2335</v>
      </c>
      <c r="F746" s="527">
        <v>3590032</v>
      </c>
      <c r="G746" s="528" t="s">
        <v>10357</v>
      </c>
      <c r="H746" s="528" t="s">
        <v>646</v>
      </c>
      <c r="I746" s="529"/>
      <c r="J746" s="530"/>
      <c r="K746" s="530"/>
      <c r="L746" s="530"/>
      <c r="M746" s="530"/>
      <c r="N746" s="531" t="s">
        <v>49</v>
      </c>
      <c r="O746" s="532"/>
      <c r="P746" s="564"/>
      <c r="Q746" s="565"/>
      <c r="R746" s="566"/>
      <c r="S746" s="564"/>
      <c r="T746" s="564"/>
      <c r="U746" s="564"/>
      <c r="V746" s="567"/>
      <c r="W746" s="568"/>
      <c r="X746" s="567"/>
      <c r="Y746" s="566"/>
      <c r="Z746" s="564"/>
      <c r="AA746" s="569">
        <v>20</v>
      </c>
      <c r="AB746" s="564"/>
      <c r="AC746" s="564"/>
      <c r="AD746" s="570">
        <v>39172</v>
      </c>
      <c r="AE746" s="526" t="s">
        <v>2334</v>
      </c>
    </row>
    <row r="747" spans="1:31" ht="27" customHeight="1" x14ac:dyDescent="0.15">
      <c r="A747" s="105">
        <v>1112500366</v>
      </c>
      <c r="B747" s="130" t="s">
        <v>404</v>
      </c>
      <c r="C747" s="108" t="s">
        <v>328</v>
      </c>
      <c r="D747" s="108" t="s">
        <v>81</v>
      </c>
      <c r="E747" s="108" t="s">
        <v>3471</v>
      </c>
      <c r="F747" s="131">
        <v>3591118</v>
      </c>
      <c r="G747" s="132" t="s">
        <v>3472</v>
      </c>
      <c r="H747" s="132" t="s">
        <v>3472</v>
      </c>
      <c r="I747" s="133"/>
      <c r="J747" s="134"/>
      <c r="K747" s="134"/>
      <c r="L747" s="134"/>
      <c r="M747" s="134"/>
      <c r="N747" s="135" t="s">
        <v>289</v>
      </c>
      <c r="O747" s="136"/>
      <c r="P747" s="105"/>
      <c r="Q747" s="137"/>
      <c r="R747" s="138"/>
      <c r="S747" s="105"/>
      <c r="T747" s="105"/>
      <c r="U747" s="105"/>
      <c r="V747" s="116"/>
      <c r="W747" s="117"/>
      <c r="X747" s="116"/>
      <c r="Y747" s="138"/>
      <c r="Z747" s="105"/>
      <c r="AA747" s="105">
        <v>20</v>
      </c>
      <c r="AB747" s="105"/>
      <c r="AC747" s="105"/>
      <c r="AD747" s="118">
        <v>39173</v>
      </c>
      <c r="AE747" s="108" t="s">
        <v>3473</v>
      </c>
    </row>
    <row r="748" spans="1:31" ht="27" customHeight="1" x14ac:dyDescent="0.15">
      <c r="A748" s="105">
        <v>1112500374</v>
      </c>
      <c r="B748" s="130" t="s">
        <v>777</v>
      </c>
      <c r="C748" s="108" t="s">
        <v>518</v>
      </c>
      <c r="D748" s="108" t="s">
        <v>81</v>
      </c>
      <c r="E748" s="108" t="s">
        <v>329</v>
      </c>
      <c r="F748" s="131">
        <v>3590011</v>
      </c>
      <c r="G748" s="132" t="s">
        <v>647</v>
      </c>
      <c r="H748" s="132" t="s">
        <v>648</v>
      </c>
      <c r="I748" s="116"/>
      <c r="J748" s="154"/>
      <c r="K748" s="154"/>
      <c r="L748" s="154"/>
      <c r="M748" s="134" t="s">
        <v>49</v>
      </c>
      <c r="N748" s="143"/>
      <c r="O748" s="138"/>
      <c r="P748" s="105"/>
      <c r="Q748" s="137"/>
      <c r="R748" s="138"/>
      <c r="S748" s="105"/>
      <c r="T748" s="105"/>
      <c r="U748" s="105"/>
      <c r="V748" s="116"/>
      <c r="W748" s="117"/>
      <c r="X748" s="116"/>
      <c r="Y748" s="138"/>
      <c r="Z748" s="105"/>
      <c r="AA748" s="105">
        <v>34</v>
      </c>
      <c r="AB748" s="105"/>
      <c r="AC748" s="105"/>
      <c r="AD748" s="118">
        <v>39173</v>
      </c>
      <c r="AE748" s="108" t="s">
        <v>330</v>
      </c>
    </row>
    <row r="749" spans="1:31" ht="27" customHeight="1" x14ac:dyDescent="0.15">
      <c r="A749" s="105">
        <v>1112500408</v>
      </c>
      <c r="B749" s="130" t="s">
        <v>5360</v>
      </c>
      <c r="C749" s="108" t="s">
        <v>543</v>
      </c>
      <c r="D749" s="108" t="s">
        <v>81</v>
      </c>
      <c r="E749" s="108" t="s">
        <v>331</v>
      </c>
      <c r="F749" s="131">
        <v>3591104</v>
      </c>
      <c r="G749" s="132" t="s">
        <v>649</v>
      </c>
      <c r="H749" s="132" t="s">
        <v>5361</v>
      </c>
      <c r="I749" s="133"/>
      <c r="J749" s="134"/>
      <c r="K749" s="134"/>
      <c r="L749" s="134"/>
      <c r="M749" s="134"/>
      <c r="N749" s="135" t="s">
        <v>49</v>
      </c>
      <c r="O749" s="136"/>
      <c r="P749" s="105"/>
      <c r="Q749" s="137"/>
      <c r="R749" s="138"/>
      <c r="S749" s="105"/>
      <c r="T749" s="105"/>
      <c r="U749" s="105"/>
      <c r="V749" s="137"/>
      <c r="W749" s="138"/>
      <c r="X749" s="137"/>
      <c r="Y749" s="138"/>
      <c r="Z749" s="105"/>
      <c r="AA749" s="105">
        <v>20</v>
      </c>
      <c r="AB749" s="105"/>
      <c r="AC749" s="105"/>
      <c r="AD749" s="118">
        <v>39356</v>
      </c>
      <c r="AE749" s="108" t="s">
        <v>332</v>
      </c>
    </row>
    <row r="750" spans="1:31" s="65" customFormat="1" ht="27" customHeight="1" x14ac:dyDescent="0.15">
      <c r="A750" s="105">
        <v>1112500473</v>
      </c>
      <c r="B750" s="130" t="s">
        <v>778</v>
      </c>
      <c r="C750" s="108" t="s">
        <v>3784</v>
      </c>
      <c r="D750" s="108" t="s">
        <v>81</v>
      </c>
      <c r="E750" s="108" t="s">
        <v>4927</v>
      </c>
      <c r="F750" s="131">
        <v>3591152</v>
      </c>
      <c r="G750" s="132" t="s">
        <v>650</v>
      </c>
      <c r="H750" s="132" t="s">
        <v>651</v>
      </c>
      <c r="I750" s="133" t="s">
        <v>765</v>
      </c>
      <c r="J750" s="134" t="s">
        <v>765</v>
      </c>
      <c r="K750" s="134" t="s">
        <v>765</v>
      </c>
      <c r="L750" s="134"/>
      <c r="M750" s="134" t="s">
        <v>765</v>
      </c>
      <c r="N750" s="135" t="s">
        <v>765</v>
      </c>
      <c r="O750" s="136"/>
      <c r="P750" s="105"/>
      <c r="Q750" s="116"/>
      <c r="R750" s="138"/>
      <c r="S750" s="105"/>
      <c r="T750" s="105">
        <v>20</v>
      </c>
      <c r="U750" s="105"/>
      <c r="V750" s="116"/>
      <c r="W750" s="138"/>
      <c r="X750" s="116"/>
      <c r="Y750" s="138"/>
      <c r="Z750" s="105"/>
      <c r="AA750" s="105">
        <v>35</v>
      </c>
      <c r="AB750" s="105"/>
      <c r="AC750" s="105"/>
      <c r="AD750" s="118">
        <v>39417</v>
      </c>
      <c r="AE750" s="108" t="s">
        <v>474</v>
      </c>
    </row>
    <row r="751" spans="1:31" s="65" customFormat="1" ht="27" customHeight="1" x14ac:dyDescent="0.15">
      <c r="A751" s="105">
        <v>1112500499</v>
      </c>
      <c r="B751" s="130" t="s">
        <v>779</v>
      </c>
      <c r="C751" s="108" t="s">
        <v>583</v>
      </c>
      <c r="D751" s="108" t="s">
        <v>81</v>
      </c>
      <c r="E751" s="108" t="s">
        <v>150</v>
      </c>
      <c r="F751" s="131">
        <v>3591106</v>
      </c>
      <c r="G751" s="132" t="s">
        <v>652</v>
      </c>
      <c r="H751" s="132" t="s">
        <v>653</v>
      </c>
      <c r="I751" s="133" t="s">
        <v>66</v>
      </c>
      <c r="J751" s="134" t="s">
        <v>66</v>
      </c>
      <c r="K751" s="134" t="s">
        <v>66</v>
      </c>
      <c r="L751" s="134" t="s">
        <v>66</v>
      </c>
      <c r="M751" s="134"/>
      <c r="N751" s="135"/>
      <c r="O751" s="136"/>
      <c r="P751" s="132"/>
      <c r="Q751" s="152"/>
      <c r="R751" s="136"/>
      <c r="S751" s="132"/>
      <c r="T751" s="105">
        <v>28</v>
      </c>
      <c r="U751" s="132"/>
      <c r="V751" s="152"/>
      <c r="W751" s="136"/>
      <c r="X751" s="152"/>
      <c r="Y751" s="136"/>
      <c r="Z751" s="132"/>
      <c r="AA751" s="132"/>
      <c r="AB751" s="132"/>
      <c r="AC751" s="132"/>
      <c r="AD751" s="155">
        <v>39539</v>
      </c>
      <c r="AE751" s="108" t="s">
        <v>475</v>
      </c>
    </row>
    <row r="752" spans="1:31" s="65" customFormat="1" ht="27" customHeight="1" x14ac:dyDescent="0.15">
      <c r="A752" s="105">
        <v>1112500549</v>
      </c>
      <c r="B752" s="106" t="s">
        <v>781</v>
      </c>
      <c r="C752" s="107" t="s">
        <v>171</v>
      </c>
      <c r="D752" s="108" t="s">
        <v>81</v>
      </c>
      <c r="E752" s="108" t="s">
        <v>333</v>
      </c>
      <c r="F752" s="139">
        <v>3590001</v>
      </c>
      <c r="G752" s="140" t="s">
        <v>334</v>
      </c>
      <c r="H752" s="140" t="s">
        <v>335</v>
      </c>
      <c r="I752" s="141" t="s">
        <v>251</v>
      </c>
      <c r="J752" s="142" t="s">
        <v>251</v>
      </c>
      <c r="K752" s="142" t="s">
        <v>251</v>
      </c>
      <c r="L752" s="142" t="s">
        <v>251</v>
      </c>
      <c r="M752" s="142" t="s">
        <v>251</v>
      </c>
      <c r="N752" s="143"/>
      <c r="O752" s="138"/>
      <c r="P752" s="105"/>
      <c r="Q752" s="137"/>
      <c r="R752" s="138"/>
      <c r="S752" s="105"/>
      <c r="T752" s="105">
        <v>40</v>
      </c>
      <c r="U752" s="105"/>
      <c r="V752" s="137"/>
      <c r="W752" s="138"/>
      <c r="X752" s="137"/>
      <c r="Y752" s="138"/>
      <c r="Z752" s="105"/>
      <c r="AA752" s="105"/>
      <c r="AB752" s="105"/>
      <c r="AC752" s="105"/>
      <c r="AD752" s="144">
        <v>39904</v>
      </c>
      <c r="AE752" s="108" t="s">
        <v>772</v>
      </c>
    </row>
    <row r="753" spans="1:32" s="65" customFormat="1" ht="27" customHeight="1" x14ac:dyDescent="0.15">
      <c r="A753" s="132">
        <v>1112500630</v>
      </c>
      <c r="B753" s="130" t="s">
        <v>1031</v>
      </c>
      <c r="C753" s="108" t="s">
        <v>1022</v>
      </c>
      <c r="D753" s="108" t="s">
        <v>81</v>
      </c>
      <c r="E753" s="108" t="s">
        <v>1024</v>
      </c>
      <c r="F753" s="139">
        <v>3590001</v>
      </c>
      <c r="G753" s="140" t="s">
        <v>1025</v>
      </c>
      <c r="H753" s="140" t="s">
        <v>1026</v>
      </c>
      <c r="I753" s="141"/>
      <c r="J753" s="142"/>
      <c r="K753" s="142"/>
      <c r="L753" s="142"/>
      <c r="M753" s="154" t="s">
        <v>1027</v>
      </c>
      <c r="N753" s="143"/>
      <c r="O753" s="138"/>
      <c r="P753" s="105"/>
      <c r="Q753" s="137"/>
      <c r="R753" s="138"/>
      <c r="S753" s="105"/>
      <c r="T753" s="105"/>
      <c r="U753" s="105"/>
      <c r="V753" s="137"/>
      <c r="W753" s="138"/>
      <c r="X753" s="137"/>
      <c r="Y753" s="138"/>
      <c r="Z753" s="105"/>
      <c r="AA753" s="105">
        <v>30</v>
      </c>
      <c r="AB753" s="105"/>
      <c r="AC753" s="105"/>
      <c r="AD753" s="144">
        <v>40299</v>
      </c>
      <c r="AE753" s="108" t="s">
        <v>772</v>
      </c>
      <c r="AF753" s="67"/>
    </row>
    <row r="754" spans="1:32" s="65" customFormat="1" ht="27" customHeight="1" x14ac:dyDescent="0.15">
      <c r="A754" s="132">
        <v>1112500648</v>
      </c>
      <c r="B754" s="130" t="s">
        <v>2536</v>
      </c>
      <c r="C754" s="108" t="s">
        <v>3528</v>
      </c>
      <c r="D754" s="108" t="s">
        <v>81</v>
      </c>
      <c r="E754" s="108" t="s">
        <v>1497</v>
      </c>
      <c r="F754" s="139">
        <v>3591143</v>
      </c>
      <c r="G754" s="140" t="s">
        <v>1418</v>
      </c>
      <c r="H754" s="140" t="s">
        <v>1419</v>
      </c>
      <c r="I754" s="141" t="s">
        <v>49</v>
      </c>
      <c r="J754" s="142" t="s">
        <v>49</v>
      </c>
      <c r="K754" s="142" t="s">
        <v>49</v>
      </c>
      <c r="L754" s="142" t="s">
        <v>49</v>
      </c>
      <c r="M754" s="142" t="s">
        <v>49</v>
      </c>
      <c r="N754" s="143" t="s">
        <v>49</v>
      </c>
      <c r="O754" s="138" t="s">
        <v>49</v>
      </c>
      <c r="P754" s="105"/>
      <c r="Q754" s="137"/>
      <c r="R754" s="138"/>
      <c r="S754" s="105"/>
      <c r="T754" s="105"/>
      <c r="U754" s="105"/>
      <c r="V754" s="137"/>
      <c r="W754" s="138"/>
      <c r="X754" s="137">
        <v>20</v>
      </c>
      <c r="Y754" s="138"/>
      <c r="Z754" s="105"/>
      <c r="AA754" s="105"/>
      <c r="AB754" s="105"/>
      <c r="AC754" s="105"/>
      <c r="AD754" s="144">
        <v>40299</v>
      </c>
      <c r="AE754" s="108" t="s">
        <v>243</v>
      </c>
    </row>
    <row r="755" spans="1:32" s="65" customFormat="1" ht="27" customHeight="1" x14ac:dyDescent="0.15">
      <c r="A755" s="105">
        <v>1112500648</v>
      </c>
      <c r="B755" s="130" t="s">
        <v>2536</v>
      </c>
      <c r="C755" s="108" t="s">
        <v>4694</v>
      </c>
      <c r="D755" s="108" t="s">
        <v>81</v>
      </c>
      <c r="E755" s="108" t="s">
        <v>1497</v>
      </c>
      <c r="F755" s="139">
        <v>3591143</v>
      </c>
      <c r="G755" s="140" t="s">
        <v>4695</v>
      </c>
      <c r="H755" s="140" t="s">
        <v>4696</v>
      </c>
      <c r="I755" s="141" t="s">
        <v>4686</v>
      </c>
      <c r="J755" s="142" t="s">
        <v>4686</v>
      </c>
      <c r="K755" s="142" t="s">
        <v>4686</v>
      </c>
      <c r="L755" s="142" t="s">
        <v>4686</v>
      </c>
      <c r="M755" s="142" t="s">
        <v>4686</v>
      </c>
      <c r="N755" s="143" t="s">
        <v>4686</v>
      </c>
      <c r="O755" s="138" t="s">
        <v>4686</v>
      </c>
      <c r="P755" s="105"/>
      <c r="Q755" s="137"/>
      <c r="R755" s="138"/>
      <c r="S755" s="105"/>
      <c r="T755" s="105"/>
      <c r="U755" s="105"/>
      <c r="V755" s="137"/>
      <c r="W755" s="138"/>
      <c r="X755" s="137"/>
      <c r="Y755" s="138"/>
      <c r="Z755" s="105"/>
      <c r="AA755" s="105"/>
      <c r="AB755" s="105" t="s">
        <v>4686</v>
      </c>
      <c r="AC755" s="105"/>
      <c r="AD755" s="118">
        <v>43374</v>
      </c>
      <c r="AE755" s="108" t="s">
        <v>243</v>
      </c>
    </row>
    <row r="756" spans="1:32" s="65" customFormat="1" ht="27" customHeight="1" x14ac:dyDescent="0.15">
      <c r="A756" s="132">
        <v>1112500697</v>
      </c>
      <c r="B756" s="130" t="s">
        <v>6551</v>
      </c>
      <c r="C756" s="108" t="s">
        <v>1099</v>
      </c>
      <c r="D756" s="108" t="s">
        <v>81</v>
      </c>
      <c r="E756" s="108" t="s">
        <v>10149</v>
      </c>
      <c r="F756" s="139">
        <v>3590001</v>
      </c>
      <c r="G756" s="140" t="s">
        <v>1100</v>
      </c>
      <c r="H756" s="140" t="s">
        <v>1101</v>
      </c>
      <c r="I756" s="141" t="s">
        <v>49</v>
      </c>
      <c r="J756" s="142"/>
      <c r="K756" s="142" t="s">
        <v>49</v>
      </c>
      <c r="L756" s="142" t="s">
        <v>49</v>
      </c>
      <c r="M756" s="142" t="s">
        <v>49</v>
      </c>
      <c r="N756" s="143" t="s">
        <v>49</v>
      </c>
      <c r="O756" s="138"/>
      <c r="P756" s="105"/>
      <c r="Q756" s="137"/>
      <c r="R756" s="138"/>
      <c r="S756" s="105"/>
      <c r="T756" s="105"/>
      <c r="U756" s="105"/>
      <c r="V756" s="137"/>
      <c r="W756" s="138"/>
      <c r="X756" s="137"/>
      <c r="Y756" s="138"/>
      <c r="Z756" s="105">
        <v>20</v>
      </c>
      <c r="AA756" s="105">
        <v>20</v>
      </c>
      <c r="AB756" s="105"/>
      <c r="AC756" s="105"/>
      <c r="AD756" s="144">
        <v>40544</v>
      </c>
      <c r="AE756" s="108" t="s">
        <v>1102</v>
      </c>
    </row>
    <row r="757" spans="1:32" ht="27" customHeight="1" x14ac:dyDescent="0.15">
      <c r="A757" s="132">
        <v>1112500705</v>
      </c>
      <c r="B757" s="106" t="s">
        <v>781</v>
      </c>
      <c r="C757" s="108" t="s">
        <v>1306</v>
      </c>
      <c r="D757" s="108" t="s">
        <v>81</v>
      </c>
      <c r="E757" s="108" t="s">
        <v>1307</v>
      </c>
      <c r="F757" s="139">
        <v>3590026</v>
      </c>
      <c r="G757" s="140" t="s">
        <v>1308</v>
      </c>
      <c r="H757" s="140" t="s">
        <v>1309</v>
      </c>
      <c r="I757" s="141"/>
      <c r="J757" s="142"/>
      <c r="K757" s="142"/>
      <c r="L757" s="142"/>
      <c r="M757" s="142" t="s">
        <v>49</v>
      </c>
      <c r="N757" s="143"/>
      <c r="O757" s="138"/>
      <c r="P757" s="105">
        <v>54</v>
      </c>
      <c r="Q757" s="137" t="s">
        <v>49</v>
      </c>
      <c r="R757" s="138">
        <v>6</v>
      </c>
      <c r="S757" s="105"/>
      <c r="T757" s="105">
        <v>54</v>
      </c>
      <c r="U757" s="105"/>
      <c r="V757" s="137"/>
      <c r="W757" s="138"/>
      <c r="X757" s="137"/>
      <c r="Y757" s="138"/>
      <c r="Z757" s="105"/>
      <c r="AA757" s="105"/>
      <c r="AB757" s="105"/>
      <c r="AC757" s="105"/>
      <c r="AD757" s="144">
        <v>40634</v>
      </c>
      <c r="AE757" s="108" t="s">
        <v>1310</v>
      </c>
    </row>
    <row r="758" spans="1:32" ht="27" customHeight="1" x14ac:dyDescent="0.15">
      <c r="A758" s="132">
        <v>1112500754</v>
      </c>
      <c r="B758" s="106" t="s">
        <v>1792</v>
      </c>
      <c r="C758" s="108" t="s">
        <v>1791</v>
      </c>
      <c r="D758" s="108" t="s">
        <v>81</v>
      </c>
      <c r="E758" s="108" t="s">
        <v>1793</v>
      </c>
      <c r="F758" s="139" t="s">
        <v>1794</v>
      </c>
      <c r="G758" s="140" t="s">
        <v>1797</v>
      </c>
      <c r="H758" s="140" t="s">
        <v>1798</v>
      </c>
      <c r="I758" s="141"/>
      <c r="J758" s="142"/>
      <c r="K758" s="142"/>
      <c r="L758" s="142"/>
      <c r="M758" s="142" t="s">
        <v>1795</v>
      </c>
      <c r="N758" s="143"/>
      <c r="O758" s="138"/>
      <c r="P758" s="105"/>
      <c r="Q758" s="137"/>
      <c r="R758" s="138"/>
      <c r="S758" s="105"/>
      <c r="T758" s="105"/>
      <c r="U758" s="105"/>
      <c r="V758" s="137"/>
      <c r="W758" s="138"/>
      <c r="X758" s="137"/>
      <c r="Y758" s="138"/>
      <c r="Z758" s="105"/>
      <c r="AA758" s="105">
        <v>35</v>
      </c>
      <c r="AB758" s="105"/>
      <c r="AC758" s="105"/>
      <c r="AD758" s="144">
        <v>41000</v>
      </c>
      <c r="AE758" s="108" t="s">
        <v>1796</v>
      </c>
    </row>
    <row r="759" spans="1:32" s="65" customFormat="1" ht="27" customHeight="1" x14ac:dyDescent="0.15">
      <c r="A759" s="105">
        <v>1112500804</v>
      </c>
      <c r="B759" s="130" t="s">
        <v>2101</v>
      </c>
      <c r="C759" s="108" t="s">
        <v>4264</v>
      </c>
      <c r="D759" s="108" t="s">
        <v>81</v>
      </c>
      <c r="E759" s="108" t="s">
        <v>1903</v>
      </c>
      <c r="F759" s="139" t="s">
        <v>4875</v>
      </c>
      <c r="G759" s="140" t="s">
        <v>4876</v>
      </c>
      <c r="H759" s="140" t="s">
        <v>4877</v>
      </c>
      <c r="I759" s="141"/>
      <c r="J759" s="142"/>
      <c r="K759" s="142"/>
      <c r="L759" s="142"/>
      <c r="M759" s="142" t="s">
        <v>49</v>
      </c>
      <c r="N759" s="143" t="s">
        <v>49</v>
      </c>
      <c r="O759" s="138"/>
      <c r="P759" s="105"/>
      <c r="Q759" s="137"/>
      <c r="R759" s="138"/>
      <c r="S759" s="105"/>
      <c r="T759" s="105"/>
      <c r="U759" s="105"/>
      <c r="V759" s="116"/>
      <c r="W759" s="117"/>
      <c r="X759" s="116"/>
      <c r="Y759" s="138"/>
      <c r="Z759" s="105"/>
      <c r="AA759" s="105">
        <v>20</v>
      </c>
      <c r="AB759" s="105"/>
      <c r="AC759" s="105"/>
      <c r="AD759" s="144">
        <v>41000</v>
      </c>
      <c r="AE759" s="108" t="s">
        <v>1904</v>
      </c>
    </row>
    <row r="760" spans="1:32" s="65" customFormat="1" ht="27" customHeight="1" x14ac:dyDescent="0.15">
      <c r="A760" s="105">
        <v>1112500812</v>
      </c>
      <c r="B760" s="106" t="s">
        <v>1145</v>
      </c>
      <c r="C760" s="107" t="s">
        <v>1885</v>
      </c>
      <c r="D760" s="108" t="s">
        <v>81</v>
      </c>
      <c r="E760" s="108" t="s">
        <v>1886</v>
      </c>
      <c r="F760" s="139" t="s">
        <v>1887</v>
      </c>
      <c r="G760" s="140" t="s">
        <v>1888</v>
      </c>
      <c r="H760" s="140" t="s">
        <v>1889</v>
      </c>
      <c r="I760" s="141"/>
      <c r="J760" s="142"/>
      <c r="K760" s="142"/>
      <c r="L760" s="142"/>
      <c r="M760" s="142" t="s">
        <v>49</v>
      </c>
      <c r="N760" s="143"/>
      <c r="O760" s="138"/>
      <c r="P760" s="105"/>
      <c r="Q760" s="137"/>
      <c r="R760" s="138"/>
      <c r="S760" s="105"/>
      <c r="T760" s="105">
        <v>20</v>
      </c>
      <c r="U760" s="105"/>
      <c r="V760" s="116"/>
      <c r="W760" s="117"/>
      <c r="X760" s="116"/>
      <c r="Y760" s="138"/>
      <c r="Z760" s="105"/>
      <c r="AA760" s="105"/>
      <c r="AB760" s="105"/>
      <c r="AC760" s="105"/>
      <c r="AD760" s="144">
        <v>41000</v>
      </c>
      <c r="AE760" s="108" t="s">
        <v>1913</v>
      </c>
    </row>
    <row r="761" spans="1:32" s="65" customFormat="1" ht="27" customHeight="1" x14ac:dyDescent="0.15">
      <c r="A761" s="132">
        <v>1112500879</v>
      </c>
      <c r="B761" s="130" t="s">
        <v>2122</v>
      </c>
      <c r="C761" s="108" t="s">
        <v>2116</v>
      </c>
      <c r="D761" s="108" t="s">
        <v>81</v>
      </c>
      <c r="E761" s="108" t="s">
        <v>2117</v>
      </c>
      <c r="F761" s="131" t="s">
        <v>2118</v>
      </c>
      <c r="G761" s="132" t="s">
        <v>2119</v>
      </c>
      <c r="H761" s="132" t="s">
        <v>2120</v>
      </c>
      <c r="I761" s="133"/>
      <c r="J761" s="134"/>
      <c r="K761" s="134"/>
      <c r="L761" s="134" t="s">
        <v>2115</v>
      </c>
      <c r="M761" s="134" t="s">
        <v>2115</v>
      </c>
      <c r="N761" s="135" t="s">
        <v>2115</v>
      </c>
      <c r="O761" s="136" t="s">
        <v>2303</v>
      </c>
      <c r="P761" s="105"/>
      <c r="Q761" s="152"/>
      <c r="R761" s="138"/>
      <c r="S761" s="132"/>
      <c r="T761" s="105"/>
      <c r="U761" s="132"/>
      <c r="V761" s="116"/>
      <c r="W761" s="117"/>
      <c r="X761" s="152">
        <v>20</v>
      </c>
      <c r="Y761" s="136"/>
      <c r="Z761" s="132"/>
      <c r="AA761" s="132"/>
      <c r="AB761" s="132"/>
      <c r="AC761" s="132"/>
      <c r="AD761" s="155">
        <v>41214</v>
      </c>
      <c r="AE761" s="108" t="s">
        <v>2121</v>
      </c>
    </row>
    <row r="762" spans="1:32" ht="27" customHeight="1" x14ac:dyDescent="0.15">
      <c r="A762" s="105">
        <v>1112500879</v>
      </c>
      <c r="B762" s="130" t="s">
        <v>2311</v>
      </c>
      <c r="C762" s="108" t="s">
        <v>4688</v>
      </c>
      <c r="D762" s="108" t="s">
        <v>81</v>
      </c>
      <c r="E762" s="108" t="s">
        <v>4689</v>
      </c>
      <c r="F762" s="131" t="s">
        <v>4690</v>
      </c>
      <c r="G762" s="132" t="s">
        <v>4691</v>
      </c>
      <c r="H762" s="132" t="s">
        <v>4692</v>
      </c>
      <c r="I762" s="133"/>
      <c r="J762" s="134"/>
      <c r="K762" s="134"/>
      <c r="L762" s="134" t="s">
        <v>4686</v>
      </c>
      <c r="M762" s="134" t="s">
        <v>4686</v>
      </c>
      <c r="N762" s="135" t="s">
        <v>4686</v>
      </c>
      <c r="O762" s="136" t="s">
        <v>4686</v>
      </c>
      <c r="P762" s="105"/>
      <c r="Q762" s="137"/>
      <c r="R762" s="138"/>
      <c r="S762" s="105"/>
      <c r="T762" s="105"/>
      <c r="U762" s="105"/>
      <c r="V762" s="137"/>
      <c r="W762" s="138"/>
      <c r="X762" s="137"/>
      <c r="Y762" s="138"/>
      <c r="Z762" s="105"/>
      <c r="AA762" s="105"/>
      <c r="AB762" s="105" t="s">
        <v>4686</v>
      </c>
      <c r="AC762" s="105"/>
      <c r="AD762" s="118">
        <v>43374</v>
      </c>
      <c r="AE762" s="108" t="s">
        <v>4693</v>
      </c>
    </row>
    <row r="763" spans="1:32" ht="27" customHeight="1" x14ac:dyDescent="0.15">
      <c r="A763" s="105">
        <v>1112500911</v>
      </c>
      <c r="B763" s="130" t="s">
        <v>2166</v>
      </c>
      <c r="C763" s="108" t="s">
        <v>4928</v>
      </c>
      <c r="D763" s="108" t="s">
        <v>81</v>
      </c>
      <c r="E763" s="108" t="s">
        <v>2208</v>
      </c>
      <c r="F763" s="131" t="s">
        <v>4929</v>
      </c>
      <c r="G763" s="132" t="s">
        <v>4930</v>
      </c>
      <c r="H763" s="132" t="s">
        <v>4930</v>
      </c>
      <c r="I763" s="133"/>
      <c r="J763" s="134"/>
      <c r="K763" s="134"/>
      <c r="L763" s="134"/>
      <c r="M763" s="134" t="s">
        <v>4931</v>
      </c>
      <c r="N763" s="135"/>
      <c r="O763" s="136"/>
      <c r="P763" s="132"/>
      <c r="Q763" s="152"/>
      <c r="R763" s="136"/>
      <c r="S763" s="132"/>
      <c r="T763" s="132">
        <v>20</v>
      </c>
      <c r="U763" s="132"/>
      <c r="V763" s="152"/>
      <c r="W763" s="136"/>
      <c r="X763" s="152"/>
      <c r="Y763" s="136"/>
      <c r="Z763" s="132"/>
      <c r="AA763" s="105"/>
      <c r="AB763" s="105"/>
      <c r="AC763" s="105"/>
      <c r="AD763" s="118">
        <v>41365</v>
      </c>
      <c r="AE763" s="108" t="s">
        <v>2209</v>
      </c>
    </row>
    <row r="764" spans="1:32" ht="27" customHeight="1" x14ac:dyDescent="0.15">
      <c r="A764" s="105">
        <v>1112500945</v>
      </c>
      <c r="B764" s="106" t="s">
        <v>2268</v>
      </c>
      <c r="C764" s="107" t="s">
        <v>2269</v>
      </c>
      <c r="D764" s="108" t="s">
        <v>81</v>
      </c>
      <c r="E764" s="108" t="s">
        <v>2270</v>
      </c>
      <c r="F764" s="139" t="s">
        <v>2271</v>
      </c>
      <c r="G764" s="140" t="s">
        <v>3428</v>
      </c>
      <c r="H764" s="140" t="s">
        <v>3429</v>
      </c>
      <c r="I764" s="141"/>
      <c r="J764" s="142"/>
      <c r="K764" s="142"/>
      <c r="L764" s="142"/>
      <c r="M764" s="142" t="s">
        <v>49</v>
      </c>
      <c r="N764" s="143"/>
      <c r="O764" s="138"/>
      <c r="P764" s="105"/>
      <c r="Q764" s="137"/>
      <c r="R764" s="138"/>
      <c r="S764" s="105"/>
      <c r="T764" s="105">
        <v>10</v>
      </c>
      <c r="U764" s="105"/>
      <c r="V764" s="116"/>
      <c r="W764" s="117"/>
      <c r="X764" s="137"/>
      <c r="Y764" s="138"/>
      <c r="Z764" s="105"/>
      <c r="AA764" s="105">
        <v>30</v>
      </c>
      <c r="AB764" s="105"/>
      <c r="AC764" s="105"/>
      <c r="AD764" s="144">
        <v>41548</v>
      </c>
      <c r="AE764" s="108" t="s">
        <v>2272</v>
      </c>
    </row>
    <row r="765" spans="1:32" s="65" customFormat="1" ht="27" customHeight="1" x14ac:dyDescent="0.15">
      <c r="A765" s="105">
        <v>1112500994</v>
      </c>
      <c r="B765" s="130" t="s">
        <v>2369</v>
      </c>
      <c r="C765" s="108" t="s">
        <v>2368</v>
      </c>
      <c r="D765" s="108" t="s">
        <v>81</v>
      </c>
      <c r="E765" s="108" t="s">
        <v>2370</v>
      </c>
      <c r="F765" s="139" t="s">
        <v>1794</v>
      </c>
      <c r="G765" s="140" t="s">
        <v>2371</v>
      </c>
      <c r="H765" s="140" t="s">
        <v>2372</v>
      </c>
      <c r="I765" s="141"/>
      <c r="J765" s="142"/>
      <c r="K765" s="142"/>
      <c r="L765" s="142"/>
      <c r="M765" s="142" t="s">
        <v>49</v>
      </c>
      <c r="N765" s="143"/>
      <c r="O765" s="138"/>
      <c r="P765" s="105"/>
      <c r="Q765" s="137"/>
      <c r="R765" s="138"/>
      <c r="S765" s="105"/>
      <c r="T765" s="105">
        <v>20</v>
      </c>
      <c r="U765" s="105"/>
      <c r="V765" s="116"/>
      <c r="W765" s="117"/>
      <c r="X765" s="137"/>
      <c r="Y765" s="138"/>
      <c r="Z765" s="105"/>
      <c r="AA765" s="105">
        <v>10</v>
      </c>
      <c r="AB765" s="105"/>
      <c r="AC765" s="105"/>
      <c r="AD765" s="144">
        <v>41730</v>
      </c>
      <c r="AE765" s="108" t="s">
        <v>2373</v>
      </c>
    </row>
    <row r="766" spans="1:32" ht="27" customHeight="1" x14ac:dyDescent="0.15">
      <c r="A766" s="105">
        <v>1112501018</v>
      </c>
      <c r="B766" s="130" t="s">
        <v>2387</v>
      </c>
      <c r="C766" s="108" t="s">
        <v>2374</v>
      </c>
      <c r="D766" s="108" t="s">
        <v>81</v>
      </c>
      <c r="E766" s="108" t="s">
        <v>11617</v>
      </c>
      <c r="F766" s="139" t="s">
        <v>2118</v>
      </c>
      <c r="G766" s="140" t="s">
        <v>2376</v>
      </c>
      <c r="H766" s="140" t="s">
        <v>2376</v>
      </c>
      <c r="I766" s="141"/>
      <c r="J766" s="142"/>
      <c r="K766" s="142"/>
      <c r="L766" s="142"/>
      <c r="M766" s="142"/>
      <c r="N766" s="143" t="s">
        <v>49</v>
      </c>
      <c r="O766" s="138"/>
      <c r="P766" s="105"/>
      <c r="Q766" s="137"/>
      <c r="R766" s="138"/>
      <c r="S766" s="105"/>
      <c r="T766" s="105"/>
      <c r="U766" s="105"/>
      <c r="V766" s="116"/>
      <c r="W766" s="117"/>
      <c r="X766" s="137"/>
      <c r="Y766" s="138"/>
      <c r="Z766" s="105"/>
      <c r="AA766" s="105">
        <v>39</v>
      </c>
      <c r="AB766" s="105"/>
      <c r="AC766" s="105"/>
      <c r="AD766" s="144">
        <v>41730</v>
      </c>
      <c r="AE766" s="108" t="s">
        <v>2375</v>
      </c>
    </row>
    <row r="767" spans="1:32" ht="27" customHeight="1" x14ac:dyDescent="0.15">
      <c r="A767" s="105">
        <v>1112501083</v>
      </c>
      <c r="B767" s="278" t="s">
        <v>7636</v>
      </c>
      <c r="C767" s="278" t="s">
        <v>7637</v>
      </c>
      <c r="D767" s="108" t="s">
        <v>81</v>
      </c>
      <c r="E767" s="108" t="s">
        <v>2706</v>
      </c>
      <c r="F767" s="139" t="s">
        <v>2707</v>
      </c>
      <c r="G767" s="140" t="s">
        <v>2708</v>
      </c>
      <c r="H767" s="140" t="s">
        <v>2709</v>
      </c>
      <c r="I767" s="141"/>
      <c r="J767" s="142"/>
      <c r="K767" s="142"/>
      <c r="L767" s="142"/>
      <c r="M767" s="142" t="s">
        <v>49</v>
      </c>
      <c r="N767" s="143" t="s">
        <v>49</v>
      </c>
      <c r="O767" s="138" t="s">
        <v>49</v>
      </c>
      <c r="P767" s="105"/>
      <c r="Q767" s="137"/>
      <c r="R767" s="138"/>
      <c r="S767" s="105"/>
      <c r="T767" s="105"/>
      <c r="U767" s="105"/>
      <c r="V767" s="137"/>
      <c r="W767" s="138"/>
      <c r="X767" s="137"/>
      <c r="Y767" s="138"/>
      <c r="Z767" s="105">
        <v>20</v>
      </c>
      <c r="AA767" s="105"/>
      <c r="AB767" s="105"/>
      <c r="AC767" s="105"/>
      <c r="AD767" s="118">
        <v>41913</v>
      </c>
      <c r="AE767" s="108" t="s">
        <v>2710</v>
      </c>
    </row>
    <row r="768" spans="1:32" ht="27" customHeight="1" x14ac:dyDescent="0.15">
      <c r="A768" s="105">
        <v>1112501158</v>
      </c>
      <c r="B768" s="106" t="s">
        <v>3153</v>
      </c>
      <c r="C768" s="107" t="s">
        <v>3099</v>
      </c>
      <c r="D768" s="108" t="s">
        <v>81</v>
      </c>
      <c r="E768" s="108" t="s">
        <v>3100</v>
      </c>
      <c r="F768" s="139" t="s">
        <v>3101</v>
      </c>
      <c r="G768" s="140" t="s">
        <v>3102</v>
      </c>
      <c r="H768" s="140" t="s">
        <v>3103</v>
      </c>
      <c r="I768" s="141"/>
      <c r="J768" s="142"/>
      <c r="K768" s="142"/>
      <c r="L768" s="142" t="s">
        <v>3104</v>
      </c>
      <c r="M768" s="142" t="s">
        <v>3104</v>
      </c>
      <c r="N768" s="143" t="s">
        <v>3104</v>
      </c>
      <c r="O768" s="138" t="s">
        <v>3104</v>
      </c>
      <c r="P768" s="105"/>
      <c r="Q768" s="137"/>
      <c r="R768" s="138"/>
      <c r="S768" s="105"/>
      <c r="T768" s="105"/>
      <c r="U768" s="105"/>
      <c r="V768" s="137"/>
      <c r="W768" s="138"/>
      <c r="X768" s="137">
        <v>20</v>
      </c>
      <c r="Y768" s="138"/>
      <c r="Z768" s="105"/>
      <c r="AA768" s="105"/>
      <c r="AB768" s="105"/>
      <c r="AC768" s="105"/>
      <c r="AD768" s="144">
        <v>42217</v>
      </c>
      <c r="AE768" s="108" t="s">
        <v>3105</v>
      </c>
    </row>
    <row r="769" spans="1:31" ht="27" customHeight="1" x14ac:dyDescent="0.15">
      <c r="A769" s="105">
        <v>1112501158</v>
      </c>
      <c r="B769" s="106" t="s">
        <v>3153</v>
      </c>
      <c r="C769" s="107" t="s">
        <v>3099</v>
      </c>
      <c r="D769" s="108" t="s">
        <v>81</v>
      </c>
      <c r="E769" s="108" t="s">
        <v>3100</v>
      </c>
      <c r="F769" s="139" t="s">
        <v>4700</v>
      </c>
      <c r="G769" s="140" t="s">
        <v>4701</v>
      </c>
      <c r="H769" s="140" t="s">
        <v>4702</v>
      </c>
      <c r="I769" s="141"/>
      <c r="J769" s="142"/>
      <c r="K769" s="142"/>
      <c r="L769" s="142" t="s">
        <v>4686</v>
      </c>
      <c r="M769" s="142" t="s">
        <v>4686</v>
      </c>
      <c r="N769" s="143" t="s">
        <v>4686</v>
      </c>
      <c r="O769" s="138" t="s">
        <v>4686</v>
      </c>
      <c r="P769" s="105"/>
      <c r="Q769" s="137"/>
      <c r="R769" s="138"/>
      <c r="S769" s="105"/>
      <c r="T769" s="105"/>
      <c r="U769" s="105"/>
      <c r="V769" s="137"/>
      <c r="W769" s="138"/>
      <c r="X769" s="137"/>
      <c r="Y769" s="138"/>
      <c r="Z769" s="105"/>
      <c r="AA769" s="105"/>
      <c r="AB769" s="105" t="s">
        <v>4686</v>
      </c>
      <c r="AC769" s="105"/>
      <c r="AD769" s="118">
        <v>43374</v>
      </c>
      <c r="AE769" s="108" t="s">
        <v>3105</v>
      </c>
    </row>
    <row r="770" spans="1:31" ht="27" customHeight="1" x14ac:dyDescent="0.15">
      <c r="A770" s="105">
        <v>1112501166</v>
      </c>
      <c r="B770" s="106" t="s">
        <v>11663</v>
      </c>
      <c r="C770" s="107" t="s">
        <v>3115</v>
      </c>
      <c r="D770" s="108" t="s">
        <v>81</v>
      </c>
      <c r="E770" s="108" t="s">
        <v>3116</v>
      </c>
      <c r="F770" s="139" t="s">
        <v>3117</v>
      </c>
      <c r="G770" s="140" t="s">
        <v>3118</v>
      </c>
      <c r="H770" s="140" t="s">
        <v>3119</v>
      </c>
      <c r="I770" s="141"/>
      <c r="J770" s="142"/>
      <c r="K770" s="142"/>
      <c r="L770" s="142" t="s">
        <v>49</v>
      </c>
      <c r="M770" s="142" t="s">
        <v>49</v>
      </c>
      <c r="N770" s="143" t="s">
        <v>49</v>
      </c>
      <c r="O770" s="138"/>
      <c r="P770" s="105"/>
      <c r="Q770" s="137"/>
      <c r="R770" s="138"/>
      <c r="S770" s="105"/>
      <c r="T770" s="105"/>
      <c r="U770" s="105"/>
      <c r="V770" s="137"/>
      <c r="W770" s="138"/>
      <c r="X770" s="137"/>
      <c r="Y770" s="138"/>
      <c r="Z770" s="105">
        <v>15</v>
      </c>
      <c r="AA770" s="105"/>
      <c r="AB770" s="105"/>
      <c r="AC770" s="105"/>
      <c r="AD770" s="144">
        <v>42217</v>
      </c>
      <c r="AE770" s="108" t="s">
        <v>3120</v>
      </c>
    </row>
    <row r="771" spans="1:31" ht="27" customHeight="1" x14ac:dyDescent="0.15">
      <c r="A771" s="105">
        <v>1112501190</v>
      </c>
      <c r="B771" s="106" t="s">
        <v>3162</v>
      </c>
      <c r="C771" s="107" t="s">
        <v>3163</v>
      </c>
      <c r="D771" s="108" t="s">
        <v>81</v>
      </c>
      <c r="E771" s="108" t="s">
        <v>3164</v>
      </c>
      <c r="F771" s="139" t="s">
        <v>3165</v>
      </c>
      <c r="G771" s="140" t="s">
        <v>3166</v>
      </c>
      <c r="H771" s="140" t="s">
        <v>3166</v>
      </c>
      <c r="I771" s="141"/>
      <c r="J771" s="142"/>
      <c r="K771" s="142"/>
      <c r="L771" s="142"/>
      <c r="M771" s="142" t="s">
        <v>3167</v>
      </c>
      <c r="N771" s="143" t="s">
        <v>3167</v>
      </c>
      <c r="O771" s="138"/>
      <c r="P771" s="105"/>
      <c r="Q771" s="137"/>
      <c r="R771" s="138"/>
      <c r="S771" s="105"/>
      <c r="T771" s="105"/>
      <c r="U771" s="105"/>
      <c r="V771" s="137"/>
      <c r="W771" s="138"/>
      <c r="X771" s="137"/>
      <c r="Y771" s="138"/>
      <c r="Z771" s="105"/>
      <c r="AA771" s="105">
        <v>20</v>
      </c>
      <c r="AB771" s="105"/>
      <c r="AC771" s="105"/>
      <c r="AD771" s="144">
        <v>42278</v>
      </c>
      <c r="AE771" s="108" t="s">
        <v>3168</v>
      </c>
    </row>
    <row r="772" spans="1:31" s="65" customFormat="1" ht="27" customHeight="1" x14ac:dyDescent="0.15">
      <c r="A772" s="105">
        <v>1112501273</v>
      </c>
      <c r="B772" s="106" t="s">
        <v>3697</v>
      </c>
      <c r="C772" s="107" t="s">
        <v>11117</v>
      </c>
      <c r="D772" s="108" t="s">
        <v>81</v>
      </c>
      <c r="E772" s="108" t="s">
        <v>3722</v>
      </c>
      <c r="F772" s="139" t="s">
        <v>2707</v>
      </c>
      <c r="G772" s="140" t="s">
        <v>3698</v>
      </c>
      <c r="H772" s="140" t="s">
        <v>3698</v>
      </c>
      <c r="I772" s="141"/>
      <c r="J772" s="142"/>
      <c r="K772" s="142"/>
      <c r="L772" s="142"/>
      <c r="M772" s="142"/>
      <c r="N772" s="143" t="s">
        <v>49</v>
      </c>
      <c r="O772" s="138"/>
      <c r="P772" s="105"/>
      <c r="Q772" s="137"/>
      <c r="R772" s="138"/>
      <c r="S772" s="105"/>
      <c r="T772" s="105"/>
      <c r="U772" s="105"/>
      <c r="V772" s="137">
        <v>6</v>
      </c>
      <c r="W772" s="138"/>
      <c r="X772" s="137">
        <v>14</v>
      </c>
      <c r="Y772" s="138"/>
      <c r="Z772" s="105"/>
      <c r="AA772" s="105"/>
      <c r="AB772" s="105"/>
      <c r="AC772" s="105"/>
      <c r="AD772" s="144">
        <v>42767</v>
      </c>
      <c r="AE772" s="108" t="s">
        <v>3699</v>
      </c>
    </row>
    <row r="773" spans="1:31" s="65" customFormat="1" ht="27" customHeight="1" x14ac:dyDescent="0.15">
      <c r="A773" s="105">
        <v>1112501299</v>
      </c>
      <c r="B773" s="130" t="s">
        <v>781</v>
      </c>
      <c r="C773" s="108" t="s">
        <v>3998</v>
      </c>
      <c r="D773" s="108" t="s">
        <v>81</v>
      </c>
      <c r="E773" s="108" t="s">
        <v>4176</v>
      </c>
      <c r="F773" s="131">
        <v>3590005</v>
      </c>
      <c r="G773" s="132" t="s">
        <v>6239</v>
      </c>
      <c r="H773" s="132" t="s">
        <v>3999</v>
      </c>
      <c r="I773" s="133" t="s">
        <v>765</v>
      </c>
      <c r="J773" s="134" t="s">
        <v>765</v>
      </c>
      <c r="K773" s="134" t="s">
        <v>765</v>
      </c>
      <c r="L773" s="134" t="s">
        <v>765</v>
      </c>
      <c r="M773" s="134"/>
      <c r="N773" s="135"/>
      <c r="O773" s="136"/>
      <c r="P773" s="105">
        <v>54</v>
      </c>
      <c r="Q773" s="152" t="s">
        <v>49</v>
      </c>
      <c r="R773" s="138">
        <v>4</v>
      </c>
      <c r="S773" s="105"/>
      <c r="T773" s="105">
        <v>54</v>
      </c>
      <c r="U773" s="105"/>
      <c r="V773" s="116"/>
      <c r="W773" s="117"/>
      <c r="X773" s="116"/>
      <c r="Y773" s="138"/>
      <c r="Z773" s="105"/>
      <c r="AA773" s="105"/>
      <c r="AB773" s="105"/>
      <c r="AC773" s="105"/>
      <c r="AD773" s="118">
        <v>42948</v>
      </c>
      <c r="AE773" s="108" t="s">
        <v>4000</v>
      </c>
    </row>
    <row r="774" spans="1:31" s="65" customFormat="1" ht="27" customHeight="1" x14ac:dyDescent="0.15">
      <c r="A774" s="132">
        <v>1112501307</v>
      </c>
      <c r="B774" s="130" t="s">
        <v>3997</v>
      </c>
      <c r="C774" s="108" t="s">
        <v>7819</v>
      </c>
      <c r="D774" s="108" t="s">
        <v>81</v>
      </c>
      <c r="E774" s="108" t="s">
        <v>4008</v>
      </c>
      <c r="F774" s="139">
        <v>3591127</v>
      </c>
      <c r="G774" s="140" t="s">
        <v>4174</v>
      </c>
      <c r="H774" s="140" t="s">
        <v>4175</v>
      </c>
      <c r="I774" s="141"/>
      <c r="J774" s="142"/>
      <c r="K774" s="142" t="s">
        <v>4173</v>
      </c>
      <c r="L774" s="142" t="s">
        <v>4173</v>
      </c>
      <c r="M774" s="142" t="s">
        <v>4173</v>
      </c>
      <c r="N774" s="143" t="s">
        <v>4173</v>
      </c>
      <c r="O774" s="138" t="s">
        <v>4173</v>
      </c>
      <c r="P774" s="105"/>
      <c r="Q774" s="137"/>
      <c r="R774" s="138"/>
      <c r="S774" s="105"/>
      <c r="T774" s="105"/>
      <c r="U774" s="105"/>
      <c r="V774" s="137"/>
      <c r="W774" s="138"/>
      <c r="X774" s="137">
        <v>6</v>
      </c>
      <c r="Y774" s="138"/>
      <c r="Z774" s="105"/>
      <c r="AA774" s="105">
        <v>14</v>
      </c>
      <c r="AB774" s="105"/>
      <c r="AC774" s="105"/>
      <c r="AD774" s="144">
        <v>42948</v>
      </c>
      <c r="AE774" s="108" t="s">
        <v>4009</v>
      </c>
    </row>
    <row r="775" spans="1:31" ht="27" customHeight="1" x14ac:dyDescent="0.15">
      <c r="A775" s="132">
        <v>1112501307</v>
      </c>
      <c r="B775" s="130" t="s">
        <v>11664</v>
      </c>
      <c r="C775" s="108" t="s">
        <v>7819</v>
      </c>
      <c r="D775" s="108" t="s">
        <v>81</v>
      </c>
      <c r="E775" s="108" t="s">
        <v>7820</v>
      </c>
      <c r="F775" s="139" t="s">
        <v>7821</v>
      </c>
      <c r="G775" s="140" t="s">
        <v>7822</v>
      </c>
      <c r="H775" s="140" t="s">
        <v>7823</v>
      </c>
      <c r="I775" s="141"/>
      <c r="J775" s="142" t="s">
        <v>6457</v>
      </c>
      <c r="K775" s="142" t="s">
        <v>6457</v>
      </c>
      <c r="L775" s="142" t="s">
        <v>6457</v>
      </c>
      <c r="M775" s="142" t="s">
        <v>6457</v>
      </c>
      <c r="N775" s="143" t="s">
        <v>6457</v>
      </c>
      <c r="O775" s="138" t="s">
        <v>765</v>
      </c>
      <c r="P775" s="105"/>
      <c r="Q775" s="137"/>
      <c r="R775" s="138"/>
      <c r="S775" s="105"/>
      <c r="T775" s="105"/>
      <c r="U775" s="105"/>
      <c r="V775" s="137"/>
      <c r="W775" s="138"/>
      <c r="X775" s="137"/>
      <c r="Y775" s="138"/>
      <c r="Z775" s="105"/>
      <c r="AA775" s="105"/>
      <c r="AB775" s="105" t="s">
        <v>4614</v>
      </c>
      <c r="AC775" s="105"/>
      <c r="AD775" s="144">
        <v>44805</v>
      </c>
      <c r="AE775" s="108" t="s">
        <v>7824</v>
      </c>
    </row>
    <row r="776" spans="1:31" s="65" customFormat="1" ht="27" customHeight="1" x14ac:dyDescent="0.15">
      <c r="A776" s="105">
        <v>1112501315</v>
      </c>
      <c r="B776" s="130" t="s">
        <v>5239</v>
      </c>
      <c r="C776" s="108" t="s">
        <v>4030</v>
      </c>
      <c r="D776" s="108" t="s">
        <v>81</v>
      </c>
      <c r="E776" s="108" t="s">
        <v>4031</v>
      </c>
      <c r="F776" s="131" t="s">
        <v>2892</v>
      </c>
      <c r="G776" s="132" t="s">
        <v>4032</v>
      </c>
      <c r="H776" s="132" t="s">
        <v>4033</v>
      </c>
      <c r="I776" s="133"/>
      <c r="J776" s="134"/>
      <c r="K776" s="134"/>
      <c r="L776" s="134"/>
      <c r="M776" s="134" t="s">
        <v>49</v>
      </c>
      <c r="N776" s="135" t="s">
        <v>49</v>
      </c>
      <c r="O776" s="136"/>
      <c r="P776" s="132"/>
      <c r="Q776" s="152"/>
      <c r="R776" s="136"/>
      <c r="S776" s="132"/>
      <c r="T776" s="132">
        <v>20</v>
      </c>
      <c r="U776" s="132"/>
      <c r="V776" s="152"/>
      <c r="W776" s="136"/>
      <c r="X776" s="152"/>
      <c r="Y776" s="136"/>
      <c r="Z776" s="132"/>
      <c r="AA776" s="105"/>
      <c r="AB776" s="105"/>
      <c r="AC776" s="105"/>
      <c r="AD776" s="118">
        <v>42979</v>
      </c>
      <c r="AE776" s="108" t="s">
        <v>4034</v>
      </c>
    </row>
    <row r="777" spans="1:31" s="65" customFormat="1" ht="27" customHeight="1" x14ac:dyDescent="0.15">
      <c r="A777" s="105">
        <v>1112501349</v>
      </c>
      <c r="B777" s="106" t="s">
        <v>4273</v>
      </c>
      <c r="C777" s="107" t="s">
        <v>4274</v>
      </c>
      <c r="D777" s="108" t="s">
        <v>81</v>
      </c>
      <c r="E777" s="108" t="s">
        <v>9974</v>
      </c>
      <c r="F777" s="139" t="s">
        <v>9975</v>
      </c>
      <c r="G777" s="140" t="s">
        <v>4275</v>
      </c>
      <c r="H777" s="140" t="s">
        <v>4276</v>
      </c>
      <c r="I777" s="141"/>
      <c r="J777" s="142"/>
      <c r="K777" s="142"/>
      <c r="L777" s="142"/>
      <c r="M777" s="142" t="s">
        <v>49</v>
      </c>
      <c r="N777" s="143" t="s">
        <v>49</v>
      </c>
      <c r="O777" s="138"/>
      <c r="P777" s="105"/>
      <c r="Q777" s="137"/>
      <c r="R777" s="138"/>
      <c r="S777" s="105"/>
      <c r="T777" s="105"/>
      <c r="U777" s="105"/>
      <c r="V777" s="137"/>
      <c r="W777" s="138"/>
      <c r="X777" s="137"/>
      <c r="Y777" s="138"/>
      <c r="Z777" s="105"/>
      <c r="AA777" s="105">
        <v>20</v>
      </c>
      <c r="AB777" s="105"/>
      <c r="AC777" s="105"/>
      <c r="AD777" s="144">
        <v>43160</v>
      </c>
      <c r="AE777" s="108" t="s">
        <v>9976</v>
      </c>
    </row>
    <row r="778" spans="1:31" ht="27" customHeight="1" x14ac:dyDescent="0.15">
      <c r="A778" s="105">
        <v>1112501372</v>
      </c>
      <c r="B778" s="130" t="s">
        <v>2311</v>
      </c>
      <c r="C778" s="108" t="s">
        <v>4449</v>
      </c>
      <c r="D778" s="108" t="s">
        <v>81</v>
      </c>
      <c r="E778" s="108" t="s">
        <v>4450</v>
      </c>
      <c r="F778" s="131" t="s">
        <v>5949</v>
      </c>
      <c r="G778" s="132" t="s">
        <v>4451</v>
      </c>
      <c r="H778" s="132" t="s">
        <v>4452</v>
      </c>
      <c r="I778" s="133"/>
      <c r="J778" s="134"/>
      <c r="K778" s="134"/>
      <c r="L778" s="134" t="s">
        <v>4441</v>
      </c>
      <c r="M778" s="134" t="s">
        <v>4441</v>
      </c>
      <c r="N778" s="135" t="s">
        <v>4441</v>
      </c>
      <c r="O778" s="136" t="s">
        <v>4441</v>
      </c>
      <c r="P778" s="105"/>
      <c r="Q778" s="137"/>
      <c r="R778" s="138"/>
      <c r="S778" s="105"/>
      <c r="T778" s="105"/>
      <c r="U778" s="105"/>
      <c r="V778" s="137"/>
      <c r="W778" s="138"/>
      <c r="X778" s="137">
        <v>20</v>
      </c>
      <c r="Y778" s="138"/>
      <c r="Z778" s="105"/>
      <c r="AA778" s="105"/>
      <c r="AB778" s="105"/>
      <c r="AC778" s="105"/>
      <c r="AD778" s="118">
        <v>43221</v>
      </c>
      <c r="AE778" s="108" t="s">
        <v>6331</v>
      </c>
    </row>
    <row r="779" spans="1:31" s="65" customFormat="1" ht="27" customHeight="1" x14ac:dyDescent="0.15">
      <c r="A779" s="105">
        <v>1112501372</v>
      </c>
      <c r="B779" s="130" t="s">
        <v>2311</v>
      </c>
      <c r="C779" s="108" t="s">
        <v>4449</v>
      </c>
      <c r="D779" s="108" t="s">
        <v>81</v>
      </c>
      <c r="E779" s="108" t="s">
        <v>4450</v>
      </c>
      <c r="F779" s="131" t="s">
        <v>5948</v>
      </c>
      <c r="G779" s="132" t="s">
        <v>5082</v>
      </c>
      <c r="H779" s="132" t="s">
        <v>5083</v>
      </c>
      <c r="I779" s="133"/>
      <c r="J779" s="134"/>
      <c r="K779" s="134"/>
      <c r="L779" s="134" t="s">
        <v>5084</v>
      </c>
      <c r="M779" s="134" t="s">
        <v>5084</v>
      </c>
      <c r="N779" s="135" t="s">
        <v>5084</v>
      </c>
      <c r="O779" s="136" t="s">
        <v>5084</v>
      </c>
      <c r="P779" s="105"/>
      <c r="Q779" s="137"/>
      <c r="R779" s="138"/>
      <c r="S779" s="105"/>
      <c r="T779" s="105"/>
      <c r="U779" s="105"/>
      <c r="V779" s="137"/>
      <c r="W779" s="138"/>
      <c r="X779" s="137"/>
      <c r="Y779" s="138"/>
      <c r="Z779" s="105"/>
      <c r="AA779" s="105"/>
      <c r="AB779" s="105" t="s">
        <v>5084</v>
      </c>
      <c r="AC779" s="105"/>
      <c r="AD779" s="118" t="s">
        <v>5087</v>
      </c>
      <c r="AE779" s="108" t="s">
        <v>6331</v>
      </c>
    </row>
    <row r="780" spans="1:31" s="311" customFormat="1" ht="27" customHeight="1" x14ac:dyDescent="0.15">
      <c r="A780" s="150">
        <v>1112501414</v>
      </c>
      <c r="B780" s="106" t="s">
        <v>4579</v>
      </c>
      <c r="C780" s="107" t="s">
        <v>4580</v>
      </c>
      <c r="D780" s="108" t="s">
        <v>890</v>
      </c>
      <c r="E780" s="108" t="s">
        <v>4581</v>
      </c>
      <c r="F780" s="151">
        <v>3591147</v>
      </c>
      <c r="G780" s="132" t="s">
        <v>4582</v>
      </c>
      <c r="H780" s="132" t="s">
        <v>4583</v>
      </c>
      <c r="I780" s="133"/>
      <c r="J780" s="134"/>
      <c r="K780" s="134"/>
      <c r="L780" s="134"/>
      <c r="M780" s="134" t="s">
        <v>49</v>
      </c>
      <c r="N780" s="135" t="s">
        <v>49</v>
      </c>
      <c r="O780" s="136"/>
      <c r="P780" s="105"/>
      <c r="Q780" s="152"/>
      <c r="R780" s="138"/>
      <c r="S780" s="132"/>
      <c r="T780" s="105">
        <v>20</v>
      </c>
      <c r="U780" s="132"/>
      <c r="V780" s="133"/>
      <c r="W780" s="242"/>
      <c r="X780" s="133"/>
      <c r="Y780" s="136"/>
      <c r="Z780" s="132"/>
      <c r="AA780" s="132"/>
      <c r="AB780" s="132"/>
      <c r="AC780" s="132"/>
      <c r="AD780" s="118">
        <v>43313</v>
      </c>
      <c r="AE780" s="108" t="s">
        <v>4584</v>
      </c>
    </row>
    <row r="781" spans="1:31" ht="27" customHeight="1" x14ac:dyDescent="0.15">
      <c r="A781" s="313">
        <v>1112501505</v>
      </c>
      <c r="B781" s="314" t="s">
        <v>3997</v>
      </c>
      <c r="C781" s="315" t="s">
        <v>4883</v>
      </c>
      <c r="D781" s="315" t="s">
        <v>81</v>
      </c>
      <c r="E781" s="315" t="s">
        <v>4884</v>
      </c>
      <c r="F781" s="316" t="s">
        <v>4885</v>
      </c>
      <c r="G781" s="317" t="s">
        <v>4886</v>
      </c>
      <c r="H781" s="317" t="s">
        <v>4887</v>
      </c>
      <c r="I781" s="318"/>
      <c r="J781" s="319"/>
      <c r="K781" s="319" t="s">
        <v>49</v>
      </c>
      <c r="L781" s="319" t="s">
        <v>49</v>
      </c>
      <c r="M781" s="319" t="s">
        <v>49</v>
      </c>
      <c r="N781" s="320" t="s">
        <v>49</v>
      </c>
      <c r="O781" s="321" t="s">
        <v>49</v>
      </c>
      <c r="P781" s="322"/>
      <c r="Q781" s="323"/>
      <c r="R781" s="321"/>
      <c r="S781" s="322"/>
      <c r="T781" s="322"/>
      <c r="U781" s="322"/>
      <c r="V781" s="323"/>
      <c r="W781" s="321"/>
      <c r="X781" s="323"/>
      <c r="Y781" s="321"/>
      <c r="Z781" s="322"/>
      <c r="AA781" s="322">
        <v>20</v>
      </c>
      <c r="AB781" s="322"/>
      <c r="AC781" s="322"/>
      <c r="AD781" s="324">
        <v>43497</v>
      </c>
      <c r="AE781" s="315" t="s">
        <v>4888</v>
      </c>
    </row>
    <row r="782" spans="1:31" ht="27" customHeight="1" x14ac:dyDescent="0.15">
      <c r="A782" s="105">
        <v>1112501513</v>
      </c>
      <c r="B782" s="130" t="s">
        <v>2166</v>
      </c>
      <c r="C782" s="108" t="s">
        <v>4932</v>
      </c>
      <c r="D782" s="108" t="s">
        <v>81</v>
      </c>
      <c r="E782" s="108" t="s">
        <v>4933</v>
      </c>
      <c r="F782" s="131">
        <v>3591145</v>
      </c>
      <c r="G782" s="132" t="s">
        <v>4934</v>
      </c>
      <c r="H782" s="132" t="s">
        <v>4934</v>
      </c>
      <c r="I782" s="133"/>
      <c r="J782" s="134"/>
      <c r="K782" s="134"/>
      <c r="L782" s="134"/>
      <c r="M782" s="134" t="s">
        <v>49</v>
      </c>
      <c r="N782" s="135"/>
      <c r="O782" s="136"/>
      <c r="P782" s="132"/>
      <c r="Q782" s="152"/>
      <c r="R782" s="136"/>
      <c r="S782" s="132"/>
      <c r="T782" s="132">
        <v>20</v>
      </c>
      <c r="U782" s="132"/>
      <c r="V782" s="152"/>
      <c r="W782" s="136"/>
      <c r="X782" s="152"/>
      <c r="Y782" s="136"/>
      <c r="Z782" s="132"/>
      <c r="AA782" s="105"/>
      <c r="AB782" s="105"/>
      <c r="AC782" s="105"/>
      <c r="AD782" s="144">
        <v>43556</v>
      </c>
      <c r="AE782" s="108" t="s">
        <v>4935</v>
      </c>
    </row>
    <row r="783" spans="1:31" ht="27" customHeight="1" x14ac:dyDescent="0.15">
      <c r="A783" s="105">
        <v>1112501539</v>
      </c>
      <c r="B783" s="130" t="s">
        <v>404</v>
      </c>
      <c r="C783" s="108" t="s">
        <v>4936</v>
      </c>
      <c r="D783" s="108" t="s">
        <v>81</v>
      </c>
      <c r="E783" s="108" t="s">
        <v>4937</v>
      </c>
      <c r="F783" s="131" t="s">
        <v>2707</v>
      </c>
      <c r="G783" s="132" t="s">
        <v>4938</v>
      </c>
      <c r="H783" s="132" t="s">
        <v>4939</v>
      </c>
      <c r="I783" s="133"/>
      <c r="J783" s="134"/>
      <c r="K783" s="134"/>
      <c r="L783" s="134"/>
      <c r="M783" s="134"/>
      <c r="N783" s="135" t="s">
        <v>49</v>
      </c>
      <c r="O783" s="136"/>
      <c r="P783" s="105"/>
      <c r="Q783" s="137"/>
      <c r="R783" s="138"/>
      <c r="S783" s="105"/>
      <c r="T783" s="105"/>
      <c r="U783" s="105"/>
      <c r="V783" s="116">
        <v>6</v>
      </c>
      <c r="W783" s="117"/>
      <c r="X783" s="116"/>
      <c r="Y783" s="138"/>
      <c r="Z783" s="105"/>
      <c r="AA783" s="105">
        <v>14</v>
      </c>
      <c r="AB783" s="105"/>
      <c r="AC783" s="105"/>
      <c r="AD783" s="144">
        <v>43556</v>
      </c>
      <c r="AE783" s="108" t="s">
        <v>4940</v>
      </c>
    </row>
    <row r="784" spans="1:31" ht="27" customHeight="1" x14ac:dyDescent="0.15">
      <c r="A784" s="105">
        <v>1112501570</v>
      </c>
      <c r="B784" s="130" t="s">
        <v>5379</v>
      </c>
      <c r="C784" s="108" t="s">
        <v>5380</v>
      </c>
      <c r="D784" s="108" t="s">
        <v>81</v>
      </c>
      <c r="E784" s="108" t="s">
        <v>5165</v>
      </c>
      <c r="F784" s="131" t="s">
        <v>5166</v>
      </c>
      <c r="G784" s="132" t="s">
        <v>5167</v>
      </c>
      <c r="H784" s="132" t="s">
        <v>5168</v>
      </c>
      <c r="I784" s="133"/>
      <c r="J784" s="134" t="s">
        <v>765</v>
      </c>
      <c r="K784" s="134" t="s">
        <v>765</v>
      </c>
      <c r="L784" s="134" t="s">
        <v>765</v>
      </c>
      <c r="M784" s="134" t="s">
        <v>765</v>
      </c>
      <c r="N784" s="135" t="s">
        <v>765</v>
      </c>
      <c r="O784" s="136" t="s">
        <v>765</v>
      </c>
      <c r="P784" s="105"/>
      <c r="Q784" s="137"/>
      <c r="R784" s="138"/>
      <c r="S784" s="105"/>
      <c r="T784" s="105"/>
      <c r="U784" s="105"/>
      <c r="V784" s="116"/>
      <c r="W784" s="117"/>
      <c r="X784" s="116">
        <v>20</v>
      </c>
      <c r="Y784" s="138"/>
      <c r="Z784" s="105"/>
      <c r="AA784" s="105"/>
      <c r="AB784" s="105"/>
      <c r="AC784" s="105"/>
      <c r="AD784" s="144">
        <v>43647</v>
      </c>
      <c r="AE784" s="108" t="s">
        <v>5169</v>
      </c>
    </row>
    <row r="785" spans="1:157" s="65" customFormat="1" ht="27" customHeight="1" x14ac:dyDescent="0.15">
      <c r="A785" s="105">
        <v>1112501570</v>
      </c>
      <c r="B785" s="130" t="s">
        <v>5379</v>
      </c>
      <c r="C785" s="108" t="s">
        <v>5380</v>
      </c>
      <c r="D785" s="108" t="s">
        <v>81</v>
      </c>
      <c r="E785" s="108" t="s">
        <v>5165</v>
      </c>
      <c r="F785" s="131" t="s">
        <v>5166</v>
      </c>
      <c r="G785" s="132" t="s">
        <v>5167</v>
      </c>
      <c r="H785" s="132" t="s">
        <v>5168</v>
      </c>
      <c r="I785" s="133"/>
      <c r="J785" s="134" t="s">
        <v>765</v>
      </c>
      <c r="K785" s="134" t="s">
        <v>765</v>
      </c>
      <c r="L785" s="134" t="s">
        <v>765</v>
      </c>
      <c r="M785" s="134" t="s">
        <v>765</v>
      </c>
      <c r="N785" s="135" t="s">
        <v>765</v>
      </c>
      <c r="O785" s="136" t="s">
        <v>765</v>
      </c>
      <c r="P785" s="105"/>
      <c r="Q785" s="137"/>
      <c r="R785" s="138"/>
      <c r="S785" s="105"/>
      <c r="T785" s="105"/>
      <c r="U785" s="105"/>
      <c r="V785" s="116"/>
      <c r="W785" s="117"/>
      <c r="X785" s="116"/>
      <c r="Y785" s="138"/>
      <c r="Z785" s="105"/>
      <c r="AA785" s="105"/>
      <c r="AB785" s="105" t="s">
        <v>49</v>
      </c>
      <c r="AC785" s="105"/>
      <c r="AD785" s="144">
        <v>44317</v>
      </c>
      <c r="AE785" s="108" t="s">
        <v>5169</v>
      </c>
      <c r="AU785" s="229"/>
      <c r="AV785" s="229"/>
      <c r="AW785" s="229"/>
      <c r="AX785" s="229"/>
      <c r="AY785" s="229"/>
      <c r="AZ785" s="229"/>
      <c r="BA785" s="229"/>
      <c r="BB785" s="229"/>
      <c r="BC785" s="229"/>
      <c r="BD785" s="229"/>
      <c r="BE785" s="229"/>
      <c r="BF785" s="229"/>
      <c r="BG785" s="229"/>
      <c r="BH785" s="229"/>
      <c r="BI785" s="229"/>
      <c r="BJ785" s="229"/>
      <c r="BK785" s="229"/>
      <c r="BL785" s="229"/>
      <c r="BM785" s="229"/>
      <c r="BN785" s="229"/>
      <c r="BO785" s="229"/>
      <c r="BP785" s="229"/>
      <c r="BQ785" s="229"/>
      <c r="BR785" s="229"/>
      <c r="BS785" s="229"/>
      <c r="BT785" s="229"/>
      <c r="BU785" s="229"/>
      <c r="BV785" s="229"/>
      <c r="BW785" s="229"/>
      <c r="BX785" s="229"/>
      <c r="BY785" s="229"/>
      <c r="BZ785" s="229"/>
      <c r="CA785" s="229"/>
      <c r="CB785" s="229"/>
      <c r="CC785" s="229"/>
      <c r="CD785" s="229"/>
      <c r="CE785" s="229"/>
      <c r="CF785" s="229"/>
      <c r="CG785" s="229"/>
      <c r="CH785" s="229"/>
      <c r="CI785" s="229"/>
      <c r="CJ785" s="229"/>
      <c r="CK785" s="229"/>
      <c r="CL785" s="229"/>
      <c r="CM785" s="229"/>
      <c r="CN785" s="229"/>
      <c r="CO785" s="229"/>
      <c r="CP785" s="229"/>
      <c r="CQ785" s="229"/>
      <c r="CR785" s="229"/>
      <c r="CS785" s="229"/>
      <c r="CT785" s="229"/>
      <c r="CU785" s="229"/>
      <c r="CV785" s="229"/>
      <c r="CW785" s="229"/>
      <c r="CX785" s="229"/>
      <c r="CY785" s="229"/>
      <c r="CZ785" s="229"/>
      <c r="DA785" s="229"/>
      <c r="DB785" s="229"/>
      <c r="DC785" s="229"/>
      <c r="DD785" s="229"/>
      <c r="DE785" s="229"/>
      <c r="DF785" s="229"/>
      <c r="DG785" s="229"/>
      <c r="DH785" s="229"/>
      <c r="DI785" s="229"/>
      <c r="DJ785" s="229"/>
      <c r="DK785" s="229"/>
      <c r="DL785" s="229"/>
      <c r="DM785" s="229"/>
      <c r="DN785" s="229"/>
      <c r="DO785" s="229"/>
      <c r="DP785" s="229"/>
      <c r="DQ785" s="229"/>
      <c r="DR785" s="229"/>
      <c r="DS785" s="229"/>
      <c r="DT785" s="229"/>
      <c r="DU785" s="229"/>
      <c r="DV785" s="229"/>
      <c r="DW785" s="229"/>
      <c r="DX785" s="229"/>
      <c r="DY785" s="229"/>
      <c r="DZ785" s="229"/>
      <c r="EA785" s="229"/>
      <c r="EB785" s="229"/>
      <c r="EC785" s="229"/>
      <c r="ED785" s="229"/>
      <c r="EE785" s="229"/>
      <c r="EF785" s="229"/>
      <c r="EG785" s="229"/>
      <c r="EH785" s="229"/>
      <c r="EI785" s="229"/>
      <c r="EJ785" s="229"/>
      <c r="EK785" s="229"/>
      <c r="EL785" s="229"/>
      <c r="EM785" s="229"/>
      <c r="EN785" s="229"/>
      <c r="EO785" s="229"/>
      <c r="EP785" s="229"/>
      <c r="EQ785" s="229"/>
      <c r="ER785" s="229"/>
      <c r="ES785" s="229"/>
      <c r="ET785" s="229"/>
      <c r="EU785" s="229"/>
      <c r="EV785" s="229"/>
      <c r="EW785" s="229"/>
      <c r="EX785" s="229"/>
      <c r="EY785" s="229"/>
      <c r="EZ785" s="229"/>
      <c r="FA785" s="229"/>
    </row>
    <row r="786" spans="1:157" s="65" customFormat="1" ht="27" customHeight="1" x14ac:dyDescent="0.15">
      <c r="A786" s="105">
        <v>1112501612</v>
      </c>
      <c r="B786" s="130" t="s">
        <v>5489</v>
      </c>
      <c r="C786" s="108" t="s">
        <v>5490</v>
      </c>
      <c r="D786" s="108" t="s">
        <v>81</v>
      </c>
      <c r="E786" s="108" t="s">
        <v>5491</v>
      </c>
      <c r="F786" s="131" t="s">
        <v>5492</v>
      </c>
      <c r="G786" s="132" t="s">
        <v>5493</v>
      </c>
      <c r="H786" s="132" t="s">
        <v>5494</v>
      </c>
      <c r="I786" s="133"/>
      <c r="J786" s="134"/>
      <c r="K786" s="134"/>
      <c r="L786" s="134"/>
      <c r="M786" s="134" t="s">
        <v>765</v>
      </c>
      <c r="N786" s="135" t="s">
        <v>765</v>
      </c>
      <c r="O786" s="136"/>
      <c r="P786" s="105"/>
      <c r="Q786" s="137"/>
      <c r="R786" s="138"/>
      <c r="S786" s="105"/>
      <c r="T786" s="105"/>
      <c r="U786" s="105"/>
      <c r="V786" s="116"/>
      <c r="W786" s="117"/>
      <c r="X786" s="116"/>
      <c r="Y786" s="138"/>
      <c r="Z786" s="105"/>
      <c r="AA786" s="105">
        <v>20</v>
      </c>
      <c r="AB786" s="105"/>
      <c r="AC786" s="105"/>
      <c r="AD786" s="144">
        <v>43800</v>
      </c>
      <c r="AE786" s="108" t="s">
        <v>5495</v>
      </c>
    </row>
    <row r="787" spans="1:157" ht="27" customHeight="1" x14ac:dyDescent="0.15">
      <c r="A787" s="105">
        <v>1112501638</v>
      </c>
      <c r="B787" s="130" t="s">
        <v>5707</v>
      </c>
      <c r="C787" s="108" t="s">
        <v>5708</v>
      </c>
      <c r="D787" s="108" t="s">
        <v>81</v>
      </c>
      <c r="E787" s="108" t="s">
        <v>5709</v>
      </c>
      <c r="F787" s="131" t="s">
        <v>5710</v>
      </c>
      <c r="G787" s="132" t="s">
        <v>5711</v>
      </c>
      <c r="H787" s="132" t="s">
        <v>5712</v>
      </c>
      <c r="I787" s="133"/>
      <c r="J787" s="134"/>
      <c r="K787" s="134"/>
      <c r="L787" s="134"/>
      <c r="M787" s="134" t="s">
        <v>49</v>
      </c>
      <c r="N787" s="134"/>
      <c r="O787" s="134"/>
      <c r="P787" s="105"/>
      <c r="Q787" s="137"/>
      <c r="R787" s="138"/>
      <c r="S787" s="105"/>
      <c r="T787" s="105">
        <v>20</v>
      </c>
      <c r="U787" s="105"/>
      <c r="V787" s="137"/>
      <c r="W787" s="138"/>
      <c r="X787" s="137"/>
      <c r="Y787" s="138"/>
      <c r="Z787" s="105"/>
      <c r="AA787" s="105"/>
      <c r="AB787" s="105"/>
      <c r="AC787" s="105"/>
      <c r="AD787" s="118">
        <v>43922</v>
      </c>
      <c r="AE787" s="108" t="s">
        <v>5713</v>
      </c>
    </row>
    <row r="788" spans="1:157" ht="27" customHeight="1" x14ac:dyDescent="0.15">
      <c r="A788" s="105">
        <v>1112501646</v>
      </c>
      <c r="B788" s="130" t="s">
        <v>5727</v>
      </c>
      <c r="C788" s="108" t="s">
        <v>5728</v>
      </c>
      <c r="D788" s="108" t="s">
        <v>81</v>
      </c>
      <c r="E788" s="108" t="s">
        <v>5729</v>
      </c>
      <c r="F788" s="131">
        <v>3590021</v>
      </c>
      <c r="G788" s="132" t="s">
        <v>5730</v>
      </c>
      <c r="H788" s="132" t="s">
        <v>5731</v>
      </c>
      <c r="I788" s="133" t="s">
        <v>765</v>
      </c>
      <c r="J788" s="134" t="s">
        <v>765</v>
      </c>
      <c r="K788" s="134" t="s">
        <v>765</v>
      </c>
      <c r="L788" s="134" t="s">
        <v>765</v>
      </c>
      <c r="M788" s="134" t="s">
        <v>765</v>
      </c>
      <c r="N788" s="135" t="s">
        <v>765</v>
      </c>
      <c r="O788" s="136" t="s">
        <v>765</v>
      </c>
      <c r="P788" s="105"/>
      <c r="Q788" s="137"/>
      <c r="R788" s="138"/>
      <c r="S788" s="105"/>
      <c r="T788" s="105"/>
      <c r="U788" s="105"/>
      <c r="V788" s="137"/>
      <c r="W788" s="138"/>
      <c r="X788" s="137"/>
      <c r="Y788" s="138"/>
      <c r="Z788" s="105"/>
      <c r="AA788" s="105">
        <v>20</v>
      </c>
      <c r="AB788" s="105"/>
      <c r="AC788" s="105"/>
      <c r="AD788" s="155">
        <v>43922</v>
      </c>
      <c r="AE788" s="108" t="s">
        <v>5732</v>
      </c>
    </row>
    <row r="789" spans="1:157" ht="27" customHeight="1" x14ac:dyDescent="0.15">
      <c r="A789" s="105">
        <v>1112501653</v>
      </c>
      <c r="B789" s="130" t="s">
        <v>5893</v>
      </c>
      <c r="C789" s="107" t="s">
        <v>5104</v>
      </c>
      <c r="D789" s="108" t="s">
        <v>81</v>
      </c>
      <c r="E789" s="108" t="s">
        <v>5894</v>
      </c>
      <c r="F789" s="139" t="s">
        <v>2345</v>
      </c>
      <c r="G789" s="140" t="s">
        <v>5895</v>
      </c>
      <c r="H789" s="140" t="s">
        <v>5105</v>
      </c>
      <c r="I789" s="141"/>
      <c r="J789" s="142"/>
      <c r="K789" s="142"/>
      <c r="L789" s="142"/>
      <c r="M789" s="142" t="s">
        <v>765</v>
      </c>
      <c r="N789" s="143" t="s">
        <v>765</v>
      </c>
      <c r="O789" s="138"/>
      <c r="P789" s="105"/>
      <c r="Q789" s="137"/>
      <c r="R789" s="138"/>
      <c r="S789" s="105"/>
      <c r="T789" s="105"/>
      <c r="U789" s="105"/>
      <c r="V789" s="116"/>
      <c r="W789" s="117"/>
      <c r="X789" s="137">
        <v>20</v>
      </c>
      <c r="Y789" s="138"/>
      <c r="Z789" s="105"/>
      <c r="AA789" s="105"/>
      <c r="AB789" s="105"/>
      <c r="AC789" s="105"/>
      <c r="AD789" s="144">
        <v>43952</v>
      </c>
      <c r="AE789" s="108" t="s">
        <v>5896</v>
      </c>
    </row>
    <row r="790" spans="1:157" ht="27" customHeight="1" x14ac:dyDescent="0.15">
      <c r="A790" s="72">
        <v>1112501653</v>
      </c>
      <c r="B790" s="166" t="s">
        <v>11211</v>
      </c>
      <c r="C790" s="107" t="s">
        <v>5104</v>
      </c>
      <c r="D790" s="108" t="s">
        <v>81</v>
      </c>
      <c r="E790" s="108" t="s">
        <v>11212</v>
      </c>
      <c r="F790" s="139" t="s">
        <v>11213</v>
      </c>
      <c r="G790" s="132" t="s">
        <v>11214</v>
      </c>
      <c r="H790" s="132" t="s">
        <v>11215</v>
      </c>
      <c r="I790" s="133"/>
      <c r="J790" s="134"/>
      <c r="K790" s="134"/>
      <c r="L790" s="134"/>
      <c r="M790" s="134" t="s">
        <v>10951</v>
      </c>
      <c r="N790" s="134" t="s">
        <v>10951</v>
      </c>
      <c r="O790" s="136"/>
      <c r="P790" s="105"/>
      <c r="Q790" s="152"/>
      <c r="R790" s="138"/>
      <c r="S790" s="105"/>
      <c r="T790" s="105"/>
      <c r="U790" s="105"/>
      <c r="V790" s="137"/>
      <c r="W790" s="138"/>
      <c r="X790" s="137"/>
      <c r="Y790" s="138"/>
      <c r="Z790" s="105"/>
      <c r="AA790" s="105"/>
      <c r="AB790" s="105"/>
      <c r="AC790" s="105">
        <v>10</v>
      </c>
      <c r="AD790" s="144">
        <v>46082</v>
      </c>
      <c r="AE790" s="108" t="s">
        <v>11216</v>
      </c>
    </row>
    <row r="791" spans="1:157" s="65" customFormat="1" ht="27" customHeight="1" x14ac:dyDescent="0.15">
      <c r="A791" s="105">
        <v>1112501687</v>
      </c>
      <c r="B791" s="130" t="s">
        <v>6371</v>
      </c>
      <c r="C791" s="107" t="s">
        <v>6372</v>
      </c>
      <c r="D791" s="108" t="s">
        <v>81</v>
      </c>
      <c r="E791" s="108" t="s">
        <v>6373</v>
      </c>
      <c r="F791" s="139" t="s">
        <v>3101</v>
      </c>
      <c r="G791" s="140" t="s">
        <v>6374</v>
      </c>
      <c r="H791" s="140" t="s">
        <v>6375</v>
      </c>
      <c r="I791" s="141"/>
      <c r="J791" s="142"/>
      <c r="K791" s="142"/>
      <c r="L791" s="142"/>
      <c r="M791" s="142"/>
      <c r="N791" s="143" t="s">
        <v>765</v>
      </c>
      <c r="O791" s="138"/>
      <c r="P791" s="105"/>
      <c r="Q791" s="137"/>
      <c r="R791" s="138"/>
      <c r="S791" s="105"/>
      <c r="T791" s="105"/>
      <c r="U791" s="105"/>
      <c r="V791" s="116"/>
      <c r="W791" s="117"/>
      <c r="X791" s="137">
        <v>20</v>
      </c>
      <c r="Y791" s="138"/>
      <c r="Z791" s="105"/>
      <c r="AA791" s="105"/>
      <c r="AB791" s="105"/>
      <c r="AC791" s="105"/>
      <c r="AD791" s="144">
        <v>44136</v>
      </c>
      <c r="AE791" s="108" t="s">
        <v>6376</v>
      </c>
    </row>
    <row r="792" spans="1:157" s="65" customFormat="1" ht="27" customHeight="1" x14ac:dyDescent="0.15">
      <c r="A792" s="105">
        <v>1112501687</v>
      </c>
      <c r="B792" s="130" t="s">
        <v>11665</v>
      </c>
      <c r="C792" s="107" t="s">
        <v>7825</v>
      </c>
      <c r="D792" s="108" t="s">
        <v>7826</v>
      </c>
      <c r="E792" s="108" t="s">
        <v>7827</v>
      </c>
      <c r="F792" s="139" t="s">
        <v>5166</v>
      </c>
      <c r="G792" s="140" t="s">
        <v>7828</v>
      </c>
      <c r="H792" s="140" t="s">
        <v>7829</v>
      </c>
      <c r="I792" s="141" t="s">
        <v>6457</v>
      </c>
      <c r="J792" s="142" t="s">
        <v>6457</v>
      </c>
      <c r="K792" s="142" t="s">
        <v>6457</v>
      </c>
      <c r="L792" s="142" t="s">
        <v>6457</v>
      </c>
      <c r="M792" s="142" t="s">
        <v>6457</v>
      </c>
      <c r="N792" s="143" t="s">
        <v>6457</v>
      </c>
      <c r="O792" s="138" t="s">
        <v>765</v>
      </c>
      <c r="P792" s="105"/>
      <c r="Q792" s="137"/>
      <c r="R792" s="138"/>
      <c r="S792" s="105"/>
      <c r="T792" s="105"/>
      <c r="U792" s="105"/>
      <c r="V792" s="137"/>
      <c r="W792" s="117"/>
      <c r="X792" s="137"/>
      <c r="Y792" s="138"/>
      <c r="Z792" s="105"/>
      <c r="AA792" s="105"/>
      <c r="AB792" s="105" t="s">
        <v>4614</v>
      </c>
      <c r="AC792" s="105"/>
      <c r="AD792" s="144">
        <v>44805</v>
      </c>
      <c r="AE792" s="108" t="s">
        <v>7830</v>
      </c>
    </row>
    <row r="793" spans="1:157" ht="27" customHeight="1" x14ac:dyDescent="0.15">
      <c r="A793" s="105">
        <v>1112501695</v>
      </c>
      <c r="B793" s="130" t="s">
        <v>6567</v>
      </c>
      <c r="C793" s="108" t="s">
        <v>6568</v>
      </c>
      <c r="D793" s="108" t="s">
        <v>81</v>
      </c>
      <c r="E793" s="108" t="s">
        <v>6569</v>
      </c>
      <c r="F793" s="131" t="s">
        <v>3165</v>
      </c>
      <c r="G793" s="132" t="s">
        <v>6570</v>
      </c>
      <c r="H793" s="132" t="s">
        <v>6571</v>
      </c>
      <c r="I793" s="133" t="s">
        <v>765</v>
      </c>
      <c r="J793" s="134" t="s">
        <v>765</v>
      </c>
      <c r="K793" s="134" t="s">
        <v>765</v>
      </c>
      <c r="L793" s="134" t="s">
        <v>765</v>
      </c>
      <c r="M793" s="134" t="s">
        <v>765</v>
      </c>
      <c r="N793" s="135" t="s">
        <v>765</v>
      </c>
      <c r="O793" s="136" t="s">
        <v>765</v>
      </c>
      <c r="P793" s="132"/>
      <c r="Q793" s="152"/>
      <c r="R793" s="136"/>
      <c r="S793" s="132"/>
      <c r="T793" s="132">
        <v>20</v>
      </c>
      <c r="U793" s="132"/>
      <c r="V793" s="152"/>
      <c r="W793" s="136"/>
      <c r="X793" s="152"/>
      <c r="Y793" s="136"/>
      <c r="Z793" s="132"/>
      <c r="AA793" s="105"/>
      <c r="AB793" s="105"/>
      <c r="AC793" s="105"/>
      <c r="AD793" s="118">
        <v>44287</v>
      </c>
      <c r="AE793" s="108" t="s">
        <v>6572</v>
      </c>
    </row>
    <row r="794" spans="1:157" ht="27" customHeight="1" x14ac:dyDescent="0.15">
      <c r="A794" s="105">
        <v>1112501703</v>
      </c>
      <c r="B794" s="130" t="s">
        <v>5425</v>
      </c>
      <c r="C794" s="108" t="s">
        <v>8069</v>
      </c>
      <c r="D794" s="108" t="s">
        <v>81</v>
      </c>
      <c r="E794" s="108" t="s">
        <v>6959</v>
      </c>
      <c r="F794" s="131" t="s">
        <v>3101</v>
      </c>
      <c r="G794" s="132" t="s">
        <v>6960</v>
      </c>
      <c r="H794" s="132" t="s">
        <v>6961</v>
      </c>
      <c r="I794" s="133"/>
      <c r="J794" s="134" t="s">
        <v>49</v>
      </c>
      <c r="K794" s="135" t="s">
        <v>49</v>
      </c>
      <c r="L794" s="134" t="s">
        <v>49</v>
      </c>
      <c r="M794" s="134" t="s">
        <v>765</v>
      </c>
      <c r="N794" s="135" t="s">
        <v>6433</v>
      </c>
      <c r="O794" s="136" t="s">
        <v>49</v>
      </c>
      <c r="P794" s="105"/>
      <c r="Q794" s="137"/>
      <c r="R794" s="138"/>
      <c r="S794" s="105"/>
      <c r="T794" s="105"/>
      <c r="U794" s="105"/>
      <c r="V794" s="137"/>
      <c r="W794" s="138"/>
      <c r="X794" s="137">
        <v>20</v>
      </c>
      <c r="Y794" s="138"/>
      <c r="Z794" s="105"/>
      <c r="AA794" s="105"/>
      <c r="AB794" s="105"/>
      <c r="AC794" s="105"/>
      <c r="AD794" s="118">
        <v>44409</v>
      </c>
      <c r="AE794" s="108" t="s">
        <v>6962</v>
      </c>
    </row>
    <row r="795" spans="1:157" ht="27" customHeight="1" x14ac:dyDescent="0.15">
      <c r="A795" s="105">
        <v>1112501703</v>
      </c>
      <c r="B795" s="157" t="s">
        <v>5425</v>
      </c>
      <c r="C795" s="157" t="s">
        <v>8069</v>
      </c>
      <c r="D795" s="108" t="s">
        <v>81</v>
      </c>
      <c r="E795" s="108" t="s">
        <v>6959</v>
      </c>
      <c r="F795" s="264" t="s">
        <v>5166</v>
      </c>
      <c r="G795" s="157" t="s">
        <v>8108</v>
      </c>
      <c r="H795" s="157" t="s">
        <v>8109</v>
      </c>
      <c r="I795" s="160" t="s">
        <v>765</v>
      </c>
      <c r="J795" s="142" t="s">
        <v>765</v>
      </c>
      <c r="K795" s="142" t="s">
        <v>765</v>
      </c>
      <c r="L795" s="142" t="s">
        <v>765</v>
      </c>
      <c r="M795" s="142" t="s">
        <v>765</v>
      </c>
      <c r="N795" s="143" t="s">
        <v>765</v>
      </c>
      <c r="O795" s="138" t="s">
        <v>765</v>
      </c>
      <c r="P795" s="105"/>
      <c r="Q795" s="137"/>
      <c r="R795" s="138"/>
      <c r="S795" s="105"/>
      <c r="T795" s="105"/>
      <c r="U795" s="105"/>
      <c r="V795" s="116"/>
      <c r="W795" s="117"/>
      <c r="X795" s="116"/>
      <c r="Y795" s="138"/>
      <c r="Z795" s="105"/>
      <c r="AA795" s="105"/>
      <c r="AB795" s="118" t="s">
        <v>4614</v>
      </c>
      <c r="AC795" s="325"/>
      <c r="AD795" s="326">
        <v>44958</v>
      </c>
      <c r="AE795" s="157" t="s">
        <v>8110</v>
      </c>
    </row>
    <row r="796" spans="1:157" ht="27" customHeight="1" x14ac:dyDescent="0.15">
      <c r="A796" s="105">
        <v>1112501711</v>
      </c>
      <c r="B796" s="130" t="s">
        <v>6963</v>
      </c>
      <c r="C796" s="108" t="s">
        <v>6964</v>
      </c>
      <c r="D796" s="108" t="s">
        <v>81</v>
      </c>
      <c r="E796" s="108" t="s">
        <v>6965</v>
      </c>
      <c r="F796" s="131" t="s">
        <v>6966</v>
      </c>
      <c r="G796" s="132" t="s">
        <v>6967</v>
      </c>
      <c r="H796" s="132"/>
      <c r="I796" s="133" t="s">
        <v>49</v>
      </c>
      <c r="J796" s="134"/>
      <c r="K796" s="134"/>
      <c r="L796" s="134"/>
      <c r="M796" s="134" t="s">
        <v>765</v>
      </c>
      <c r="N796" s="135" t="s">
        <v>765</v>
      </c>
      <c r="O796" s="136" t="s">
        <v>49</v>
      </c>
      <c r="P796" s="105"/>
      <c r="Q796" s="137"/>
      <c r="R796" s="138"/>
      <c r="S796" s="105"/>
      <c r="T796" s="105"/>
      <c r="U796" s="105"/>
      <c r="V796" s="116"/>
      <c r="W796" s="117"/>
      <c r="X796" s="116"/>
      <c r="Y796" s="138"/>
      <c r="Z796" s="105"/>
      <c r="AA796" s="105">
        <v>20</v>
      </c>
      <c r="AB796" s="105"/>
      <c r="AC796" s="105"/>
      <c r="AD796" s="144">
        <v>44409</v>
      </c>
      <c r="AE796" s="108" t="s">
        <v>6968</v>
      </c>
    </row>
    <row r="797" spans="1:157" ht="27" customHeight="1" x14ac:dyDescent="0.15">
      <c r="A797" s="105">
        <v>1112501752</v>
      </c>
      <c r="B797" s="130" t="s">
        <v>7549</v>
      </c>
      <c r="C797" s="108" t="s">
        <v>7550</v>
      </c>
      <c r="D797" s="108" t="s">
        <v>81</v>
      </c>
      <c r="E797" s="108" t="s">
        <v>7551</v>
      </c>
      <c r="F797" s="131" t="s">
        <v>7850</v>
      </c>
      <c r="G797" s="132" t="s">
        <v>7851</v>
      </c>
      <c r="H797" s="132" t="s">
        <v>7852</v>
      </c>
      <c r="I797" s="133"/>
      <c r="J797" s="134"/>
      <c r="K797" s="134"/>
      <c r="L797" s="134"/>
      <c r="M797" s="134" t="s">
        <v>6457</v>
      </c>
      <c r="N797" s="135" t="s">
        <v>6457</v>
      </c>
      <c r="O797" s="136"/>
      <c r="P797" s="105"/>
      <c r="Q797" s="137"/>
      <c r="R797" s="138"/>
      <c r="S797" s="105"/>
      <c r="T797" s="105"/>
      <c r="U797" s="105"/>
      <c r="V797" s="116"/>
      <c r="W797" s="117"/>
      <c r="X797" s="116"/>
      <c r="Y797" s="138"/>
      <c r="Z797" s="105"/>
      <c r="AA797" s="105">
        <v>20</v>
      </c>
      <c r="AB797" s="105"/>
      <c r="AC797" s="105"/>
      <c r="AD797" s="144">
        <v>44682</v>
      </c>
      <c r="AE797" s="108" t="s">
        <v>7552</v>
      </c>
    </row>
    <row r="798" spans="1:157" ht="27" customHeight="1" x14ac:dyDescent="0.15">
      <c r="A798" s="105">
        <v>1112501729</v>
      </c>
      <c r="B798" s="130" t="s">
        <v>7010</v>
      </c>
      <c r="C798" s="108" t="s">
        <v>7207</v>
      </c>
      <c r="D798" s="108" t="s">
        <v>81</v>
      </c>
      <c r="E798" s="108" t="s">
        <v>7208</v>
      </c>
      <c r="F798" s="131" t="s">
        <v>7209</v>
      </c>
      <c r="G798" s="132" t="s">
        <v>7210</v>
      </c>
      <c r="H798" s="132" t="s">
        <v>7211</v>
      </c>
      <c r="I798" s="133"/>
      <c r="J798" s="134" t="s">
        <v>49</v>
      </c>
      <c r="K798" s="134" t="s">
        <v>49</v>
      </c>
      <c r="L798" s="134" t="s">
        <v>49</v>
      </c>
      <c r="M798" s="134" t="s">
        <v>765</v>
      </c>
      <c r="N798" s="135" t="s">
        <v>765</v>
      </c>
      <c r="O798" s="136" t="s">
        <v>49</v>
      </c>
      <c r="P798" s="105"/>
      <c r="Q798" s="137"/>
      <c r="R798" s="138"/>
      <c r="S798" s="105"/>
      <c r="T798" s="105"/>
      <c r="U798" s="105"/>
      <c r="V798" s="116"/>
      <c r="W798" s="117"/>
      <c r="X798" s="116"/>
      <c r="Y798" s="138"/>
      <c r="Z798" s="105"/>
      <c r="AA798" s="105">
        <v>20</v>
      </c>
      <c r="AB798" s="105"/>
      <c r="AC798" s="105"/>
      <c r="AD798" s="144">
        <v>44562</v>
      </c>
      <c r="AE798" s="108" t="s">
        <v>7212</v>
      </c>
    </row>
    <row r="799" spans="1:157" ht="27" customHeight="1" x14ac:dyDescent="0.15">
      <c r="A799" s="105">
        <v>1112501737</v>
      </c>
      <c r="B799" s="130" t="s">
        <v>7201</v>
      </c>
      <c r="C799" s="108" t="s">
        <v>7202</v>
      </c>
      <c r="D799" s="108" t="s">
        <v>81</v>
      </c>
      <c r="E799" s="108" t="s">
        <v>7203</v>
      </c>
      <c r="F799" s="131" t="s">
        <v>1887</v>
      </c>
      <c r="G799" s="132" t="s">
        <v>7204</v>
      </c>
      <c r="H799" s="132" t="s">
        <v>7205</v>
      </c>
      <c r="I799" s="133"/>
      <c r="J799" s="134" t="s">
        <v>49</v>
      </c>
      <c r="K799" s="134" t="s">
        <v>49</v>
      </c>
      <c r="L799" s="134" t="s">
        <v>49</v>
      </c>
      <c r="M799" s="134" t="s">
        <v>765</v>
      </c>
      <c r="N799" s="135" t="s">
        <v>765</v>
      </c>
      <c r="O799" s="136" t="s">
        <v>49</v>
      </c>
      <c r="P799" s="105"/>
      <c r="Q799" s="137"/>
      <c r="R799" s="138"/>
      <c r="S799" s="105"/>
      <c r="T799" s="105">
        <v>6</v>
      </c>
      <c r="U799" s="105"/>
      <c r="V799" s="116"/>
      <c r="W799" s="117"/>
      <c r="X799" s="116"/>
      <c r="Y799" s="138"/>
      <c r="Z799" s="105"/>
      <c r="AA799" s="105">
        <v>14</v>
      </c>
      <c r="AB799" s="105"/>
      <c r="AC799" s="105"/>
      <c r="AD799" s="144">
        <v>44562</v>
      </c>
      <c r="AE799" s="108" t="s">
        <v>7206</v>
      </c>
    </row>
    <row r="800" spans="1:157" ht="27" customHeight="1" x14ac:dyDescent="0.15">
      <c r="A800" s="105">
        <v>1112501745</v>
      </c>
      <c r="B800" s="130" t="s">
        <v>7343</v>
      </c>
      <c r="C800" s="108" t="s">
        <v>7344</v>
      </c>
      <c r="D800" s="108" t="s">
        <v>81</v>
      </c>
      <c r="E800" s="108" t="s">
        <v>7345</v>
      </c>
      <c r="F800" s="131" t="s">
        <v>2118</v>
      </c>
      <c r="G800" s="132" t="s">
        <v>7346</v>
      </c>
      <c r="H800" s="132" t="s">
        <v>7347</v>
      </c>
      <c r="I800" s="133"/>
      <c r="J800" s="134"/>
      <c r="K800" s="134"/>
      <c r="L800" s="134"/>
      <c r="M800" s="134"/>
      <c r="N800" s="134" t="s">
        <v>765</v>
      </c>
      <c r="O800" s="134"/>
      <c r="P800" s="105"/>
      <c r="Q800" s="137"/>
      <c r="R800" s="138"/>
      <c r="S800" s="105"/>
      <c r="T800" s="105"/>
      <c r="U800" s="105"/>
      <c r="V800" s="116">
        <v>20</v>
      </c>
      <c r="W800" s="117"/>
      <c r="X800" s="116"/>
      <c r="Y800" s="138"/>
      <c r="Z800" s="105"/>
      <c r="AA800" s="105"/>
      <c r="AB800" s="105"/>
      <c r="AC800" s="105"/>
      <c r="AD800" s="144">
        <v>44652</v>
      </c>
      <c r="AE800" s="108" t="s">
        <v>7348</v>
      </c>
    </row>
    <row r="801" spans="1:33" ht="27" customHeight="1" x14ac:dyDescent="0.15">
      <c r="A801" s="105">
        <v>1112501794</v>
      </c>
      <c r="B801" s="130" t="s">
        <v>7844</v>
      </c>
      <c r="C801" s="108" t="s">
        <v>7845</v>
      </c>
      <c r="D801" s="108" t="s">
        <v>7826</v>
      </c>
      <c r="E801" s="108" t="s">
        <v>7846</v>
      </c>
      <c r="F801" s="131" t="s">
        <v>7847</v>
      </c>
      <c r="G801" s="132" t="s">
        <v>7848</v>
      </c>
      <c r="H801" s="132" t="s">
        <v>7848</v>
      </c>
      <c r="I801" s="133"/>
      <c r="J801" s="134"/>
      <c r="K801" s="134"/>
      <c r="L801" s="134"/>
      <c r="M801" s="134" t="s">
        <v>765</v>
      </c>
      <c r="N801" s="135" t="s">
        <v>765</v>
      </c>
      <c r="O801" s="135"/>
      <c r="P801" s="105"/>
      <c r="Q801" s="137"/>
      <c r="R801" s="138"/>
      <c r="S801" s="105"/>
      <c r="T801" s="105"/>
      <c r="U801" s="105"/>
      <c r="V801" s="116"/>
      <c r="W801" s="117"/>
      <c r="X801" s="116"/>
      <c r="Y801" s="138"/>
      <c r="Z801" s="105">
        <v>10</v>
      </c>
      <c r="AA801" s="105"/>
      <c r="AB801" s="105"/>
      <c r="AC801" s="105"/>
      <c r="AD801" s="144">
        <v>44805</v>
      </c>
      <c r="AE801" s="108" t="s">
        <v>7849</v>
      </c>
    </row>
    <row r="802" spans="1:33" s="65" customFormat="1" ht="27" customHeight="1" x14ac:dyDescent="0.15">
      <c r="A802" s="105">
        <v>1112501802</v>
      </c>
      <c r="B802" s="157" t="s">
        <v>8057</v>
      </c>
      <c r="C802" s="157" t="s">
        <v>8058</v>
      </c>
      <c r="D802" s="108" t="s">
        <v>81</v>
      </c>
      <c r="E802" s="108" t="s">
        <v>8059</v>
      </c>
      <c r="F802" s="264" t="s">
        <v>8060</v>
      </c>
      <c r="G802" s="157" t="s">
        <v>8061</v>
      </c>
      <c r="H802" s="157" t="s">
        <v>8061</v>
      </c>
      <c r="I802" s="141"/>
      <c r="J802" s="142"/>
      <c r="K802" s="142"/>
      <c r="L802" s="142"/>
      <c r="M802" s="142" t="s">
        <v>49</v>
      </c>
      <c r="N802" s="143" t="s">
        <v>49</v>
      </c>
      <c r="O802" s="138"/>
      <c r="P802" s="105"/>
      <c r="Q802" s="137"/>
      <c r="R802" s="138"/>
      <c r="S802" s="105"/>
      <c r="T802" s="105"/>
      <c r="U802" s="105"/>
      <c r="V802" s="137"/>
      <c r="W802" s="138"/>
      <c r="X802" s="137"/>
      <c r="Y802" s="138"/>
      <c r="Z802" s="105"/>
      <c r="AA802" s="105">
        <v>20</v>
      </c>
      <c r="AB802" s="105"/>
      <c r="AC802" s="105"/>
      <c r="AD802" s="155">
        <v>44927</v>
      </c>
      <c r="AE802" s="157" t="s">
        <v>8062</v>
      </c>
    </row>
    <row r="803" spans="1:33" ht="27" customHeight="1" x14ac:dyDescent="0.15">
      <c r="A803" s="105">
        <v>1112501828</v>
      </c>
      <c r="B803" s="106" t="s">
        <v>7490</v>
      </c>
      <c r="C803" s="107" t="s">
        <v>8246</v>
      </c>
      <c r="D803" s="108" t="s">
        <v>81</v>
      </c>
      <c r="E803" s="108" t="s">
        <v>8247</v>
      </c>
      <c r="F803" s="139" t="s">
        <v>8248</v>
      </c>
      <c r="G803" s="139" t="s">
        <v>8249</v>
      </c>
      <c r="H803" s="139" t="s">
        <v>8250</v>
      </c>
      <c r="I803" s="327"/>
      <c r="J803" s="142"/>
      <c r="K803" s="142"/>
      <c r="L803" s="142"/>
      <c r="M803" s="142" t="s">
        <v>765</v>
      </c>
      <c r="N803" s="142" t="s">
        <v>765</v>
      </c>
      <c r="O803" s="223"/>
      <c r="P803" s="225"/>
      <c r="Q803" s="224"/>
      <c r="R803" s="138"/>
      <c r="S803" s="225"/>
      <c r="T803" s="225"/>
      <c r="U803" s="225"/>
      <c r="V803" s="224">
        <v>20</v>
      </c>
      <c r="W803" s="138"/>
      <c r="X803" s="224"/>
      <c r="Y803" s="138"/>
      <c r="Z803" s="225"/>
      <c r="AA803" s="225"/>
      <c r="AB803" s="225"/>
      <c r="AC803" s="225"/>
      <c r="AD803" s="118">
        <v>45017</v>
      </c>
      <c r="AE803" s="214" t="s">
        <v>8251</v>
      </c>
    </row>
    <row r="804" spans="1:33" ht="27" customHeight="1" x14ac:dyDescent="0.15">
      <c r="A804" s="105">
        <v>1112501836</v>
      </c>
      <c r="B804" s="106" t="s">
        <v>8440</v>
      </c>
      <c r="C804" s="107" t="s">
        <v>8441</v>
      </c>
      <c r="D804" s="108" t="s">
        <v>81</v>
      </c>
      <c r="E804" s="108" t="s">
        <v>8442</v>
      </c>
      <c r="F804" s="139" t="s">
        <v>8443</v>
      </c>
      <c r="G804" s="140" t="s">
        <v>8444</v>
      </c>
      <c r="H804" s="140" t="s">
        <v>8445</v>
      </c>
      <c r="I804" s="141" t="s">
        <v>765</v>
      </c>
      <c r="J804" s="142" t="s">
        <v>765</v>
      </c>
      <c r="K804" s="142" t="s">
        <v>765</v>
      </c>
      <c r="L804" s="142" t="s">
        <v>765</v>
      </c>
      <c r="M804" s="142" t="s">
        <v>49</v>
      </c>
      <c r="N804" s="142" t="s">
        <v>49</v>
      </c>
      <c r="O804" s="138"/>
      <c r="P804" s="105"/>
      <c r="Q804" s="137"/>
      <c r="R804" s="138"/>
      <c r="S804" s="105"/>
      <c r="T804" s="105">
        <v>20</v>
      </c>
      <c r="U804" s="105"/>
      <c r="V804" s="137"/>
      <c r="W804" s="138"/>
      <c r="X804" s="137"/>
      <c r="Y804" s="138"/>
      <c r="Z804" s="105"/>
      <c r="AA804" s="105"/>
      <c r="AB804" s="105"/>
      <c r="AC804" s="105"/>
      <c r="AD804" s="144">
        <v>45017</v>
      </c>
      <c r="AE804" s="108" t="s">
        <v>8446</v>
      </c>
    </row>
    <row r="805" spans="1:33" ht="27" customHeight="1" x14ac:dyDescent="0.15">
      <c r="A805" s="132">
        <v>1112501844</v>
      </c>
      <c r="B805" s="130" t="s">
        <v>8237</v>
      </c>
      <c r="C805" s="108" t="s">
        <v>8238</v>
      </c>
      <c r="D805" s="108" t="s">
        <v>81</v>
      </c>
      <c r="E805" s="108" t="s">
        <v>8239</v>
      </c>
      <c r="F805" s="139" t="s">
        <v>8240</v>
      </c>
      <c r="G805" s="140" t="s">
        <v>9039</v>
      </c>
      <c r="H805" s="140" t="s">
        <v>43</v>
      </c>
      <c r="I805" s="116"/>
      <c r="J805" s="154"/>
      <c r="K805" s="154"/>
      <c r="L805" s="154"/>
      <c r="M805" s="154" t="s">
        <v>49</v>
      </c>
      <c r="N805" s="143"/>
      <c r="O805" s="138"/>
      <c r="P805" s="105"/>
      <c r="Q805" s="137"/>
      <c r="R805" s="138"/>
      <c r="S805" s="105"/>
      <c r="T805" s="105">
        <v>20</v>
      </c>
      <c r="U805" s="105"/>
      <c r="V805" s="137"/>
      <c r="W805" s="138"/>
      <c r="X805" s="137"/>
      <c r="Y805" s="138"/>
      <c r="Z805" s="105"/>
      <c r="AA805" s="105"/>
      <c r="AB805" s="105"/>
      <c r="AC805" s="105"/>
      <c r="AD805" s="155">
        <v>45017</v>
      </c>
      <c r="AE805" s="108" t="s">
        <v>8241</v>
      </c>
    </row>
    <row r="806" spans="1:33" s="609" customFormat="1" ht="27" customHeight="1" x14ac:dyDescent="0.15">
      <c r="A806" s="597">
        <v>1112501851</v>
      </c>
      <c r="B806" s="598" t="s">
        <v>8335</v>
      </c>
      <c r="C806" s="599" t="s">
        <v>8336</v>
      </c>
      <c r="D806" s="600" t="s">
        <v>7826</v>
      </c>
      <c r="E806" s="600" t="s">
        <v>8337</v>
      </c>
      <c r="F806" s="601" t="s">
        <v>5706</v>
      </c>
      <c r="G806" s="602" t="s">
        <v>8438</v>
      </c>
      <c r="H806" s="602" t="s">
        <v>8439</v>
      </c>
      <c r="I806" s="603" t="s">
        <v>765</v>
      </c>
      <c r="J806" s="604" t="s">
        <v>765</v>
      </c>
      <c r="K806" s="604" t="s">
        <v>765</v>
      </c>
      <c r="L806" s="604" t="s">
        <v>765</v>
      </c>
      <c r="M806" s="604" t="s">
        <v>765</v>
      </c>
      <c r="N806" s="605" t="s">
        <v>765</v>
      </c>
      <c r="O806" s="606"/>
      <c r="P806" s="597"/>
      <c r="Q806" s="607"/>
      <c r="R806" s="606"/>
      <c r="S806" s="597"/>
      <c r="T806" s="597">
        <v>20</v>
      </c>
      <c r="U806" s="597"/>
      <c r="V806" s="607"/>
      <c r="W806" s="606"/>
      <c r="X806" s="607"/>
      <c r="Y806" s="606"/>
      <c r="Z806" s="597"/>
      <c r="AA806" s="597"/>
      <c r="AB806" s="597"/>
      <c r="AC806" s="597"/>
      <c r="AD806" s="608">
        <v>45047</v>
      </c>
      <c r="AE806" s="600" t="s">
        <v>8338</v>
      </c>
    </row>
    <row r="807" spans="1:33" ht="27" customHeight="1" x14ac:dyDescent="0.15">
      <c r="A807" s="105">
        <v>1112501869</v>
      </c>
      <c r="B807" s="106" t="s">
        <v>8330</v>
      </c>
      <c r="C807" s="107" t="s">
        <v>12168</v>
      </c>
      <c r="D807" s="108" t="s">
        <v>81</v>
      </c>
      <c r="E807" s="108" t="s">
        <v>8331</v>
      </c>
      <c r="F807" s="139" t="s">
        <v>3101</v>
      </c>
      <c r="G807" s="140" t="s">
        <v>8332</v>
      </c>
      <c r="H807" s="140" t="s">
        <v>8333</v>
      </c>
      <c r="I807" s="141"/>
      <c r="J807" s="142"/>
      <c r="K807" s="142"/>
      <c r="L807" s="142"/>
      <c r="M807" s="142" t="s">
        <v>765</v>
      </c>
      <c r="N807" s="143" t="s">
        <v>765</v>
      </c>
      <c r="O807" s="143" t="s">
        <v>765</v>
      </c>
      <c r="P807" s="105"/>
      <c r="Q807" s="137"/>
      <c r="R807" s="138"/>
      <c r="S807" s="105"/>
      <c r="T807" s="105"/>
      <c r="U807" s="105"/>
      <c r="V807" s="116"/>
      <c r="W807" s="117"/>
      <c r="X807" s="137">
        <v>20</v>
      </c>
      <c r="Y807" s="138"/>
      <c r="Z807" s="105"/>
      <c r="AA807" s="105"/>
      <c r="AB807" s="105"/>
      <c r="AC807" s="105"/>
      <c r="AD807" s="144">
        <v>45047</v>
      </c>
      <c r="AE807" s="108" t="s">
        <v>8334</v>
      </c>
    </row>
    <row r="808" spans="1:33" ht="27" customHeight="1" x14ac:dyDescent="0.15">
      <c r="A808" s="105">
        <v>1112501869</v>
      </c>
      <c r="B808" s="106" t="s">
        <v>12167</v>
      </c>
      <c r="C808" s="107" t="s">
        <v>12168</v>
      </c>
      <c r="D808" s="108" t="s">
        <v>81</v>
      </c>
      <c r="E808" s="108" t="s">
        <v>12169</v>
      </c>
      <c r="F808" s="139" t="s">
        <v>12170</v>
      </c>
      <c r="G808" s="140" t="s">
        <v>12173</v>
      </c>
      <c r="H808" s="140" t="s">
        <v>12172</v>
      </c>
      <c r="I808" s="116" t="s">
        <v>765</v>
      </c>
      <c r="J808" s="154" t="s">
        <v>765</v>
      </c>
      <c r="K808" s="154" t="s">
        <v>765</v>
      </c>
      <c r="L808" s="154" t="s">
        <v>765</v>
      </c>
      <c r="M808" s="154" t="s">
        <v>765</v>
      </c>
      <c r="N808" s="143" t="s">
        <v>765</v>
      </c>
      <c r="O808" s="138" t="s">
        <v>765</v>
      </c>
      <c r="P808" s="105"/>
      <c r="Q808" s="137"/>
      <c r="R808" s="138"/>
      <c r="S808" s="105"/>
      <c r="T808" s="105"/>
      <c r="U808" s="105"/>
      <c r="V808" s="137"/>
      <c r="W808" s="138"/>
      <c r="X808" s="137"/>
      <c r="Y808" s="138"/>
      <c r="Z808" s="105"/>
      <c r="AA808" s="105"/>
      <c r="AB808" s="105" t="s">
        <v>10951</v>
      </c>
      <c r="AC808" s="105"/>
      <c r="AD808" s="118">
        <v>46174</v>
      </c>
      <c r="AE808" s="108" t="s">
        <v>12171</v>
      </c>
    </row>
    <row r="809" spans="1:33" s="65" customFormat="1" ht="27" customHeight="1" x14ac:dyDescent="0.15">
      <c r="A809" s="150">
        <v>1112501885</v>
      </c>
      <c r="B809" s="130" t="s">
        <v>872</v>
      </c>
      <c r="C809" s="108" t="s">
        <v>8529</v>
      </c>
      <c r="D809" s="108" t="s">
        <v>890</v>
      </c>
      <c r="E809" s="108" t="s">
        <v>8530</v>
      </c>
      <c r="F809" s="230">
        <v>3590031</v>
      </c>
      <c r="G809" s="132" t="s">
        <v>4951</v>
      </c>
      <c r="H809" s="132" t="s">
        <v>4952</v>
      </c>
      <c r="I809" s="116"/>
      <c r="J809" s="154"/>
      <c r="K809" s="154"/>
      <c r="L809" s="154"/>
      <c r="M809" s="154" t="s">
        <v>49</v>
      </c>
      <c r="N809" s="143"/>
      <c r="O809" s="138"/>
      <c r="P809" s="105">
        <v>40</v>
      </c>
      <c r="Q809" s="137"/>
      <c r="R809" s="138">
        <v>4</v>
      </c>
      <c r="S809" s="105"/>
      <c r="T809" s="105">
        <v>40</v>
      </c>
      <c r="U809" s="105"/>
      <c r="V809" s="116"/>
      <c r="W809" s="117"/>
      <c r="X809" s="116"/>
      <c r="Y809" s="138"/>
      <c r="Z809" s="105"/>
      <c r="AA809" s="105"/>
      <c r="AB809" s="105"/>
      <c r="AC809" s="105"/>
      <c r="AD809" s="118">
        <v>45139</v>
      </c>
      <c r="AE809" s="108" t="s">
        <v>995</v>
      </c>
    </row>
    <row r="810" spans="1:33" s="65" customFormat="1" ht="27" customHeight="1" x14ac:dyDescent="0.15">
      <c r="A810" s="105">
        <v>1112501901</v>
      </c>
      <c r="B810" s="106" t="s">
        <v>8881</v>
      </c>
      <c r="C810" s="107" t="s">
        <v>8882</v>
      </c>
      <c r="D810" s="108" t="s">
        <v>81</v>
      </c>
      <c r="E810" s="108" t="s">
        <v>8883</v>
      </c>
      <c r="F810" s="139" t="s">
        <v>3101</v>
      </c>
      <c r="G810" s="140" t="s">
        <v>8884</v>
      </c>
      <c r="H810" s="132" t="s">
        <v>10432</v>
      </c>
      <c r="I810" s="134" t="s">
        <v>765</v>
      </c>
      <c r="J810" s="134" t="s">
        <v>765</v>
      </c>
      <c r="K810" s="134" t="s">
        <v>765</v>
      </c>
      <c r="L810" s="134" t="s">
        <v>765</v>
      </c>
      <c r="M810" s="135" t="s">
        <v>765</v>
      </c>
      <c r="N810" s="136" t="s">
        <v>765</v>
      </c>
      <c r="O810" s="143" t="s">
        <v>765</v>
      </c>
      <c r="P810" s="105"/>
      <c r="Q810" s="137"/>
      <c r="R810" s="138"/>
      <c r="S810" s="105"/>
      <c r="T810" s="105"/>
      <c r="U810" s="105"/>
      <c r="V810" s="137"/>
      <c r="W810" s="138"/>
      <c r="X810" s="137">
        <v>20</v>
      </c>
      <c r="Y810" s="138"/>
      <c r="Z810" s="105"/>
      <c r="AA810" s="105"/>
      <c r="AB810" s="105" t="s">
        <v>765</v>
      </c>
      <c r="AC810" s="105"/>
      <c r="AD810" s="118">
        <v>45261</v>
      </c>
      <c r="AE810" s="108" t="s">
        <v>8885</v>
      </c>
    </row>
    <row r="811" spans="1:33" s="218" customFormat="1" ht="27" customHeight="1" x14ac:dyDescent="0.15">
      <c r="A811" s="132">
        <v>1112501935</v>
      </c>
      <c r="B811" s="130" t="s">
        <v>8988</v>
      </c>
      <c r="C811" s="108" t="s">
        <v>8989</v>
      </c>
      <c r="D811" s="108" t="s">
        <v>81</v>
      </c>
      <c r="E811" s="108" t="s">
        <v>8990</v>
      </c>
      <c r="F811" s="139" t="s">
        <v>2707</v>
      </c>
      <c r="G811" s="140" t="s">
        <v>8991</v>
      </c>
      <c r="H811" s="140" t="s">
        <v>8992</v>
      </c>
      <c r="I811" s="141"/>
      <c r="J811" s="142"/>
      <c r="K811" s="142"/>
      <c r="L811" s="142"/>
      <c r="M811" s="142" t="s">
        <v>49</v>
      </c>
      <c r="N811" s="143" t="s">
        <v>49</v>
      </c>
      <c r="O811" s="138"/>
      <c r="P811" s="105"/>
      <c r="Q811" s="137"/>
      <c r="R811" s="138"/>
      <c r="S811" s="105"/>
      <c r="T811" s="105"/>
      <c r="U811" s="105"/>
      <c r="V811" s="116"/>
      <c r="W811" s="117"/>
      <c r="X811" s="137"/>
      <c r="Y811" s="138"/>
      <c r="Z811" s="105"/>
      <c r="AA811" s="105">
        <v>20</v>
      </c>
      <c r="AB811" s="105"/>
      <c r="AC811" s="105"/>
      <c r="AD811" s="118">
        <v>45323</v>
      </c>
      <c r="AE811" s="108" t="s">
        <v>8993</v>
      </c>
    </row>
    <row r="812" spans="1:33" s="218" customFormat="1" ht="27" customHeight="1" x14ac:dyDescent="0.15">
      <c r="A812" s="132">
        <v>1112501943</v>
      </c>
      <c r="B812" s="130" t="s">
        <v>9157</v>
      </c>
      <c r="C812" s="108" t="s">
        <v>10556</v>
      </c>
      <c r="D812" s="108" t="s">
        <v>81</v>
      </c>
      <c r="E812" s="108" t="s">
        <v>9158</v>
      </c>
      <c r="F812" s="139" t="s">
        <v>9159</v>
      </c>
      <c r="G812" s="140" t="s">
        <v>9160</v>
      </c>
      <c r="H812" s="140" t="s">
        <v>9161</v>
      </c>
      <c r="I812" s="141"/>
      <c r="J812" s="134" t="s">
        <v>765</v>
      </c>
      <c r="K812" s="134" t="s">
        <v>765</v>
      </c>
      <c r="L812" s="134" t="s">
        <v>765</v>
      </c>
      <c r="M812" s="134" t="s">
        <v>765</v>
      </c>
      <c r="N812" s="135" t="s">
        <v>765</v>
      </c>
      <c r="O812" s="136" t="s">
        <v>765</v>
      </c>
      <c r="P812" s="105"/>
      <c r="Q812" s="152"/>
      <c r="R812" s="138"/>
      <c r="S812" s="105"/>
      <c r="T812" s="105"/>
      <c r="U812" s="105"/>
      <c r="V812" s="137"/>
      <c r="W812" s="138"/>
      <c r="X812" s="137">
        <v>20</v>
      </c>
      <c r="Y812" s="138"/>
      <c r="Z812" s="105"/>
      <c r="AA812" s="105"/>
      <c r="AB812" s="105"/>
      <c r="AC812" s="105"/>
      <c r="AD812" s="155">
        <v>45383</v>
      </c>
      <c r="AE812" s="108" t="s">
        <v>9162</v>
      </c>
    </row>
    <row r="813" spans="1:33" s="65" customFormat="1" ht="27" customHeight="1" x14ac:dyDescent="0.15">
      <c r="A813" s="132">
        <v>1112501943</v>
      </c>
      <c r="B813" s="130" t="s">
        <v>9157</v>
      </c>
      <c r="C813" s="108" t="s">
        <v>10597</v>
      </c>
      <c r="D813" s="108" t="s">
        <v>81</v>
      </c>
      <c r="E813" s="108" t="s">
        <v>9158</v>
      </c>
      <c r="F813" s="139" t="s">
        <v>10598</v>
      </c>
      <c r="G813" s="140" t="s">
        <v>10599</v>
      </c>
      <c r="H813" s="140" t="s">
        <v>10600</v>
      </c>
      <c r="I813" s="141"/>
      <c r="J813" s="134" t="s">
        <v>765</v>
      </c>
      <c r="K813" s="134" t="s">
        <v>765</v>
      </c>
      <c r="L813" s="134" t="s">
        <v>765</v>
      </c>
      <c r="M813" s="134" t="s">
        <v>765</v>
      </c>
      <c r="N813" s="135" t="s">
        <v>765</v>
      </c>
      <c r="O813" s="136" t="s">
        <v>765</v>
      </c>
      <c r="P813" s="105"/>
      <c r="Q813" s="152"/>
      <c r="R813" s="138"/>
      <c r="S813" s="105"/>
      <c r="T813" s="105"/>
      <c r="U813" s="105"/>
      <c r="V813" s="137"/>
      <c r="W813" s="138"/>
      <c r="X813" s="137"/>
      <c r="Y813" s="138"/>
      <c r="Z813" s="105"/>
      <c r="AA813" s="105"/>
      <c r="AB813" s="105" t="s">
        <v>765</v>
      </c>
      <c r="AC813" s="105"/>
      <c r="AD813" s="118">
        <v>45901</v>
      </c>
      <c r="AE813" s="108" t="s">
        <v>9162</v>
      </c>
    </row>
    <row r="814" spans="1:33" ht="27" customHeight="1" x14ac:dyDescent="0.15">
      <c r="A814" s="175">
        <v>1112501968</v>
      </c>
      <c r="B814" s="204" t="s">
        <v>9276</v>
      </c>
      <c r="C814" s="162" t="s">
        <v>9449</v>
      </c>
      <c r="D814" s="162" t="s">
        <v>81</v>
      </c>
      <c r="E814" s="162" t="s">
        <v>9450</v>
      </c>
      <c r="F814" s="268" t="s">
        <v>1794</v>
      </c>
      <c r="G814" s="203" t="s">
        <v>9451</v>
      </c>
      <c r="H814" s="203" t="s">
        <v>9451</v>
      </c>
      <c r="I814" s="133"/>
      <c r="J814" s="134" t="s">
        <v>765</v>
      </c>
      <c r="K814" s="134" t="s">
        <v>765</v>
      </c>
      <c r="L814" s="134" t="s">
        <v>765</v>
      </c>
      <c r="M814" s="134" t="s">
        <v>765</v>
      </c>
      <c r="N814" s="135" t="s">
        <v>765</v>
      </c>
      <c r="O814" s="136" t="s">
        <v>765</v>
      </c>
      <c r="P814" s="175"/>
      <c r="Q814" s="209"/>
      <c r="R814" s="210"/>
      <c r="S814" s="175"/>
      <c r="T814" s="175"/>
      <c r="U814" s="175"/>
      <c r="V814" s="209"/>
      <c r="W814" s="210"/>
      <c r="X814" s="209"/>
      <c r="Y814" s="210"/>
      <c r="Z814" s="175"/>
      <c r="AA814" s="175">
        <v>20</v>
      </c>
      <c r="AB814" s="175"/>
      <c r="AC814" s="175"/>
      <c r="AD814" s="227">
        <v>45505</v>
      </c>
      <c r="AE814" s="162" t="s">
        <v>9452</v>
      </c>
      <c r="AF814" s="65"/>
      <c r="AG814" s="65"/>
    </row>
    <row r="815" spans="1:33" s="65" customFormat="1" ht="27" customHeight="1" x14ac:dyDescent="0.15">
      <c r="A815" s="76">
        <v>1112501984</v>
      </c>
      <c r="B815" s="147" t="s">
        <v>9487</v>
      </c>
      <c r="C815" s="147" t="s">
        <v>9488</v>
      </c>
      <c r="D815" s="166" t="s">
        <v>81</v>
      </c>
      <c r="E815" s="166" t="s">
        <v>9489</v>
      </c>
      <c r="F815" s="328" t="s">
        <v>3101</v>
      </c>
      <c r="G815" s="147" t="s">
        <v>9490</v>
      </c>
      <c r="H815" s="147" t="s">
        <v>9491</v>
      </c>
      <c r="I815" s="133"/>
      <c r="J815" s="134"/>
      <c r="K815" s="134"/>
      <c r="L815" s="134"/>
      <c r="M815" s="134"/>
      <c r="N815" s="135" t="s">
        <v>49</v>
      </c>
      <c r="O815" s="136"/>
      <c r="P815" s="132"/>
      <c r="Q815" s="152"/>
      <c r="R815" s="136"/>
      <c r="S815" s="132"/>
      <c r="T815" s="132"/>
      <c r="U815" s="132"/>
      <c r="V815" s="152">
        <v>20</v>
      </c>
      <c r="W815" s="136"/>
      <c r="X815" s="152"/>
      <c r="Y815" s="136"/>
      <c r="Z815" s="132"/>
      <c r="AA815" s="105"/>
      <c r="AB815" s="105"/>
      <c r="AC815" s="105"/>
      <c r="AD815" s="155">
        <v>45536</v>
      </c>
      <c r="AE815" s="108" t="s">
        <v>9492</v>
      </c>
    </row>
    <row r="816" spans="1:33" s="65" customFormat="1" ht="27" customHeight="1" x14ac:dyDescent="0.15">
      <c r="A816" s="175">
        <v>1112501992</v>
      </c>
      <c r="B816" s="204" t="s">
        <v>9493</v>
      </c>
      <c r="C816" s="162" t="s">
        <v>9494</v>
      </c>
      <c r="D816" s="162" t="s">
        <v>7826</v>
      </c>
      <c r="E816" s="162" t="s">
        <v>9495</v>
      </c>
      <c r="F816" s="268" t="s">
        <v>4885</v>
      </c>
      <c r="G816" s="203" t="s">
        <v>9496</v>
      </c>
      <c r="H816" s="203" t="s">
        <v>9497</v>
      </c>
      <c r="I816" s="133" t="s">
        <v>765</v>
      </c>
      <c r="J816" s="134" t="s">
        <v>765</v>
      </c>
      <c r="K816" s="134" t="s">
        <v>765</v>
      </c>
      <c r="L816" s="134" t="s">
        <v>765</v>
      </c>
      <c r="M816" s="134" t="s">
        <v>765</v>
      </c>
      <c r="N816" s="135" t="s">
        <v>765</v>
      </c>
      <c r="O816" s="136" t="s">
        <v>765</v>
      </c>
      <c r="P816" s="175"/>
      <c r="Q816" s="209"/>
      <c r="R816" s="210"/>
      <c r="S816" s="175"/>
      <c r="T816" s="175"/>
      <c r="U816" s="175"/>
      <c r="V816" s="209"/>
      <c r="W816" s="210"/>
      <c r="X816" s="209"/>
      <c r="Y816" s="210"/>
      <c r="Z816" s="175"/>
      <c r="AA816" s="175">
        <v>20</v>
      </c>
      <c r="AB816" s="175"/>
      <c r="AC816" s="175"/>
      <c r="AD816" s="227">
        <v>45536</v>
      </c>
      <c r="AE816" s="162" t="s">
        <v>9498</v>
      </c>
    </row>
    <row r="817" spans="1:31" ht="27" customHeight="1" x14ac:dyDescent="0.15">
      <c r="A817" s="175">
        <v>1112502008</v>
      </c>
      <c r="B817" s="204" t="s">
        <v>11664</v>
      </c>
      <c r="C817" s="162" t="s">
        <v>9553</v>
      </c>
      <c r="D817" s="162" t="s">
        <v>81</v>
      </c>
      <c r="E817" s="162" t="s">
        <v>9554</v>
      </c>
      <c r="F817" s="268" t="s">
        <v>9555</v>
      </c>
      <c r="G817" s="203" t="s">
        <v>9556</v>
      </c>
      <c r="H817" s="203" t="s">
        <v>9557</v>
      </c>
      <c r="I817" s="133"/>
      <c r="J817" s="134" t="s">
        <v>765</v>
      </c>
      <c r="K817" s="134" t="s">
        <v>765</v>
      </c>
      <c r="L817" s="134" t="s">
        <v>765</v>
      </c>
      <c r="M817" s="134" t="s">
        <v>765</v>
      </c>
      <c r="N817" s="135" t="s">
        <v>765</v>
      </c>
      <c r="O817" s="136" t="s">
        <v>765</v>
      </c>
      <c r="P817" s="175"/>
      <c r="Q817" s="209"/>
      <c r="R817" s="210"/>
      <c r="S817" s="175"/>
      <c r="T817" s="175"/>
      <c r="U817" s="175"/>
      <c r="V817" s="209"/>
      <c r="W817" s="210"/>
      <c r="X817" s="209"/>
      <c r="Y817" s="210"/>
      <c r="Z817" s="175"/>
      <c r="AA817" s="175">
        <v>20</v>
      </c>
      <c r="AB817" s="175"/>
      <c r="AC817" s="175"/>
      <c r="AD817" s="227">
        <v>45566</v>
      </c>
      <c r="AE817" s="162" t="s">
        <v>9558</v>
      </c>
    </row>
    <row r="818" spans="1:31" ht="27" customHeight="1" x14ac:dyDescent="0.15">
      <c r="A818" s="150">
        <v>1112502016</v>
      </c>
      <c r="B818" s="130" t="s">
        <v>12013</v>
      </c>
      <c r="C818" s="108" t="s">
        <v>9547</v>
      </c>
      <c r="D818" s="108" t="s">
        <v>81</v>
      </c>
      <c r="E818" s="108" t="s">
        <v>9548</v>
      </c>
      <c r="F818" s="230" t="s">
        <v>9549</v>
      </c>
      <c r="G818" s="132" t="s">
        <v>9550</v>
      </c>
      <c r="H818" s="132" t="s">
        <v>9551</v>
      </c>
      <c r="I818" s="116"/>
      <c r="J818" s="154"/>
      <c r="K818" s="154"/>
      <c r="L818" s="154"/>
      <c r="M818" s="154" t="s">
        <v>49</v>
      </c>
      <c r="N818" s="143"/>
      <c r="O818" s="138"/>
      <c r="P818" s="105">
        <v>50</v>
      </c>
      <c r="Q818" s="116" t="s">
        <v>765</v>
      </c>
      <c r="R818" s="138">
        <v>10</v>
      </c>
      <c r="S818" s="105"/>
      <c r="T818" s="105">
        <v>50</v>
      </c>
      <c r="U818" s="105"/>
      <c r="V818" s="116"/>
      <c r="W818" s="138"/>
      <c r="X818" s="116"/>
      <c r="Y818" s="138"/>
      <c r="Z818" s="105"/>
      <c r="AA818" s="105"/>
      <c r="AB818" s="105"/>
      <c r="AC818" s="105"/>
      <c r="AD818" s="118">
        <v>45566</v>
      </c>
      <c r="AE818" s="108" t="s">
        <v>9552</v>
      </c>
    </row>
    <row r="819" spans="1:31" ht="27" customHeight="1" x14ac:dyDescent="0.15">
      <c r="A819" s="81">
        <v>1112502057</v>
      </c>
      <c r="B819" s="296" t="s">
        <v>12049</v>
      </c>
      <c r="C819" s="296" t="s">
        <v>9969</v>
      </c>
      <c r="D819" s="84" t="s">
        <v>81</v>
      </c>
      <c r="E819" s="297" t="s">
        <v>9970</v>
      </c>
      <c r="F819" s="77" t="s">
        <v>2345</v>
      </c>
      <c r="G819" s="298" t="s">
        <v>9971</v>
      </c>
      <c r="H819" s="298" t="s">
        <v>9972</v>
      </c>
      <c r="I819" s="299"/>
      <c r="J819" s="300"/>
      <c r="K819" s="300"/>
      <c r="L819" s="300"/>
      <c r="M819" s="300" t="s">
        <v>49</v>
      </c>
      <c r="N819" s="300" t="s">
        <v>49</v>
      </c>
      <c r="O819" s="300"/>
      <c r="P819" s="81"/>
      <c r="Q819" s="220"/>
      <c r="R819" s="89"/>
      <c r="S819" s="81"/>
      <c r="T819" s="81"/>
      <c r="U819" s="81"/>
      <c r="V819" s="220">
        <v>10</v>
      </c>
      <c r="W819" s="89"/>
      <c r="X819" s="220"/>
      <c r="Y819" s="89"/>
      <c r="Z819" s="81"/>
      <c r="AA819" s="81">
        <v>10</v>
      </c>
      <c r="AB819" s="81"/>
      <c r="AC819" s="81"/>
      <c r="AD819" s="301">
        <v>45717</v>
      </c>
      <c r="AE819" s="84" t="s">
        <v>9973</v>
      </c>
    </row>
    <row r="820" spans="1:31" ht="27" customHeight="1" x14ac:dyDescent="0.15">
      <c r="A820" s="105">
        <v>1112502065</v>
      </c>
      <c r="B820" s="130" t="s">
        <v>10142</v>
      </c>
      <c r="C820" s="108" t="s">
        <v>10143</v>
      </c>
      <c r="D820" s="108" t="s">
        <v>7826</v>
      </c>
      <c r="E820" s="108" t="s">
        <v>10144</v>
      </c>
      <c r="F820" s="131" t="s">
        <v>10145</v>
      </c>
      <c r="G820" s="132" t="s">
        <v>10146</v>
      </c>
      <c r="H820" s="132"/>
      <c r="I820" s="133"/>
      <c r="J820" s="134"/>
      <c r="K820" s="134"/>
      <c r="L820" s="134"/>
      <c r="M820" s="134" t="s">
        <v>765</v>
      </c>
      <c r="N820" s="135" t="s">
        <v>765</v>
      </c>
      <c r="O820" s="135"/>
      <c r="P820" s="105"/>
      <c r="Q820" s="137"/>
      <c r="R820" s="138"/>
      <c r="S820" s="105"/>
      <c r="T820" s="105"/>
      <c r="U820" s="105"/>
      <c r="V820" s="116"/>
      <c r="W820" s="117"/>
      <c r="X820" s="116"/>
      <c r="Y820" s="138"/>
      <c r="Z820" s="105">
        <v>10</v>
      </c>
      <c r="AA820" s="105"/>
      <c r="AB820" s="105"/>
      <c r="AC820" s="105"/>
      <c r="AD820" s="144">
        <v>45748</v>
      </c>
      <c r="AE820" s="108" t="s">
        <v>10147</v>
      </c>
    </row>
    <row r="821" spans="1:31" s="65" customFormat="1" ht="27" customHeight="1" x14ac:dyDescent="0.15">
      <c r="A821" s="105">
        <v>1112502123</v>
      </c>
      <c r="B821" s="130" t="s">
        <v>11201</v>
      </c>
      <c r="C821" s="329" t="s">
        <v>11202</v>
      </c>
      <c r="D821" s="108" t="s">
        <v>81</v>
      </c>
      <c r="E821" s="108" t="s">
        <v>4354</v>
      </c>
      <c r="F821" s="131">
        <v>3590901</v>
      </c>
      <c r="G821" s="228" t="s">
        <v>11203</v>
      </c>
      <c r="H821" s="228" t="s">
        <v>11204</v>
      </c>
      <c r="I821" s="141" t="s">
        <v>49</v>
      </c>
      <c r="J821" s="142" t="s">
        <v>49</v>
      </c>
      <c r="K821" s="142" t="s">
        <v>765</v>
      </c>
      <c r="L821" s="142" t="s">
        <v>765</v>
      </c>
      <c r="M821" s="142" t="s">
        <v>765</v>
      </c>
      <c r="N821" s="143" t="s">
        <v>765</v>
      </c>
      <c r="O821" s="138" t="s">
        <v>49</v>
      </c>
      <c r="P821" s="105"/>
      <c r="Q821" s="137"/>
      <c r="R821" s="138"/>
      <c r="S821" s="105"/>
      <c r="T821" s="105"/>
      <c r="U821" s="105"/>
      <c r="V821" s="137"/>
      <c r="W821" s="138"/>
      <c r="X821" s="137">
        <v>20</v>
      </c>
      <c r="Y821" s="138"/>
      <c r="Z821" s="105"/>
      <c r="AA821" s="105"/>
      <c r="AB821" s="105"/>
      <c r="AC821" s="105"/>
      <c r="AD821" s="118">
        <v>46082</v>
      </c>
      <c r="AE821" s="108" t="s">
        <v>4355</v>
      </c>
    </row>
    <row r="822" spans="1:31" s="561" customFormat="1" ht="27" customHeight="1" x14ac:dyDescent="0.15">
      <c r="A822" s="569">
        <v>1112502131</v>
      </c>
      <c r="B822" s="544" t="s">
        <v>8906</v>
      </c>
      <c r="C822" s="545" t="s">
        <v>12283</v>
      </c>
      <c r="D822" s="545" t="s">
        <v>81</v>
      </c>
      <c r="E822" s="545" t="s">
        <v>12284</v>
      </c>
      <c r="F822" s="546" t="s">
        <v>12285</v>
      </c>
      <c r="G822" s="547" t="s">
        <v>12286</v>
      </c>
      <c r="H822" s="547" t="s">
        <v>12287</v>
      </c>
      <c r="I822" s="548" t="s">
        <v>765</v>
      </c>
      <c r="J822" s="549" t="s">
        <v>765</v>
      </c>
      <c r="K822" s="549" t="s">
        <v>765</v>
      </c>
      <c r="L822" s="549" t="s">
        <v>765</v>
      </c>
      <c r="M822" s="549" t="s">
        <v>765</v>
      </c>
      <c r="N822" s="550" t="s">
        <v>765</v>
      </c>
      <c r="O822" s="551" t="s">
        <v>765</v>
      </c>
      <c r="P822" s="569"/>
      <c r="Q822" s="582"/>
      <c r="R822" s="587"/>
      <c r="S822" s="569"/>
      <c r="T822" s="569">
        <v>20</v>
      </c>
      <c r="U822" s="569"/>
      <c r="V822" s="582"/>
      <c r="W822" s="587"/>
      <c r="X822" s="582"/>
      <c r="Y822" s="587"/>
      <c r="Z822" s="569"/>
      <c r="AA822" s="569"/>
      <c r="AB822" s="569"/>
      <c r="AC822" s="569"/>
      <c r="AD822" s="588">
        <v>46235</v>
      </c>
      <c r="AE822" s="545" t="s">
        <v>8338</v>
      </c>
    </row>
    <row r="823" spans="1:31" ht="27" customHeight="1" x14ac:dyDescent="0.15">
      <c r="A823" s="132">
        <v>1112600034</v>
      </c>
      <c r="B823" s="130" t="s">
        <v>2024</v>
      </c>
      <c r="C823" s="108" t="s">
        <v>1847</v>
      </c>
      <c r="D823" s="108" t="s">
        <v>82</v>
      </c>
      <c r="E823" s="108" t="s">
        <v>1934</v>
      </c>
      <c r="F823" s="139" t="s">
        <v>1935</v>
      </c>
      <c r="G823" s="140" t="s">
        <v>1936</v>
      </c>
      <c r="H823" s="140" t="s">
        <v>1848</v>
      </c>
      <c r="I823" s="141"/>
      <c r="J823" s="142"/>
      <c r="K823" s="142"/>
      <c r="L823" s="142"/>
      <c r="M823" s="142" t="s">
        <v>1920</v>
      </c>
      <c r="N823" s="143"/>
      <c r="O823" s="138"/>
      <c r="P823" s="105"/>
      <c r="Q823" s="137"/>
      <c r="R823" s="138"/>
      <c r="S823" s="105"/>
      <c r="T823" s="105">
        <v>25</v>
      </c>
      <c r="U823" s="105"/>
      <c r="V823" s="116"/>
      <c r="W823" s="117"/>
      <c r="X823" s="116"/>
      <c r="Y823" s="138"/>
      <c r="Z823" s="105"/>
      <c r="AA823" s="105">
        <v>25</v>
      </c>
      <c r="AB823" s="105"/>
      <c r="AC823" s="105"/>
      <c r="AD823" s="144">
        <v>41000</v>
      </c>
      <c r="AE823" s="108" t="s">
        <v>1937</v>
      </c>
    </row>
    <row r="824" spans="1:31" ht="27" customHeight="1" x14ac:dyDescent="0.15">
      <c r="A824" s="150">
        <v>1112600042</v>
      </c>
      <c r="B824" s="106" t="s">
        <v>427</v>
      </c>
      <c r="C824" s="107" t="s">
        <v>336</v>
      </c>
      <c r="D824" s="157" t="s">
        <v>337</v>
      </c>
      <c r="E824" s="108" t="s">
        <v>244</v>
      </c>
      <c r="F824" s="139">
        <v>3570011</v>
      </c>
      <c r="G824" s="132" t="s">
        <v>338</v>
      </c>
      <c r="H824" s="132" t="s">
        <v>339</v>
      </c>
      <c r="I824" s="133" t="s">
        <v>261</v>
      </c>
      <c r="J824" s="154" t="s">
        <v>261</v>
      </c>
      <c r="K824" s="154" t="s">
        <v>261</v>
      </c>
      <c r="L824" s="154" t="s">
        <v>261</v>
      </c>
      <c r="M824" s="154" t="s">
        <v>261</v>
      </c>
      <c r="N824" s="143"/>
      <c r="O824" s="138"/>
      <c r="P824" s="105">
        <v>50</v>
      </c>
      <c r="Q824" s="137"/>
      <c r="R824" s="138">
        <v>3</v>
      </c>
      <c r="S824" s="150"/>
      <c r="T824" s="150">
        <v>50</v>
      </c>
      <c r="U824" s="105"/>
      <c r="V824" s="116"/>
      <c r="W824" s="117"/>
      <c r="X824" s="116"/>
      <c r="Y824" s="187"/>
      <c r="Z824" s="105"/>
      <c r="AA824" s="105"/>
      <c r="AB824" s="105"/>
      <c r="AC824" s="105"/>
      <c r="AD824" s="144">
        <v>39904</v>
      </c>
      <c r="AE824" s="108" t="s">
        <v>467</v>
      </c>
    </row>
    <row r="825" spans="1:31" s="65" customFormat="1" ht="27" customHeight="1" x14ac:dyDescent="0.15">
      <c r="A825" s="105">
        <v>1112600109</v>
      </c>
      <c r="B825" s="130" t="s">
        <v>780</v>
      </c>
      <c r="C825" s="108" t="s">
        <v>508</v>
      </c>
      <c r="D825" s="108" t="s">
        <v>82</v>
      </c>
      <c r="E825" s="108" t="s">
        <v>151</v>
      </c>
      <c r="F825" s="131">
        <v>3570013</v>
      </c>
      <c r="G825" s="132" t="s">
        <v>654</v>
      </c>
      <c r="H825" s="132" t="s">
        <v>655</v>
      </c>
      <c r="I825" s="116" t="s">
        <v>239</v>
      </c>
      <c r="J825" s="154" t="s">
        <v>239</v>
      </c>
      <c r="K825" s="154" t="s">
        <v>239</v>
      </c>
      <c r="L825" s="154" t="s">
        <v>239</v>
      </c>
      <c r="M825" s="154" t="s">
        <v>239</v>
      </c>
      <c r="N825" s="143" t="s">
        <v>239</v>
      </c>
      <c r="O825" s="138" t="s">
        <v>2170</v>
      </c>
      <c r="P825" s="105"/>
      <c r="Q825" s="137"/>
      <c r="R825" s="138"/>
      <c r="S825" s="105"/>
      <c r="T825" s="105"/>
      <c r="U825" s="105"/>
      <c r="V825" s="116"/>
      <c r="W825" s="117"/>
      <c r="X825" s="116"/>
      <c r="Y825" s="138"/>
      <c r="Z825" s="105"/>
      <c r="AA825" s="105">
        <v>20</v>
      </c>
      <c r="AB825" s="105"/>
      <c r="AC825" s="105"/>
      <c r="AD825" s="118">
        <v>38991</v>
      </c>
      <c r="AE825" s="108" t="s">
        <v>217</v>
      </c>
    </row>
    <row r="826" spans="1:31" ht="27" customHeight="1" x14ac:dyDescent="0.15">
      <c r="A826" s="175">
        <v>1112600117</v>
      </c>
      <c r="B826" s="204" t="s">
        <v>405</v>
      </c>
      <c r="C826" s="162" t="s">
        <v>7213</v>
      </c>
      <c r="D826" s="108" t="s">
        <v>82</v>
      </c>
      <c r="E826" s="108" t="s">
        <v>9977</v>
      </c>
      <c r="F826" s="131">
        <v>3570004</v>
      </c>
      <c r="G826" s="132" t="s">
        <v>340</v>
      </c>
      <c r="H826" s="132" t="s">
        <v>340</v>
      </c>
      <c r="I826" s="133"/>
      <c r="J826" s="134"/>
      <c r="K826" s="134"/>
      <c r="L826" s="134"/>
      <c r="M826" s="134" t="s">
        <v>765</v>
      </c>
      <c r="N826" s="135" t="s">
        <v>49</v>
      </c>
      <c r="O826" s="134" t="s">
        <v>765</v>
      </c>
      <c r="P826" s="105"/>
      <c r="Q826" s="137"/>
      <c r="R826" s="138"/>
      <c r="S826" s="105"/>
      <c r="T826" s="105"/>
      <c r="U826" s="105"/>
      <c r="V826" s="116">
        <v>13</v>
      </c>
      <c r="W826" s="117"/>
      <c r="X826" s="116">
        <v>7</v>
      </c>
      <c r="Y826" s="138"/>
      <c r="Z826" s="105"/>
      <c r="AA826" s="105"/>
      <c r="AB826" s="105"/>
      <c r="AC826" s="105"/>
      <c r="AD826" s="118">
        <v>39173</v>
      </c>
      <c r="AE826" s="108" t="s">
        <v>2113</v>
      </c>
    </row>
    <row r="827" spans="1:31" ht="27" customHeight="1" x14ac:dyDescent="0.15">
      <c r="A827" s="105">
        <v>1112600117</v>
      </c>
      <c r="B827" s="130" t="s">
        <v>405</v>
      </c>
      <c r="C827" s="108" t="s">
        <v>6377</v>
      </c>
      <c r="D827" s="108" t="s">
        <v>82</v>
      </c>
      <c r="E827" s="108" t="s">
        <v>9977</v>
      </c>
      <c r="F827" s="131">
        <v>3570004</v>
      </c>
      <c r="G827" s="132" t="s">
        <v>6378</v>
      </c>
      <c r="H827" s="132" t="s">
        <v>6378</v>
      </c>
      <c r="I827" s="133"/>
      <c r="J827" s="134"/>
      <c r="K827" s="134"/>
      <c r="L827" s="134"/>
      <c r="M827" s="134"/>
      <c r="N827" s="134" t="s">
        <v>765</v>
      </c>
      <c r="O827" s="134"/>
      <c r="P827" s="105"/>
      <c r="Q827" s="137"/>
      <c r="R827" s="138"/>
      <c r="S827" s="105"/>
      <c r="T827" s="105"/>
      <c r="U827" s="105"/>
      <c r="V827" s="137"/>
      <c r="W827" s="138"/>
      <c r="X827" s="137"/>
      <c r="Y827" s="138"/>
      <c r="Z827" s="105"/>
      <c r="AA827" s="105"/>
      <c r="AB827" s="118" t="s">
        <v>4614</v>
      </c>
      <c r="AC827" s="118"/>
      <c r="AD827" s="155">
        <v>44136</v>
      </c>
      <c r="AE827" s="108" t="s">
        <v>2113</v>
      </c>
    </row>
    <row r="828" spans="1:31" ht="27" customHeight="1" x14ac:dyDescent="0.15">
      <c r="A828" s="105">
        <v>1112600216</v>
      </c>
      <c r="B828" s="106" t="s">
        <v>2216</v>
      </c>
      <c r="C828" s="107" t="s">
        <v>5362</v>
      </c>
      <c r="D828" s="108" t="s">
        <v>82</v>
      </c>
      <c r="E828" s="108" t="s">
        <v>4984</v>
      </c>
      <c r="F828" s="139" t="s">
        <v>5363</v>
      </c>
      <c r="G828" s="140" t="s">
        <v>5364</v>
      </c>
      <c r="H828" s="140" t="s">
        <v>5365</v>
      </c>
      <c r="I828" s="141"/>
      <c r="J828" s="142"/>
      <c r="K828" s="142"/>
      <c r="L828" s="142"/>
      <c r="M828" s="142" t="s">
        <v>5359</v>
      </c>
      <c r="N828" s="134" t="s">
        <v>5359</v>
      </c>
      <c r="O828" s="138"/>
      <c r="P828" s="105"/>
      <c r="Q828" s="137"/>
      <c r="R828" s="138"/>
      <c r="S828" s="105"/>
      <c r="T828" s="105"/>
      <c r="U828" s="105"/>
      <c r="V828" s="116"/>
      <c r="W828" s="117"/>
      <c r="X828" s="137"/>
      <c r="Y828" s="138"/>
      <c r="Z828" s="105">
        <v>14</v>
      </c>
      <c r="AA828" s="105">
        <v>26</v>
      </c>
      <c r="AB828" s="105"/>
      <c r="AC828" s="105"/>
      <c r="AD828" s="144">
        <v>41395</v>
      </c>
      <c r="AE828" s="108" t="s">
        <v>2217</v>
      </c>
    </row>
    <row r="829" spans="1:31" ht="27" customHeight="1" x14ac:dyDescent="0.15">
      <c r="A829" s="105">
        <v>1112600224</v>
      </c>
      <c r="B829" s="130" t="s">
        <v>2304</v>
      </c>
      <c r="C829" s="108" t="s">
        <v>2305</v>
      </c>
      <c r="D829" s="108" t="s">
        <v>82</v>
      </c>
      <c r="E829" s="108" t="s">
        <v>2306</v>
      </c>
      <c r="F829" s="131" t="s">
        <v>2307</v>
      </c>
      <c r="G829" s="132" t="s">
        <v>2308</v>
      </c>
      <c r="H829" s="132" t="s">
        <v>2309</v>
      </c>
      <c r="I829" s="133" t="s">
        <v>49</v>
      </c>
      <c r="J829" s="134"/>
      <c r="K829" s="134"/>
      <c r="L829" s="134"/>
      <c r="M829" s="134" t="s">
        <v>49</v>
      </c>
      <c r="N829" s="135"/>
      <c r="O829" s="136"/>
      <c r="P829" s="105"/>
      <c r="Q829" s="137"/>
      <c r="R829" s="138"/>
      <c r="S829" s="105"/>
      <c r="T829" s="105">
        <v>18</v>
      </c>
      <c r="U829" s="105"/>
      <c r="V829" s="137"/>
      <c r="W829" s="138"/>
      <c r="X829" s="137"/>
      <c r="Y829" s="138"/>
      <c r="Z829" s="105"/>
      <c r="AA829" s="105">
        <v>10</v>
      </c>
      <c r="AB829" s="105"/>
      <c r="AC829" s="105"/>
      <c r="AD829" s="155">
        <v>41579</v>
      </c>
      <c r="AE829" s="108" t="s">
        <v>2310</v>
      </c>
    </row>
    <row r="830" spans="1:31" ht="27" customHeight="1" x14ac:dyDescent="0.15">
      <c r="A830" s="132">
        <v>1112600232</v>
      </c>
      <c r="B830" s="130" t="s">
        <v>3079</v>
      </c>
      <c r="C830" s="108" t="s">
        <v>2382</v>
      </c>
      <c r="D830" s="108" t="s">
        <v>82</v>
      </c>
      <c r="E830" s="108" t="s">
        <v>2383</v>
      </c>
      <c r="F830" s="131" t="s">
        <v>2386</v>
      </c>
      <c r="G830" s="132" t="s">
        <v>2384</v>
      </c>
      <c r="H830" s="132" t="s">
        <v>2384</v>
      </c>
      <c r="I830" s="133"/>
      <c r="J830" s="134"/>
      <c r="K830" s="134"/>
      <c r="L830" s="134"/>
      <c r="M830" s="134"/>
      <c r="N830" s="135" t="s">
        <v>2385</v>
      </c>
      <c r="O830" s="136"/>
      <c r="P830" s="105"/>
      <c r="Q830" s="137"/>
      <c r="R830" s="138"/>
      <c r="S830" s="105"/>
      <c r="T830" s="105"/>
      <c r="U830" s="105"/>
      <c r="V830" s="137"/>
      <c r="W830" s="117"/>
      <c r="X830" s="137"/>
      <c r="Y830" s="138"/>
      <c r="Z830" s="105"/>
      <c r="AA830" s="105">
        <v>20</v>
      </c>
      <c r="AB830" s="105"/>
      <c r="AC830" s="105"/>
      <c r="AD830" s="118">
        <v>41730</v>
      </c>
      <c r="AE830" s="108" t="s">
        <v>2388</v>
      </c>
    </row>
    <row r="831" spans="1:31" ht="27" customHeight="1" x14ac:dyDescent="0.15">
      <c r="A831" s="105">
        <v>1112600273</v>
      </c>
      <c r="B831" s="130" t="s">
        <v>405</v>
      </c>
      <c r="C831" s="108" t="s">
        <v>2725</v>
      </c>
      <c r="D831" s="108" t="s">
        <v>82</v>
      </c>
      <c r="E831" s="108" t="s">
        <v>2726</v>
      </c>
      <c r="F831" s="131">
        <v>3570006</v>
      </c>
      <c r="G831" s="132" t="s">
        <v>2727</v>
      </c>
      <c r="H831" s="132" t="s">
        <v>2727</v>
      </c>
      <c r="I831" s="133"/>
      <c r="J831" s="134"/>
      <c r="K831" s="134"/>
      <c r="L831" s="134"/>
      <c r="M831" s="134"/>
      <c r="N831" s="135" t="s">
        <v>49</v>
      </c>
      <c r="O831" s="136"/>
      <c r="P831" s="105"/>
      <c r="Q831" s="137"/>
      <c r="R831" s="138"/>
      <c r="S831" s="105"/>
      <c r="T831" s="105"/>
      <c r="U831" s="105"/>
      <c r="V831" s="116"/>
      <c r="W831" s="117"/>
      <c r="X831" s="116"/>
      <c r="Y831" s="138"/>
      <c r="Z831" s="105"/>
      <c r="AA831" s="105">
        <v>20</v>
      </c>
      <c r="AB831" s="105"/>
      <c r="AC831" s="105"/>
      <c r="AD831" s="118">
        <v>41944</v>
      </c>
      <c r="AE831" s="108" t="s">
        <v>2728</v>
      </c>
    </row>
    <row r="832" spans="1:31" s="65" customFormat="1" ht="27" customHeight="1" x14ac:dyDescent="0.15">
      <c r="A832" s="105">
        <v>1112600398</v>
      </c>
      <c r="B832" s="130" t="s">
        <v>2216</v>
      </c>
      <c r="C832" s="108" t="s">
        <v>3653</v>
      </c>
      <c r="D832" s="108" t="s">
        <v>82</v>
      </c>
      <c r="E832" s="108" t="s">
        <v>3654</v>
      </c>
      <c r="F832" s="131" t="s">
        <v>3655</v>
      </c>
      <c r="G832" s="132" t="s">
        <v>3656</v>
      </c>
      <c r="H832" s="132" t="s">
        <v>2218</v>
      </c>
      <c r="I832" s="133"/>
      <c r="J832" s="134"/>
      <c r="K832" s="134"/>
      <c r="L832" s="134"/>
      <c r="M832" s="134" t="s">
        <v>49</v>
      </c>
      <c r="N832" s="135" t="s">
        <v>49</v>
      </c>
      <c r="O832" s="136"/>
      <c r="P832" s="105"/>
      <c r="Q832" s="137"/>
      <c r="R832" s="138"/>
      <c r="S832" s="105"/>
      <c r="T832" s="105"/>
      <c r="U832" s="105"/>
      <c r="V832" s="116">
        <v>6</v>
      </c>
      <c r="W832" s="117"/>
      <c r="X832" s="116">
        <v>14</v>
      </c>
      <c r="Y832" s="138"/>
      <c r="Z832" s="105"/>
      <c r="AA832" s="105"/>
      <c r="AB832" s="105"/>
      <c r="AC832" s="105"/>
      <c r="AD832" s="118">
        <v>42736</v>
      </c>
      <c r="AE832" s="108" t="s">
        <v>3657</v>
      </c>
    </row>
    <row r="833" spans="1:31" s="65" customFormat="1" ht="27" customHeight="1" x14ac:dyDescent="0.15">
      <c r="A833" s="105">
        <v>1112600398</v>
      </c>
      <c r="B833" s="130" t="s">
        <v>2216</v>
      </c>
      <c r="C833" s="108" t="s">
        <v>4820</v>
      </c>
      <c r="D833" s="108" t="s">
        <v>82</v>
      </c>
      <c r="E833" s="108" t="s">
        <v>3654</v>
      </c>
      <c r="F833" s="131" t="s">
        <v>4821</v>
      </c>
      <c r="G833" s="132" t="s">
        <v>4822</v>
      </c>
      <c r="H833" s="132" t="s">
        <v>2218</v>
      </c>
      <c r="I833" s="134" t="s">
        <v>4823</v>
      </c>
      <c r="J833" s="134" t="s">
        <v>4823</v>
      </c>
      <c r="K833" s="134" t="s">
        <v>4823</v>
      </c>
      <c r="L833" s="134" t="s">
        <v>4823</v>
      </c>
      <c r="M833" s="134" t="s">
        <v>4823</v>
      </c>
      <c r="N833" s="134" t="s">
        <v>4823</v>
      </c>
      <c r="O833" s="134" t="s">
        <v>4823</v>
      </c>
      <c r="P833" s="105"/>
      <c r="Q833" s="137"/>
      <c r="R833" s="138"/>
      <c r="S833" s="105"/>
      <c r="T833" s="105"/>
      <c r="U833" s="105"/>
      <c r="V833" s="116"/>
      <c r="W833" s="117"/>
      <c r="X833" s="116"/>
      <c r="Y833" s="138"/>
      <c r="Z833" s="105"/>
      <c r="AA833" s="105"/>
      <c r="AB833" s="105" t="s">
        <v>4823</v>
      </c>
      <c r="AC833" s="105"/>
      <c r="AD833" s="118">
        <v>43435</v>
      </c>
      <c r="AE833" s="108" t="s">
        <v>3657</v>
      </c>
    </row>
    <row r="834" spans="1:31" s="65" customFormat="1" ht="27" customHeight="1" x14ac:dyDescent="0.15">
      <c r="A834" s="105">
        <v>1112600406</v>
      </c>
      <c r="B834" s="130" t="s">
        <v>3962</v>
      </c>
      <c r="C834" s="108" t="s">
        <v>3963</v>
      </c>
      <c r="D834" s="108" t="s">
        <v>82</v>
      </c>
      <c r="E834" s="108" t="s">
        <v>3964</v>
      </c>
      <c r="F834" s="131" t="s">
        <v>3965</v>
      </c>
      <c r="G834" s="132" t="s">
        <v>3966</v>
      </c>
      <c r="H834" s="132" t="s">
        <v>3967</v>
      </c>
      <c r="I834" s="133" t="s">
        <v>49</v>
      </c>
      <c r="J834" s="134"/>
      <c r="K834" s="134"/>
      <c r="L834" s="134"/>
      <c r="M834" s="134" t="s">
        <v>49</v>
      </c>
      <c r="N834" s="135" t="s">
        <v>49</v>
      </c>
      <c r="O834" s="136"/>
      <c r="P834" s="132"/>
      <c r="Q834" s="152"/>
      <c r="R834" s="136"/>
      <c r="S834" s="132"/>
      <c r="T834" s="132">
        <v>20</v>
      </c>
      <c r="U834" s="132"/>
      <c r="V834" s="152"/>
      <c r="W834" s="136"/>
      <c r="X834" s="152"/>
      <c r="Y834" s="136"/>
      <c r="Z834" s="132"/>
      <c r="AA834" s="105"/>
      <c r="AB834" s="105"/>
      <c r="AC834" s="105"/>
      <c r="AD834" s="118">
        <v>42917</v>
      </c>
      <c r="AE834" s="108" t="s">
        <v>3968</v>
      </c>
    </row>
    <row r="835" spans="1:31" ht="27" customHeight="1" x14ac:dyDescent="0.15">
      <c r="A835" s="105">
        <v>1112600489</v>
      </c>
      <c r="B835" s="130" t="s">
        <v>5562</v>
      </c>
      <c r="C835" s="108" t="s">
        <v>5563</v>
      </c>
      <c r="D835" s="108" t="s">
        <v>82</v>
      </c>
      <c r="E835" s="108" t="s">
        <v>5564</v>
      </c>
      <c r="F835" s="131">
        <v>3530004</v>
      </c>
      <c r="G835" s="132" t="s">
        <v>5565</v>
      </c>
      <c r="H835" s="132" t="s">
        <v>5566</v>
      </c>
      <c r="I835" s="133" t="s">
        <v>765</v>
      </c>
      <c r="J835" s="134" t="s">
        <v>765</v>
      </c>
      <c r="K835" s="134" t="s">
        <v>765</v>
      </c>
      <c r="L835" s="134" t="s">
        <v>765</v>
      </c>
      <c r="M835" s="134" t="s">
        <v>765</v>
      </c>
      <c r="N835" s="135" t="s">
        <v>765</v>
      </c>
      <c r="O835" s="136" t="s">
        <v>765</v>
      </c>
      <c r="P835" s="105"/>
      <c r="Q835" s="137"/>
      <c r="R835" s="138"/>
      <c r="S835" s="105"/>
      <c r="T835" s="105"/>
      <c r="U835" s="105"/>
      <c r="V835" s="137"/>
      <c r="W835" s="138"/>
      <c r="X835" s="137"/>
      <c r="Y835" s="138"/>
      <c r="Z835" s="105"/>
      <c r="AA835" s="105">
        <v>20</v>
      </c>
      <c r="AB835" s="105"/>
      <c r="AC835" s="105"/>
      <c r="AD835" s="155">
        <v>43862</v>
      </c>
      <c r="AE835" s="108" t="s">
        <v>5567</v>
      </c>
    </row>
    <row r="836" spans="1:31" s="218" customFormat="1" ht="24" customHeight="1" x14ac:dyDescent="0.15">
      <c r="A836" s="132">
        <v>1112600539</v>
      </c>
      <c r="B836" s="130" t="s">
        <v>12014</v>
      </c>
      <c r="C836" s="108" t="s">
        <v>11017</v>
      </c>
      <c r="D836" s="108" t="s">
        <v>82</v>
      </c>
      <c r="E836" s="108" t="s">
        <v>11018</v>
      </c>
      <c r="F836" s="264" t="s">
        <v>3655</v>
      </c>
      <c r="G836" s="137" t="s">
        <v>11019</v>
      </c>
      <c r="H836" s="137" t="s">
        <v>11020</v>
      </c>
      <c r="I836" s="141" t="s">
        <v>10951</v>
      </c>
      <c r="J836" s="142"/>
      <c r="K836" s="142"/>
      <c r="L836" s="142"/>
      <c r="M836" s="142" t="s">
        <v>10951</v>
      </c>
      <c r="N836" s="177"/>
      <c r="O836" s="92"/>
      <c r="P836" s="105"/>
      <c r="Q836" s="137"/>
      <c r="R836" s="138"/>
      <c r="S836" s="105"/>
      <c r="T836" s="105">
        <v>20</v>
      </c>
      <c r="U836" s="105"/>
      <c r="V836" s="137"/>
      <c r="W836" s="138"/>
      <c r="X836" s="137"/>
      <c r="Y836" s="138"/>
      <c r="Z836" s="105"/>
      <c r="AA836" s="105"/>
      <c r="AB836" s="105"/>
      <c r="AC836" s="105"/>
      <c r="AD836" s="118">
        <v>46023</v>
      </c>
      <c r="AE836" s="108" t="s">
        <v>11021</v>
      </c>
    </row>
    <row r="837" spans="1:31" ht="27" customHeight="1" x14ac:dyDescent="0.15">
      <c r="A837" s="105">
        <v>1112600570</v>
      </c>
      <c r="B837" s="106" t="s">
        <v>11649</v>
      </c>
      <c r="C837" s="107" t="s">
        <v>9647</v>
      </c>
      <c r="D837" s="108" t="s">
        <v>82</v>
      </c>
      <c r="E837" s="166" t="s">
        <v>9648</v>
      </c>
      <c r="F837" s="254" t="s">
        <v>9649</v>
      </c>
      <c r="G837" s="72" t="s">
        <v>9650</v>
      </c>
      <c r="H837" s="72" t="s">
        <v>9650</v>
      </c>
      <c r="I837" s="128"/>
      <c r="J837" s="256"/>
      <c r="K837" s="256"/>
      <c r="L837" s="256"/>
      <c r="M837" s="256" t="s">
        <v>49</v>
      </c>
      <c r="N837" s="256" t="s">
        <v>49</v>
      </c>
      <c r="O837" s="91"/>
      <c r="P837" s="76"/>
      <c r="Q837" s="70"/>
      <c r="R837" s="92"/>
      <c r="S837" s="76"/>
      <c r="T837" s="76"/>
      <c r="U837" s="76"/>
      <c r="V837" s="70"/>
      <c r="W837" s="92"/>
      <c r="X837" s="70"/>
      <c r="Y837" s="92"/>
      <c r="Z837" s="76"/>
      <c r="AA837" s="76">
        <v>20</v>
      </c>
      <c r="AB837" s="76"/>
      <c r="AC837" s="76"/>
      <c r="AD837" s="146">
        <v>45597</v>
      </c>
      <c r="AE837" s="166" t="s">
        <v>9651</v>
      </c>
    </row>
    <row r="838" spans="1:31" ht="27" customHeight="1" x14ac:dyDescent="0.15">
      <c r="A838" s="105">
        <v>1112600554</v>
      </c>
      <c r="B838" s="157" t="s">
        <v>7991</v>
      </c>
      <c r="C838" s="157" t="s">
        <v>7992</v>
      </c>
      <c r="D838" s="108" t="s">
        <v>82</v>
      </c>
      <c r="E838" s="108" t="s">
        <v>7993</v>
      </c>
      <c r="F838" s="264" t="s">
        <v>7994</v>
      </c>
      <c r="G838" s="157" t="s">
        <v>7995</v>
      </c>
      <c r="H838" s="157" t="s">
        <v>7996</v>
      </c>
      <c r="I838" s="141"/>
      <c r="J838" s="142" t="s">
        <v>765</v>
      </c>
      <c r="K838" s="142" t="s">
        <v>765</v>
      </c>
      <c r="L838" s="142" t="s">
        <v>765</v>
      </c>
      <c r="M838" s="142" t="s">
        <v>49</v>
      </c>
      <c r="N838" s="143" t="s">
        <v>49</v>
      </c>
      <c r="O838" s="138" t="s">
        <v>765</v>
      </c>
      <c r="P838" s="105"/>
      <c r="Q838" s="137"/>
      <c r="R838" s="138"/>
      <c r="S838" s="105"/>
      <c r="T838" s="105"/>
      <c r="U838" s="105"/>
      <c r="V838" s="137"/>
      <c r="W838" s="138"/>
      <c r="X838" s="137">
        <v>6</v>
      </c>
      <c r="Y838" s="138"/>
      <c r="Z838" s="105"/>
      <c r="AA838" s="105">
        <v>14</v>
      </c>
      <c r="AB838" s="105"/>
      <c r="AC838" s="105"/>
      <c r="AD838" s="144">
        <v>44896</v>
      </c>
      <c r="AE838" s="198" t="s">
        <v>7997</v>
      </c>
    </row>
    <row r="839" spans="1:31" s="65" customFormat="1" ht="27" customHeight="1" x14ac:dyDescent="0.15">
      <c r="A839" s="76">
        <v>1112600604</v>
      </c>
      <c r="B839" s="163" t="s">
        <v>11792</v>
      </c>
      <c r="C839" s="164" t="s">
        <v>11395</v>
      </c>
      <c r="D839" s="166" t="s">
        <v>8476</v>
      </c>
      <c r="E839" s="166" t="s">
        <v>11396</v>
      </c>
      <c r="F839" s="167" t="s">
        <v>11397</v>
      </c>
      <c r="G839" s="168" t="s">
        <v>11398</v>
      </c>
      <c r="H839" s="168" t="s">
        <v>11399</v>
      </c>
      <c r="I839" s="178"/>
      <c r="J839" s="170"/>
      <c r="K839" s="170"/>
      <c r="L839" s="170"/>
      <c r="M839" s="170" t="s">
        <v>11225</v>
      </c>
      <c r="N839" s="148" t="s">
        <v>11225</v>
      </c>
      <c r="O839" s="170"/>
      <c r="P839" s="76"/>
      <c r="Q839" s="70"/>
      <c r="R839" s="92"/>
      <c r="S839" s="76"/>
      <c r="T839" s="76"/>
      <c r="U839" s="76"/>
      <c r="V839" s="103"/>
      <c r="W839" s="75"/>
      <c r="X839" s="70"/>
      <c r="Y839" s="92"/>
      <c r="Z839" s="76">
        <v>20</v>
      </c>
      <c r="AA839" s="76"/>
      <c r="AB839" s="76"/>
      <c r="AC839" s="76"/>
      <c r="AD839" s="144">
        <v>46113</v>
      </c>
      <c r="AE839" s="166" t="s">
        <v>11400</v>
      </c>
    </row>
    <row r="840" spans="1:31" s="65" customFormat="1" ht="27" customHeight="1" x14ac:dyDescent="0.15">
      <c r="A840" s="105">
        <v>1112700107</v>
      </c>
      <c r="B840" s="106" t="s">
        <v>1425</v>
      </c>
      <c r="C840" s="107" t="s">
        <v>10141</v>
      </c>
      <c r="D840" s="108" t="s">
        <v>83</v>
      </c>
      <c r="E840" s="108" t="s">
        <v>1312</v>
      </c>
      <c r="F840" s="139">
        <v>3501305</v>
      </c>
      <c r="G840" s="140" t="s">
        <v>1313</v>
      </c>
      <c r="H840" s="140" t="s">
        <v>1314</v>
      </c>
      <c r="I840" s="141"/>
      <c r="J840" s="142"/>
      <c r="K840" s="142"/>
      <c r="L840" s="142"/>
      <c r="M840" s="142" t="s">
        <v>49</v>
      </c>
      <c r="N840" s="143"/>
      <c r="O840" s="138"/>
      <c r="P840" s="105"/>
      <c r="Q840" s="137"/>
      <c r="R840" s="138"/>
      <c r="S840" s="105"/>
      <c r="T840" s="105">
        <v>80</v>
      </c>
      <c r="U840" s="105"/>
      <c r="V840" s="116"/>
      <c r="W840" s="117"/>
      <c r="X840" s="116"/>
      <c r="Y840" s="138"/>
      <c r="Z840" s="105"/>
      <c r="AA840" s="105"/>
      <c r="AB840" s="105"/>
      <c r="AC840" s="105"/>
      <c r="AD840" s="144">
        <v>40634</v>
      </c>
      <c r="AE840" s="108" t="s">
        <v>1315</v>
      </c>
    </row>
    <row r="841" spans="1:31" s="65" customFormat="1" ht="27" customHeight="1" x14ac:dyDescent="0.15">
      <c r="A841" s="150">
        <v>1112700115</v>
      </c>
      <c r="B841" s="106" t="s">
        <v>820</v>
      </c>
      <c r="C841" s="107" t="s">
        <v>4011</v>
      </c>
      <c r="D841" s="157" t="s">
        <v>4012</v>
      </c>
      <c r="E841" s="108" t="s">
        <v>4013</v>
      </c>
      <c r="F841" s="151">
        <v>3501311</v>
      </c>
      <c r="G841" s="132" t="s">
        <v>4014</v>
      </c>
      <c r="H841" s="132" t="s">
        <v>4015</v>
      </c>
      <c r="I841" s="133"/>
      <c r="J841" s="180"/>
      <c r="K841" s="180"/>
      <c r="L841" s="180"/>
      <c r="M841" s="154" t="s">
        <v>49</v>
      </c>
      <c r="N841" s="143"/>
      <c r="O841" s="138"/>
      <c r="P841" s="105">
        <v>30</v>
      </c>
      <c r="Q841" s="137" t="s">
        <v>49</v>
      </c>
      <c r="R841" s="138">
        <v>4</v>
      </c>
      <c r="S841" s="150"/>
      <c r="T841" s="150">
        <v>30</v>
      </c>
      <c r="U841" s="105"/>
      <c r="V841" s="116"/>
      <c r="W841" s="117"/>
      <c r="X841" s="116"/>
      <c r="Y841" s="187"/>
      <c r="Z841" s="105"/>
      <c r="AA841" s="105">
        <v>10</v>
      </c>
      <c r="AB841" s="105"/>
      <c r="AC841" s="105"/>
      <c r="AD841" s="144">
        <v>39904</v>
      </c>
      <c r="AE841" s="108" t="s">
        <v>218</v>
      </c>
    </row>
    <row r="842" spans="1:31" s="65" customFormat="1" ht="27" customHeight="1" x14ac:dyDescent="0.15">
      <c r="A842" s="105">
        <v>1112700123</v>
      </c>
      <c r="B842" s="130" t="s">
        <v>781</v>
      </c>
      <c r="C842" s="108" t="s">
        <v>516</v>
      </c>
      <c r="D842" s="108" t="s">
        <v>83</v>
      </c>
      <c r="E842" s="108" t="s">
        <v>152</v>
      </c>
      <c r="F842" s="131">
        <v>3501314</v>
      </c>
      <c r="G842" s="132" t="s">
        <v>656</v>
      </c>
      <c r="H842" s="132" t="s">
        <v>657</v>
      </c>
      <c r="I842" s="133"/>
      <c r="J842" s="134"/>
      <c r="K842" s="134"/>
      <c r="L842" s="134"/>
      <c r="M842" s="134" t="s">
        <v>4902</v>
      </c>
      <c r="N842" s="135"/>
      <c r="O842" s="136"/>
      <c r="P842" s="105">
        <v>52</v>
      </c>
      <c r="Q842" s="137" t="s">
        <v>4902</v>
      </c>
      <c r="R842" s="138">
        <v>6</v>
      </c>
      <c r="S842" s="105"/>
      <c r="T842" s="105">
        <v>53</v>
      </c>
      <c r="U842" s="105"/>
      <c r="V842" s="137"/>
      <c r="W842" s="138"/>
      <c r="X842" s="137"/>
      <c r="Y842" s="138"/>
      <c r="Z842" s="105"/>
      <c r="AA842" s="105"/>
      <c r="AB842" s="105"/>
      <c r="AC842" s="105"/>
      <c r="AD842" s="118">
        <v>39022</v>
      </c>
      <c r="AE842" s="108" t="s">
        <v>1575</v>
      </c>
    </row>
    <row r="843" spans="1:31" ht="27" customHeight="1" x14ac:dyDescent="0.15">
      <c r="A843" s="105">
        <v>1112700131</v>
      </c>
      <c r="B843" s="130" t="s">
        <v>781</v>
      </c>
      <c r="C843" s="108" t="s">
        <v>512</v>
      </c>
      <c r="D843" s="108" t="s">
        <v>83</v>
      </c>
      <c r="E843" s="108" t="s">
        <v>153</v>
      </c>
      <c r="F843" s="131">
        <v>3501334</v>
      </c>
      <c r="G843" s="132" t="s">
        <v>658</v>
      </c>
      <c r="H843" s="132" t="s">
        <v>659</v>
      </c>
      <c r="I843" s="133"/>
      <c r="J843" s="134"/>
      <c r="K843" s="134"/>
      <c r="L843" s="134"/>
      <c r="M843" s="134" t="s">
        <v>242</v>
      </c>
      <c r="N843" s="135"/>
      <c r="O843" s="136"/>
      <c r="P843" s="105"/>
      <c r="Q843" s="137"/>
      <c r="R843" s="138"/>
      <c r="S843" s="105"/>
      <c r="T843" s="105"/>
      <c r="U843" s="105"/>
      <c r="V843" s="137"/>
      <c r="W843" s="138"/>
      <c r="X843" s="137"/>
      <c r="Y843" s="138"/>
      <c r="Z843" s="105"/>
      <c r="AA843" s="105">
        <v>37</v>
      </c>
      <c r="AB843" s="105"/>
      <c r="AC843" s="105"/>
      <c r="AD843" s="118">
        <v>39022</v>
      </c>
      <c r="AE843" s="108" t="s">
        <v>341</v>
      </c>
    </row>
    <row r="844" spans="1:31" ht="27" customHeight="1" x14ac:dyDescent="0.15">
      <c r="A844" s="105">
        <v>1112700149</v>
      </c>
      <c r="B844" s="130" t="s">
        <v>781</v>
      </c>
      <c r="C844" s="108" t="s">
        <v>515</v>
      </c>
      <c r="D844" s="108" t="s">
        <v>83</v>
      </c>
      <c r="E844" s="108" t="s">
        <v>154</v>
      </c>
      <c r="F844" s="131">
        <v>3501334</v>
      </c>
      <c r="G844" s="132" t="s">
        <v>660</v>
      </c>
      <c r="H844" s="132" t="s">
        <v>661</v>
      </c>
      <c r="I844" s="133" t="s">
        <v>49</v>
      </c>
      <c r="J844" s="134" t="s">
        <v>49</v>
      </c>
      <c r="K844" s="134" t="s">
        <v>49</v>
      </c>
      <c r="L844" s="134" t="s">
        <v>49</v>
      </c>
      <c r="M844" s="134" t="s">
        <v>49</v>
      </c>
      <c r="N844" s="135"/>
      <c r="O844" s="136"/>
      <c r="P844" s="105">
        <v>55</v>
      </c>
      <c r="Q844" s="137" t="s">
        <v>49</v>
      </c>
      <c r="R844" s="138">
        <v>5</v>
      </c>
      <c r="S844" s="105"/>
      <c r="T844" s="105">
        <v>59</v>
      </c>
      <c r="U844" s="105"/>
      <c r="V844" s="137"/>
      <c r="W844" s="138"/>
      <c r="X844" s="137"/>
      <c r="Y844" s="138"/>
      <c r="Z844" s="105"/>
      <c r="AA844" s="105"/>
      <c r="AB844" s="105"/>
      <c r="AC844" s="105"/>
      <c r="AD844" s="118">
        <v>39022</v>
      </c>
      <c r="AE844" s="108" t="s">
        <v>1576</v>
      </c>
    </row>
    <row r="845" spans="1:31" ht="27" customHeight="1" x14ac:dyDescent="0.15">
      <c r="A845" s="105">
        <v>1112700305</v>
      </c>
      <c r="B845" s="106" t="s">
        <v>1424</v>
      </c>
      <c r="C845" s="107" t="s">
        <v>1225</v>
      </c>
      <c r="D845" s="108" t="s">
        <v>83</v>
      </c>
      <c r="E845" s="108" t="s">
        <v>1224</v>
      </c>
      <c r="F845" s="139">
        <v>3501327</v>
      </c>
      <c r="G845" s="140" t="s">
        <v>1223</v>
      </c>
      <c r="H845" s="140" t="s">
        <v>6738</v>
      </c>
      <c r="I845" s="141" t="s">
        <v>49</v>
      </c>
      <c r="J845" s="142"/>
      <c r="K845" s="142"/>
      <c r="L845" s="142" t="s">
        <v>49</v>
      </c>
      <c r="M845" s="142" t="s">
        <v>49</v>
      </c>
      <c r="N845" s="143" t="s">
        <v>765</v>
      </c>
      <c r="O845" s="138"/>
      <c r="P845" s="105"/>
      <c r="Q845" s="137"/>
      <c r="R845" s="138"/>
      <c r="S845" s="105"/>
      <c r="T845" s="105"/>
      <c r="U845" s="105"/>
      <c r="V845" s="116"/>
      <c r="W845" s="117"/>
      <c r="X845" s="116"/>
      <c r="Y845" s="138"/>
      <c r="Z845" s="105"/>
      <c r="AA845" s="105">
        <v>37</v>
      </c>
      <c r="AB845" s="105"/>
      <c r="AC845" s="105"/>
      <c r="AD845" s="144">
        <v>40634</v>
      </c>
      <c r="AE845" s="108" t="s">
        <v>1222</v>
      </c>
    </row>
    <row r="846" spans="1:31" ht="27" customHeight="1" x14ac:dyDescent="0.15">
      <c r="A846" s="105">
        <v>1112700313</v>
      </c>
      <c r="B846" s="106" t="s">
        <v>1425</v>
      </c>
      <c r="C846" s="107" t="s">
        <v>10576</v>
      </c>
      <c r="D846" s="108" t="s">
        <v>83</v>
      </c>
      <c r="E846" s="108" t="s">
        <v>10573</v>
      </c>
      <c r="F846" s="139">
        <v>3501305</v>
      </c>
      <c r="G846" s="140" t="s">
        <v>10574</v>
      </c>
      <c r="H846" s="140" t="s">
        <v>10575</v>
      </c>
      <c r="I846" s="141"/>
      <c r="J846" s="142"/>
      <c r="K846" s="142"/>
      <c r="L846" s="142"/>
      <c r="M846" s="142" t="s">
        <v>49</v>
      </c>
      <c r="N846" s="143"/>
      <c r="O846" s="138"/>
      <c r="P846" s="105"/>
      <c r="Q846" s="137"/>
      <c r="R846" s="138"/>
      <c r="S846" s="105"/>
      <c r="T846" s="105"/>
      <c r="U846" s="105"/>
      <c r="V846" s="116"/>
      <c r="W846" s="117"/>
      <c r="X846" s="116">
        <v>12</v>
      </c>
      <c r="Y846" s="138"/>
      <c r="Z846" s="105"/>
      <c r="AA846" s="105">
        <v>28</v>
      </c>
      <c r="AB846" s="105"/>
      <c r="AC846" s="105"/>
      <c r="AD846" s="144">
        <v>40634</v>
      </c>
      <c r="AE846" s="108" t="s">
        <v>1311</v>
      </c>
    </row>
    <row r="847" spans="1:31" ht="27" customHeight="1" x14ac:dyDescent="0.15">
      <c r="A847" s="105">
        <v>1112700313</v>
      </c>
      <c r="B847" s="106" t="s">
        <v>1425</v>
      </c>
      <c r="C847" s="107" t="s">
        <v>10572</v>
      </c>
      <c r="D847" s="108" t="s">
        <v>83</v>
      </c>
      <c r="E847" s="108" t="s">
        <v>10573</v>
      </c>
      <c r="F847" s="139">
        <v>3501305</v>
      </c>
      <c r="G847" s="140" t="s">
        <v>10574</v>
      </c>
      <c r="H847" s="140" t="s">
        <v>10575</v>
      </c>
      <c r="I847" s="141" t="s">
        <v>49</v>
      </c>
      <c r="J847" s="142" t="s">
        <v>49</v>
      </c>
      <c r="K847" s="142" t="s">
        <v>49</v>
      </c>
      <c r="L847" s="142" t="s">
        <v>49</v>
      </c>
      <c r="M847" s="142" t="s">
        <v>49</v>
      </c>
      <c r="N847" s="143" t="s">
        <v>49</v>
      </c>
      <c r="O847" s="138" t="s">
        <v>49</v>
      </c>
      <c r="P847" s="105"/>
      <c r="Q847" s="137"/>
      <c r="R847" s="138"/>
      <c r="S847" s="105"/>
      <c r="T847" s="105"/>
      <c r="U847" s="105"/>
      <c r="V847" s="116"/>
      <c r="W847" s="117"/>
      <c r="X847" s="116"/>
      <c r="Y847" s="138"/>
      <c r="Z847" s="105"/>
      <c r="AA847" s="105"/>
      <c r="AB847" s="105" t="s">
        <v>49</v>
      </c>
      <c r="AC847" s="105"/>
      <c r="AD847" s="144">
        <v>43374</v>
      </c>
      <c r="AE847" s="108" t="s">
        <v>1311</v>
      </c>
    </row>
    <row r="848" spans="1:31" ht="27" customHeight="1" x14ac:dyDescent="0.15">
      <c r="A848" s="105">
        <v>1112700321</v>
      </c>
      <c r="B848" s="106" t="s">
        <v>1602</v>
      </c>
      <c r="C848" s="107" t="s">
        <v>1603</v>
      </c>
      <c r="D848" s="108" t="s">
        <v>83</v>
      </c>
      <c r="E848" s="108" t="s">
        <v>1604</v>
      </c>
      <c r="F848" s="139">
        <v>3501323</v>
      </c>
      <c r="G848" s="140" t="s">
        <v>1605</v>
      </c>
      <c r="H848" s="140" t="s">
        <v>1606</v>
      </c>
      <c r="I848" s="141"/>
      <c r="J848" s="142"/>
      <c r="K848" s="142"/>
      <c r="L848" s="142"/>
      <c r="M848" s="142"/>
      <c r="N848" s="143" t="s">
        <v>1607</v>
      </c>
      <c r="O848" s="138"/>
      <c r="P848" s="105"/>
      <c r="Q848" s="137"/>
      <c r="R848" s="138"/>
      <c r="S848" s="105"/>
      <c r="T848" s="105"/>
      <c r="U848" s="105"/>
      <c r="V848" s="137"/>
      <c r="W848" s="138"/>
      <c r="X848" s="137"/>
      <c r="Y848" s="138"/>
      <c r="Z848" s="105"/>
      <c r="AA848" s="105">
        <v>20</v>
      </c>
      <c r="AB848" s="105"/>
      <c r="AC848" s="105"/>
      <c r="AD848" s="144">
        <v>40909</v>
      </c>
      <c r="AE848" s="108" t="s">
        <v>1608</v>
      </c>
    </row>
    <row r="849" spans="1:34" s="65" customFormat="1" ht="27" customHeight="1" x14ac:dyDescent="0.15">
      <c r="A849" s="105">
        <v>1112700354</v>
      </c>
      <c r="B849" s="106" t="s">
        <v>2050</v>
      </c>
      <c r="C849" s="107" t="s">
        <v>2051</v>
      </c>
      <c r="D849" s="108" t="s">
        <v>83</v>
      </c>
      <c r="E849" s="108" t="s">
        <v>2052</v>
      </c>
      <c r="F849" s="139" t="s">
        <v>2053</v>
      </c>
      <c r="G849" s="140" t="s">
        <v>2054</v>
      </c>
      <c r="H849" s="140" t="s">
        <v>2055</v>
      </c>
      <c r="I849" s="141"/>
      <c r="J849" s="142"/>
      <c r="K849" s="142"/>
      <c r="L849" s="142"/>
      <c r="M849" s="142" t="s">
        <v>49</v>
      </c>
      <c r="N849" s="143"/>
      <c r="O849" s="138"/>
      <c r="P849" s="105"/>
      <c r="Q849" s="137"/>
      <c r="R849" s="138"/>
      <c r="S849" s="105"/>
      <c r="T849" s="105"/>
      <c r="U849" s="105"/>
      <c r="V849" s="137"/>
      <c r="W849" s="138"/>
      <c r="X849" s="137"/>
      <c r="Y849" s="138"/>
      <c r="Z849" s="105"/>
      <c r="AA849" s="105">
        <v>40</v>
      </c>
      <c r="AB849" s="105"/>
      <c r="AC849" s="105"/>
      <c r="AD849" s="144">
        <v>41030</v>
      </c>
      <c r="AE849" s="108" t="s">
        <v>2056</v>
      </c>
      <c r="AF849" s="67"/>
      <c r="AG849" s="67"/>
      <c r="AH849" s="67"/>
    </row>
    <row r="850" spans="1:34" ht="27" customHeight="1" x14ac:dyDescent="0.15">
      <c r="A850" s="132">
        <v>1112700529</v>
      </c>
      <c r="B850" s="130" t="s">
        <v>3997</v>
      </c>
      <c r="C850" s="108" t="s">
        <v>4443</v>
      </c>
      <c r="D850" s="108" t="s">
        <v>83</v>
      </c>
      <c r="E850" s="108" t="s">
        <v>4444</v>
      </c>
      <c r="F850" s="139" t="s">
        <v>4445</v>
      </c>
      <c r="G850" s="140" t="s">
        <v>4446</v>
      </c>
      <c r="H850" s="140" t="s">
        <v>4447</v>
      </c>
      <c r="I850" s="141"/>
      <c r="J850" s="142" t="s">
        <v>765</v>
      </c>
      <c r="K850" s="142" t="s">
        <v>49</v>
      </c>
      <c r="L850" s="142" t="s">
        <v>49</v>
      </c>
      <c r="M850" s="142" t="s">
        <v>49</v>
      </c>
      <c r="N850" s="143" t="s">
        <v>49</v>
      </c>
      <c r="O850" s="138" t="s">
        <v>49</v>
      </c>
      <c r="P850" s="105"/>
      <c r="Q850" s="137"/>
      <c r="R850" s="138"/>
      <c r="S850" s="105"/>
      <c r="T850" s="105"/>
      <c r="U850" s="105"/>
      <c r="V850" s="137"/>
      <c r="W850" s="138"/>
      <c r="X850" s="137"/>
      <c r="Y850" s="138"/>
      <c r="Z850" s="105"/>
      <c r="AA850" s="105">
        <v>20</v>
      </c>
      <c r="AB850" s="105"/>
      <c r="AC850" s="105"/>
      <c r="AD850" s="144">
        <v>43221</v>
      </c>
      <c r="AE850" s="108" t="s">
        <v>4448</v>
      </c>
    </row>
    <row r="851" spans="1:34" ht="27" customHeight="1" x14ac:dyDescent="0.15">
      <c r="A851" s="105">
        <v>1112700594</v>
      </c>
      <c r="B851" s="130" t="s">
        <v>1602</v>
      </c>
      <c r="C851" s="108" t="s">
        <v>5701</v>
      </c>
      <c r="D851" s="108" t="s">
        <v>83</v>
      </c>
      <c r="E851" s="108" t="s">
        <v>5702</v>
      </c>
      <c r="F851" s="131">
        <v>3501305</v>
      </c>
      <c r="G851" s="132" t="s">
        <v>5703</v>
      </c>
      <c r="H851" s="132" t="s">
        <v>5704</v>
      </c>
      <c r="I851" s="133" t="s">
        <v>765</v>
      </c>
      <c r="J851" s="134" t="s">
        <v>765</v>
      </c>
      <c r="K851" s="134" t="s">
        <v>765</v>
      </c>
      <c r="L851" s="134" t="s">
        <v>765</v>
      </c>
      <c r="M851" s="134" t="s">
        <v>765</v>
      </c>
      <c r="N851" s="135" t="s">
        <v>765</v>
      </c>
      <c r="O851" s="136" t="s">
        <v>765</v>
      </c>
      <c r="P851" s="105"/>
      <c r="Q851" s="137"/>
      <c r="R851" s="138"/>
      <c r="S851" s="105"/>
      <c r="T851" s="105"/>
      <c r="U851" s="105"/>
      <c r="V851" s="137"/>
      <c r="W851" s="138"/>
      <c r="X851" s="137"/>
      <c r="Y851" s="138"/>
      <c r="Z851" s="105"/>
      <c r="AA851" s="105">
        <v>30</v>
      </c>
      <c r="AB851" s="105"/>
      <c r="AC851" s="105"/>
      <c r="AD851" s="155">
        <v>43922</v>
      </c>
      <c r="AE851" s="108" t="s">
        <v>5705</v>
      </c>
    </row>
    <row r="852" spans="1:34" s="312" customFormat="1" ht="27" customHeight="1" x14ac:dyDescent="0.15">
      <c r="A852" s="105">
        <v>1112700628</v>
      </c>
      <c r="B852" s="130" t="s">
        <v>6364</v>
      </c>
      <c r="C852" s="130" t="s">
        <v>6365</v>
      </c>
      <c r="D852" s="108" t="s">
        <v>83</v>
      </c>
      <c r="E852" s="281" t="s">
        <v>6366</v>
      </c>
      <c r="F852" s="132" t="s">
        <v>6367</v>
      </c>
      <c r="G852" s="139" t="s">
        <v>6368</v>
      </c>
      <c r="H852" s="139" t="s">
        <v>6369</v>
      </c>
      <c r="I852" s="141" t="s">
        <v>765</v>
      </c>
      <c r="J852" s="142" t="s">
        <v>765</v>
      </c>
      <c r="K852" s="142" t="s">
        <v>765</v>
      </c>
      <c r="L852" s="142" t="s">
        <v>765</v>
      </c>
      <c r="M852" s="142" t="s">
        <v>765</v>
      </c>
      <c r="N852" s="142" t="s">
        <v>765</v>
      </c>
      <c r="O852" s="142" t="s">
        <v>765</v>
      </c>
      <c r="P852" s="105"/>
      <c r="Q852" s="137"/>
      <c r="R852" s="138">
        <v>6</v>
      </c>
      <c r="S852" s="105"/>
      <c r="T852" s="105">
        <v>35</v>
      </c>
      <c r="U852" s="105"/>
      <c r="V852" s="137"/>
      <c r="W852" s="138"/>
      <c r="X852" s="137"/>
      <c r="Y852" s="138"/>
      <c r="Z852" s="105"/>
      <c r="AA852" s="105"/>
      <c r="AB852" s="105"/>
      <c r="AC852" s="105"/>
      <c r="AD852" s="155">
        <v>44136</v>
      </c>
      <c r="AE852" s="108" t="s">
        <v>6370</v>
      </c>
    </row>
    <row r="853" spans="1:34" ht="27" customHeight="1" x14ac:dyDescent="0.15">
      <c r="A853" s="322">
        <v>1112700636</v>
      </c>
      <c r="B853" s="314" t="s">
        <v>5714</v>
      </c>
      <c r="C853" s="315" t="s">
        <v>6384</v>
      </c>
      <c r="D853" s="315" t="s">
        <v>83</v>
      </c>
      <c r="E853" s="315" t="s">
        <v>6385</v>
      </c>
      <c r="F853" s="330" t="s">
        <v>6386</v>
      </c>
      <c r="G853" s="322" t="s">
        <v>6387</v>
      </c>
      <c r="H853" s="322" t="s">
        <v>6388</v>
      </c>
      <c r="I853" s="331"/>
      <c r="J853" s="332" t="s">
        <v>49</v>
      </c>
      <c r="K853" s="332" t="s">
        <v>49</v>
      </c>
      <c r="L853" s="332" t="s">
        <v>49</v>
      </c>
      <c r="M853" s="332" t="s">
        <v>49</v>
      </c>
      <c r="N853" s="333" t="s">
        <v>49</v>
      </c>
      <c r="O853" s="334" t="s">
        <v>765</v>
      </c>
      <c r="P853" s="322"/>
      <c r="Q853" s="335"/>
      <c r="R853" s="321"/>
      <c r="S853" s="313"/>
      <c r="T853" s="322"/>
      <c r="U853" s="313"/>
      <c r="V853" s="331"/>
      <c r="W853" s="336"/>
      <c r="X853" s="331"/>
      <c r="Y853" s="334"/>
      <c r="Z853" s="313"/>
      <c r="AA853" s="313">
        <v>20</v>
      </c>
      <c r="AB853" s="313"/>
      <c r="AC853" s="313"/>
      <c r="AD853" s="337">
        <v>44166</v>
      </c>
      <c r="AE853" s="315" t="s">
        <v>6389</v>
      </c>
    </row>
    <row r="854" spans="1:34" s="65" customFormat="1" ht="27" customHeight="1" x14ac:dyDescent="0.15">
      <c r="A854" s="105">
        <v>1112700677</v>
      </c>
      <c r="B854" s="157" t="s">
        <v>11666</v>
      </c>
      <c r="C854" s="157" t="s">
        <v>7900</v>
      </c>
      <c r="D854" s="108" t="s">
        <v>83</v>
      </c>
      <c r="E854" s="108" t="s">
        <v>8017</v>
      </c>
      <c r="F854" s="264" t="s">
        <v>7901</v>
      </c>
      <c r="G854" s="157" t="s">
        <v>7902</v>
      </c>
      <c r="H854" s="157" t="s">
        <v>7902</v>
      </c>
      <c r="I854" s="141"/>
      <c r="J854" s="142"/>
      <c r="K854" s="142"/>
      <c r="L854" s="142"/>
      <c r="M854" s="142" t="s">
        <v>49</v>
      </c>
      <c r="N854" s="143" t="s">
        <v>49</v>
      </c>
      <c r="O854" s="138"/>
      <c r="P854" s="105"/>
      <c r="Q854" s="137"/>
      <c r="R854" s="138"/>
      <c r="S854" s="105"/>
      <c r="T854" s="105"/>
      <c r="U854" s="105"/>
      <c r="V854" s="137"/>
      <c r="W854" s="138"/>
      <c r="X854" s="137"/>
      <c r="Y854" s="138"/>
      <c r="Z854" s="105"/>
      <c r="AA854" s="105">
        <v>20</v>
      </c>
      <c r="AB854" s="105"/>
      <c r="AC854" s="105"/>
      <c r="AD854" s="155">
        <v>44835</v>
      </c>
      <c r="AE854" s="157" t="s">
        <v>7903</v>
      </c>
    </row>
    <row r="855" spans="1:34" s="65" customFormat="1" ht="27" customHeight="1" x14ac:dyDescent="0.15">
      <c r="A855" s="105">
        <v>1112700669</v>
      </c>
      <c r="B855" s="130" t="s">
        <v>7330</v>
      </c>
      <c r="C855" s="108" t="s">
        <v>7331</v>
      </c>
      <c r="D855" s="108" t="s">
        <v>83</v>
      </c>
      <c r="E855" s="108" t="s">
        <v>7332</v>
      </c>
      <c r="F855" s="131" t="s">
        <v>7333</v>
      </c>
      <c r="G855" s="132" t="s">
        <v>7334</v>
      </c>
      <c r="H855" s="132"/>
      <c r="I855" s="133"/>
      <c r="J855" s="134"/>
      <c r="K855" s="134"/>
      <c r="L855" s="134"/>
      <c r="M855" s="134" t="s">
        <v>765</v>
      </c>
      <c r="N855" s="134" t="s">
        <v>765</v>
      </c>
      <c r="O855" s="134"/>
      <c r="P855" s="105"/>
      <c r="Q855" s="137"/>
      <c r="R855" s="138"/>
      <c r="S855" s="105"/>
      <c r="T855" s="105"/>
      <c r="U855" s="105"/>
      <c r="V855" s="116"/>
      <c r="W855" s="117"/>
      <c r="X855" s="116"/>
      <c r="Y855" s="138"/>
      <c r="Z855" s="105"/>
      <c r="AA855" s="105">
        <v>20</v>
      </c>
      <c r="AB855" s="105"/>
      <c r="AC855" s="105"/>
      <c r="AD855" s="144">
        <v>44652</v>
      </c>
      <c r="AE855" s="108" t="s">
        <v>7335</v>
      </c>
    </row>
    <row r="856" spans="1:34" s="65" customFormat="1" ht="27" customHeight="1" x14ac:dyDescent="0.15">
      <c r="A856" s="105">
        <v>1112700693</v>
      </c>
      <c r="B856" s="106" t="s">
        <v>11649</v>
      </c>
      <c r="C856" s="107" t="s">
        <v>8518</v>
      </c>
      <c r="D856" s="108" t="s">
        <v>83</v>
      </c>
      <c r="E856" s="108" t="s">
        <v>8519</v>
      </c>
      <c r="F856" s="131" t="s">
        <v>6386</v>
      </c>
      <c r="G856" s="132" t="s">
        <v>8520</v>
      </c>
      <c r="H856" s="132" t="s">
        <v>8520</v>
      </c>
      <c r="I856" s="133"/>
      <c r="J856" s="134"/>
      <c r="K856" s="134"/>
      <c r="L856" s="134"/>
      <c r="M856" s="134" t="s">
        <v>49</v>
      </c>
      <c r="N856" s="134" t="s">
        <v>49</v>
      </c>
      <c r="O856" s="136"/>
      <c r="P856" s="105"/>
      <c r="Q856" s="137"/>
      <c r="R856" s="138"/>
      <c r="S856" s="105"/>
      <c r="T856" s="105"/>
      <c r="U856" s="105"/>
      <c r="V856" s="137"/>
      <c r="W856" s="138"/>
      <c r="X856" s="137"/>
      <c r="Y856" s="138"/>
      <c r="Z856" s="105"/>
      <c r="AA856" s="105">
        <v>20</v>
      </c>
      <c r="AB856" s="105"/>
      <c r="AC856" s="105"/>
      <c r="AD856" s="155">
        <v>45139</v>
      </c>
      <c r="AE856" s="108" t="s">
        <v>8521</v>
      </c>
    </row>
    <row r="857" spans="1:34" ht="27" customHeight="1" x14ac:dyDescent="0.15">
      <c r="A857" s="132">
        <v>1112700727</v>
      </c>
      <c r="B857" s="130" t="s">
        <v>3997</v>
      </c>
      <c r="C857" s="108" t="s">
        <v>8977</v>
      </c>
      <c r="D857" s="108" t="s">
        <v>83</v>
      </c>
      <c r="E857" s="108" t="s">
        <v>8978</v>
      </c>
      <c r="F857" s="139" t="s">
        <v>6386</v>
      </c>
      <c r="G857" s="140" t="s">
        <v>8979</v>
      </c>
      <c r="H857" s="140" t="s">
        <v>8980</v>
      </c>
      <c r="I857" s="141"/>
      <c r="J857" s="142" t="s">
        <v>765</v>
      </c>
      <c r="K857" s="142" t="s">
        <v>49</v>
      </c>
      <c r="L857" s="142" t="s">
        <v>49</v>
      </c>
      <c r="M857" s="142" t="s">
        <v>49</v>
      </c>
      <c r="N857" s="143" t="s">
        <v>49</v>
      </c>
      <c r="O857" s="138" t="s">
        <v>49</v>
      </c>
      <c r="P857" s="105"/>
      <c r="Q857" s="137"/>
      <c r="R857" s="138"/>
      <c r="S857" s="105"/>
      <c r="T857" s="105"/>
      <c r="U857" s="105"/>
      <c r="V857" s="137"/>
      <c r="W857" s="138"/>
      <c r="X857" s="137">
        <v>6</v>
      </c>
      <c r="Y857" s="138"/>
      <c r="Z857" s="105"/>
      <c r="AA857" s="105">
        <v>14</v>
      </c>
      <c r="AB857" s="105"/>
      <c r="AC857" s="105"/>
      <c r="AD857" s="144">
        <v>45323</v>
      </c>
      <c r="AE857" s="108" t="s">
        <v>8981</v>
      </c>
    </row>
    <row r="858" spans="1:34" ht="27" customHeight="1" x14ac:dyDescent="0.15">
      <c r="A858" s="81">
        <v>1112700735</v>
      </c>
      <c r="B858" s="296" t="s">
        <v>9282</v>
      </c>
      <c r="C858" s="296" t="s">
        <v>9283</v>
      </c>
      <c r="D858" s="84" t="s">
        <v>83</v>
      </c>
      <c r="E858" s="297" t="s">
        <v>9284</v>
      </c>
      <c r="F858" s="77" t="s">
        <v>3211</v>
      </c>
      <c r="G858" s="298" t="s">
        <v>9285</v>
      </c>
      <c r="H858" s="298" t="s">
        <v>9286</v>
      </c>
      <c r="I858" s="299"/>
      <c r="J858" s="300"/>
      <c r="K858" s="300"/>
      <c r="L858" s="300"/>
      <c r="M858" s="300" t="s">
        <v>49</v>
      </c>
      <c r="N858" s="300" t="s">
        <v>49</v>
      </c>
      <c r="O858" s="300"/>
      <c r="P858" s="81"/>
      <c r="Q858" s="220"/>
      <c r="R858" s="89"/>
      <c r="S858" s="81"/>
      <c r="T858" s="81"/>
      <c r="U858" s="81"/>
      <c r="V858" s="220"/>
      <c r="W858" s="89"/>
      <c r="X858" s="220">
        <v>6</v>
      </c>
      <c r="Y858" s="89"/>
      <c r="Z858" s="81">
        <v>14</v>
      </c>
      <c r="AA858" s="81"/>
      <c r="AB858" s="81"/>
      <c r="AC858" s="81"/>
      <c r="AD858" s="301">
        <v>45444</v>
      </c>
      <c r="AE858" s="84" t="s">
        <v>9287</v>
      </c>
    </row>
    <row r="859" spans="1:34" ht="27" customHeight="1" x14ac:dyDescent="0.15">
      <c r="A859" s="105">
        <v>1112700743</v>
      </c>
      <c r="B859" s="106" t="s">
        <v>3215</v>
      </c>
      <c r="C859" s="107" t="s">
        <v>3216</v>
      </c>
      <c r="D859" s="108" t="s">
        <v>3209</v>
      </c>
      <c r="E859" s="108" t="s">
        <v>3217</v>
      </c>
      <c r="F859" s="139" t="s">
        <v>3218</v>
      </c>
      <c r="G859" s="140" t="s">
        <v>3219</v>
      </c>
      <c r="H859" s="140" t="s">
        <v>3220</v>
      </c>
      <c r="I859" s="141" t="s">
        <v>765</v>
      </c>
      <c r="J859" s="142"/>
      <c r="K859" s="142" t="s">
        <v>765</v>
      </c>
      <c r="L859" s="142" t="s">
        <v>765</v>
      </c>
      <c r="M859" s="142" t="s">
        <v>765</v>
      </c>
      <c r="N859" s="143" t="s">
        <v>765</v>
      </c>
      <c r="O859" s="138"/>
      <c r="P859" s="105"/>
      <c r="Q859" s="137"/>
      <c r="R859" s="138"/>
      <c r="S859" s="105"/>
      <c r="T859" s="105"/>
      <c r="U859" s="105"/>
      <c r="V859" s="137"/>
      <c r="W859" s="138"/>
      <c r="X859" s="137"/>
      <c r="Y859" s="138"/>
      <c r="Z859" s="105"/>
      <c r="AA859" s="105">
        <v>20</v>
      </c>
      <c r="AB859" s="105"/>
      <c r="AC859" s="105"/>
      <c r="AD859" s="144">
        <v>45474</v>
      </c>
      <c r="AE859" s="108" t="s">
        <v>3221</v>
      </c>
    </row>
    <row r="860" spans="1:34" ht="27" customHeight="1" x14ac:dyDescent="0.15">
      <c r="A860" s="105">
        <v>1112700784</v>
      </c>
      <c r="B860" s="106" t="s">
        <v>3215</v>
      </c>
      <c r="C860" s="107" t="s">
        <v>3413</v>
      </c>
      <c r="D860" s="108" t="s">
        <v>3209</v>
      </c>
      <c r="E860" s="108" t="s">
        <v>10148</v>
      </c>
      <c r="F860" s="139" t="s">
        <v>10223</v>
      </c>
      <c r="G860" s="140" t="s">
        <v>10224</v>
      </c>
      <c r="H860" s="140" t="s">
        <v>10225</v>
      </c>
      <c r="I860" s="141" t="s">
        <v>765</v>
      </c>
      <c r="J860" s="142"/>
      <c r="K860" s="142" t="s">
        <v>765</v>
      </c>
      <c r="L860" s="142" t="s">
        <v>765</v>
      </c>
      <c r="M860" s="142" t="s">
        <v>765</v>
      </c>
      <c r="N860" s="143" t="s">
        <v>765</v>
      </c>
      <c r="O860" s="138"/>
      <c r="P860" s="105"/>
      <c r="Q860" s="137"/>
      <c r="R860" s="138"/>
      <c r="S860" s="105"/>
      <c r="T860" s="105"/>
      <c r="U860" s="105"/>
      <c r="V860" s="137"/>
      <c r="W860" s="138"/>
      <c r="X860" s="137"/>
      <c r="Y860" s="138"/>
      <c r="Z860" s="105"/>
      <c r="AA860" s="105">
        <v>20</v>
      </c>
      <c r="AB860" s="105"/>
      <c r="AC860" s="105"/>
      <c r="AD860" s="144">
        <v>45748</v>
      </c>
      <c r="AE860" s="108" t="s">
        <v>3414</v>
      </c>
    </row>
    <row r="861" spans="1:34" s="65" customFormat="1" ht="27" customHeight="1" x14ac:dyDescent="0.15">
      <c r="A861" s="105">
        <v>1112700792</v>
      </c>
      <c r="B861" s="280" t="s">
        <v>11793</v>
      </c>
      <c r="C861" s="130" t="s">
        <v>10550</v>
      </c>
      <c r="D861" s="108" t="s">
        <v>83</v>
      </c>
      <c r="E861" s="281" t="s">
        <v>10551</v>
      </c>
      <c r="F861" s="132" t="s">
        <v>6360</v>
      </c>
      <c r="G861" s="139" t="s">
        <v>10552</v>
      </c>
      <c r="H861" s="139"/>
      <c r="I861" s="141"/>
      <c r="J861" s="142"/>
      <c r="K861" s="142"/>
      <c r="L861" s="142"/>
      <c r="M861" s="142" t="s">
        <v>765</v>
      </c>
      <c r="N861" s="142" t="s">
        <v>765</v>
      </c>
      <c r="O861" s="142"/>
      <c r="P861" s="105"/>
      <c r="Q861" s="137"/>
      <c r="R861" s="138"/>
      <c r="S861" s="105"/>
      <c r="T861" s="105"/>
      <c r="U861" s="105"/>
      <c r="V861" s="137"/>
      <c r="W861" s="138"/>
      <c r="X861" s="137"/>
      <c r="Y861" s="138"/>
      <c r="Z861" s="105">
        <v>10</v>
      </c>
      <c r="AA861" s="105">
        <v>10</v>
      </c>
      <c r="AB861" s="105"/>
      <c r="AC861" s="105"/>
      <c r="AD861" s="144">
        <v>45870</v>
      </c>
      <c r="AE861" s="108" t="s">
        <v>10553</v>
      </c>
    </row>
    <row r="862" spans="1:34" s="65" customFormat="1" ht="27" customHeight="1" x14ac:dyDescent="0.15">
      <c r="A862" s="105">
        <v>1112700750</v>
      </c>
      <c r="B862" s="130" t="s">
        <v>11794</v>
      </c>
      <c r="C862" s="108" t="s">
        <v>9481</v>
      </c>
      <c r="D862" s="108" t="s">
        <v>83</v>
      </c>
      <c r="E862" s="108" t="s">
        <v>9482</v>
      </c>
      <c r="F862" s="131" t="s">
        <v>9483</v>
      </c>
      <c r="G862" s="132" t="s">
        <v>9484</v>
      </c>
      <c r="H862" s="132" t="s">
        <v>9485</v>
      </c>
      <c r="I862" s="133" t="s">
        <v>765</v>
      </c>
      <c r="J862" s="134" t="s">
        <v>765</v>
      </c>
      <c r="K862" s="134" t="s">
        <v>765</v>
      </c>
      <c r="L862" s="134" t="s">
        <v>765</v>
      </c>
      <c r="M862" s="134" t="s">
        <v>765</v>
      </c>
      <c r="N862" s="135" t="s">
        <v>765</v>
      </c>
      <c r="O862" s="136" t="s">
        <v>765</v>
      </c>
      <c r="P862" s="105"/>
      <c r="Q862" s="137"/>
      <c r="R862" s="138"/>
      <c r="S862" s="105"/>
      <c r="T862" s="105">
        <v>20</v>
      </c>
      <c r="U862" s="105"/>
      <c r="V862" s="116"/>
      <c r="W862" s="117"/>
      <c r="X862" s="116"/>
      <c r="Y862" s="138"/>
      <c r="Z862" s="105"/>
      <c r="AA862" s="105"/>
      <c r="AB862" s="105"/>
      <c r="AC862" s="105"/>
      <c r="AD862" s="118">
        <v>45536</v>
      </c>
      <c r="AE862" s="108" t="s">
        <v>9486</v>
      </c>
    </row>
    <row r="863" spans="1:34" s="65" customFormat="1" ht="27" customHeight="1" x14ac:dyDescent="0.15">
      <c r="A863" s="105">
        <v>1112800022</v>
      </c>
      <c r="B863" s="106" t="s">
        <v>1426</v>
      </c>
      <c r="C863" s="107" t="s">
        <v>1230</v>
      </c>
      <c r="D863" s="108" t="s">
        <v>84</v>
      </c>
      <c r="E863" s="108" t="s">
        <v>1229</v>
      </c>
      <c r="F863" s="139">
        <v>3580026</v>
      </c>
      <c r="G863" s="140" t="s">
        <v>1228</v>
      </c>
      <c r="H863" s="140" t="s">
        <v>1227</v>
      </c>
      <c r="I863" s="141" t="s">
        <v>1213</v>
      </c>
      <c r="J863" s="142" t="s">
        <v>1213</v>
      </c>
      <c r="K863" s="142" t="s">
        <v>1213</v>
      </c>
      <c r="L863" s="142" t="s">
        <v>1213</v>
      </c>
      <c r="M863" s="142" t="s">
        <v>1213</v>
      </c>
      <c r="N863" s="143" t="s">
        <v>1213</v>
      </c>
      <c r="O863" s="138" t="s">
        <v>2170</v>
      </c>
      <c r="P863" s="105"/>
      <c r="Q863" s="137"/>
      <c r="R863" s="138"/>
      <c r="S863" s="105"/>
      <c r="T863" s="105"/>
      <c r="U863" s="105"/>
      <c r="V863" s="137"/>
      <c r="W863" s="138"/>
      <c r="X863" s="137"/>
      <c r="Y863" s="138"/>
      <c r="Z863" s="105"/>
      <c r="AA863" s="105">
        <v>60</v>
      </c>
      <c r="AB863" s="105"/>
      <c r="AC863" s="105"/>
      <c r="AD863" s="144">
        <v>40634</v>
      </c>
      <c r="AE863" s="108" t="s">
        <v>1226</v>
      </c>
    </row>
    <row r="864" spans="1:34" ht="27" customHeight="1" x14ac:dyDescent="0.15">
      <c r="A864" s="105">
        <v>1112800022</v>
      </c>
      <c r="B864" s="106" t="s">
        <v>1426</v>
      </c>
      <c r="C864" s="108" t="s">
        <v>8886</v>
      </c>
      <c r="D864" s="108" t="s">
        <v>8887</v>
      </c>
      <c r="E864" s="108" t="s">
        <v>8888</v>
      </c>
      <c r="F864" s="131" t="s">
        <v>8889</v>
      </c>
      <c r="G864" s="132" t="s">
        <v>1228</v>
      </c>
      <c r="H864" s="132" t="s">
        <v>1227</v>
      </c>
      <c r="I864" s="134" t="s">
        <v>49</v>
      </c>
      <c r="J864" s="134" t="s">
        <v>49</v>
      </c>
      <c r="K864" s="134" t="s">
        <v>49</v>
      </c>
      <c r="L864" s="134" t="s">
        <v>49</v>
      </c>
      <c r="M864" s="134" t="s">
        <v>49</v>
      </c>
      <c r="N864" s="134" t="s">
        <v>49</v>
      </c>
      <c r="O864" s="134" t="s">
        <v>49</v>
      </c>
      <c r="P864" s="132"/>
      <c r="Q864" s="152"/>
      <c r="R864" s="136"/>
      <c r="S864" s="132"/>
      <c r="T864" s="105"/>
      <c r="U864" s="132"/>
      <c r="V864" s="152"/>
      <c r="W864" s="136"/>
      <c r="X864" s="137"/>
      <c r="Y864" s="136"/>
      <c r="Z864" s="132"/>
      <c r="AA864" s="105"/>
      <c r="AB864" s="105" t="s">
        <v>49</v>
      </c>
      <c r="AC864" s="105"/>
      <c r="AD864" s="118">
        <v>45078</v>
      </c>
      <c r="AE864" s="108" t="s">
        <v>1226</v>
      </c>
    </row>
    <row r="865" spans="1:31" ht="27" customHeight="1" x14ac:dyDescent="0.15">
      <c r="A865" s="105">
        <v>1112800063</v>
      </c>
      <c r="B865" s="130" t="s">
        <v>781</v>
      </c>
      <c r="C865" s="108" t="s">
        <v>513</v>
      </c>
      <c r="D865" s="108" t="s">
        <v>84</v>
      </c>
      <c r="E865" s="108" t="s">
        <v>155</v>
      </c>
      <c r="F865" s="131">
        <v>3580021</v>
      </c>
      <c r="G865" s="132" t="s">
        <v>662</v>
      </c>
      <c r="H865" s="132" t="s">
        <v>663</v>
      </c>
      <c r="I865" s="133" t="s">
        <v>49</v>
      </c>
      <c r="J865" s="134" t="s">
        <v>49</v>
      </c>
      <c r="K865" s="134" t="s">
        <v>49</v>
      </c>
      <c r="L865" s="134" t="s">
        <v>49</v>
      </c>
      <c r="M865" s="134"/>
      <c r="N865" s="135"/>
      <c r="O865" s="136"/>
      <c r="P865" s="105">
        <v>54</v>
      </c>
      <c r="Q865" s="152" t="s">
        <v>2610</v>
      </c>
      <c r="R865" s="138">
        <v>4</v>
      </c>
      <c r="S865" s="105"/>
      <c r="T865" s="105">
        <v>69</v>
      </c>
      <c r="U865" s="105"/>
      <c r="V865" s="137"/>
      <c r="W865" s="138"/>
      <c r="X865" s="137"/>
      <c r="Y865" s="138"/>
      <c r="Z865" s="105"/>
      <c r="AA865" s="105"/>
      <c r="AB865" s="105"/>
      <c r="AC865" s="105"/>
      <c r="AD865" s="118">
        <v>39022</v>
      </c>
      <c r="AE865" s="108" t="s">
        <v>2675</v>
      </c>
    </row>
    <row r="866" spans="1:31" ht="27" customHeight="1" x14ac:dyDescent="0.15">
      <c r="A866" s="105">
        <v>1112800071</v>
      </c>
      <c r="B866" s="130" t="s">
        <v>781</v>
      </c>
      <c r="C866" s="108" t="s">
        <v>514</v>
      </c>
      <c r="D866" s="108" t="s">
        <v>84</v>
      </c>
      <c r="E866" s="108" t="s">
        <v>155</v>
      </c>
      <c r="F866" s="131">
        <v>3580021</v>
      </c>
      <c r="G866" s="132" t="s">
        <v>664</v>
      </c>
      <c r="H866" s="132" t="s">
        <v>665</v>
      </c>
      <c r="I866" s="133"/>
      <c r="J866" s="134"/>
      <c r="K866" s="134"/>
      <c r="L866" s="134"/>
      <c r="M866" s="134" t="s">
        <v>234</v>
      </c>
      <c r="N866" s="135"/>
      <c r="O866" s="136"/>
      <c r="P866" s="105">
        <v>50</v>
      </c>
      <c r="Q866" s="152" t="s">
        <v>2610</v>
      </c>
      <c r="R866" s="138">
        <v>6</v>
      </c>
      <c r="S866" s="105"/>
      <c r="T866" s="105">
        <v>65</v>
      </c>
      <c r="U866" s="105"/>
      <c r="V866" s="116"/>
      <c r="W866" s="117"/>
      <c r="X866" s="116"/>
      <c r="Y866" s="138"/>
      <c r="Z866" s="105"/>
      <c r="AA866" s="105"/>
      <c r="AB866" s="105"/>
      <c r="AC866" s="105"/>
      <c r="AD866" s="118">
        <v>39022</v>
      </c>
      <c r="AE866" s="108" t="s">
        <v>2675</v>
      </c>
    </row>
    <row r="867" spans="1:31" ht="27" customHeight="1" x14ac:dyDescent="0.15">
      <c r="A867" s="105">
        <v>1112800089</v>
      </c>
      <c r="B867" s="130" t="s">
        <v>781</v>
      </c>
      <c r="C867" s="108" t="s">
        <v>511</v>
      </c>
      <c r="D867" s="108" t="s">
        <v>84</v>
      </c>
      <c r="E867" s="108" t="s">
        <v>156</v>
      </c>
      <c r="F867" s="131">
        <v>3580027</v>
      </c>
      <c r="G867" s="132" t="s">
        <v>666</v>
      </c>
      <c r="H867" s="132" t="s">
        <v>667</v>
      </c>
      <c r="I867" s="133"/>
      <c r="J867" s="134"/>
      <c r="K867" s="134"/>
      <c r="L867" s="134"/>
      <c r="M867" s="134" t="s">
        <v>269</v>
      </c>
      <c r="N867" s="135"/>
      <c r="O867" s="136"/>
      <c r="P867" s="105"/>
      <c r="Q867" s="137"/>
      <c r="R867" s="138"/>
      <c r="S867" s="105"/>
      <c r="T867" s="105"/>
      <c r="U867" s="105"/>
      <c r="V867" s="116"/>
      <c r="W867" s="117"/>
      <c r="X867" s="116"/>
      <c r="Y867" s="138"/>
      <c r="Z867" s="105"/>
      <c r="AA867" s="105">
        <v>40</v>
      </c>
      <c r="AB867" s="105"/>
      <c r="AC867" s="105"/>
      <c r="AD867" s="118">
        <v>39022</v>
      </c>
      <c r="AE867" s="108" t="s">
        <v>343</v>
      </c>
    </row>
    <row r="868" spans="1:31" ht="27" customHeight="1" x14ac:dyDescent="0.15">
      <c r="A868" s="105">
        <v>1112800097</v>
      </c>
      <c r="B868" s="130" t="s">
        <v>781</v>
      </c>
      <c r="C868" s="108" t="s">
        <v>510</v>
      </c>
      <c r="D868" s="108" t="s">
        <v>84</v>
      </c>
      <c r="E868" s="108" t="s">
        <v>157</v>
      </c>
      <c r="F868" s="131">
        <v>3580031</v>
      </c>
      <c r="G868" s="132" t="s">
        <v>668</v>
      </c>
      <c r="H868" s="132" t="s">
        <v>669</v>
      </c>
      <c r="I868" s="133" t="s">
        <v>239</v>
      </c>
      <c r="J868" s="134" t="s">
        <v>239</v>
      </c>
      <c r="K868" s="134" t="s">
        <v>239</v>
      </c>
      <c r="L868" s="134" t="s">
        <v>239</v>
      </c>
      <c r="M868" s="134" t="s">
        <v>239</v>
      </c>
      <c r="N868" s="135"/>
      <c r="O868" s="136"/>
      <c r="P868" s="105"/>
      <c r="Q868" s="137"/>
      <c r="R868" s="138"/>
      <c r="S868" s="105"/>
      <c r="T868" s="105"/>
      <c r="U868" s="105"/>
      <c r="V868" s="116"/>
      <c r="W868" s="117"/>
      <c r="X868" s="116"/>
      <c r="Y868" s="138"/>
      <c r="Z868" s="105"/>
      <c r="AA868" s="105">
        <v>80</v>
      </c>
      <c r="AB868" s="105"/>
      <c r="AC868" s="105"/>
      <c r="AD868" s="118">
        <v>39022</v>
      </c>
      <c r="AE868" s="108" t="s">
        <v>344</v>
      </c>
    </row>
    <row r="869" spans="1:31" s="65" customFormat="1" ht="27" customHeight="1" x14ac:dyDescent="0.15">
      <c r="A869" s="105">
        <v>1112800212</v>
      </c>
      <c r="B869" s="130" t="s">
        <v>782</v>
      </c>
      <c r="C869" s="130" t="s">
        <v>537</v>
      </c>
      <c r="D869" s="108" t="s">
        <v>84</v>
      </c>
      <c r="E869" s="130" t="s">
        <v>501</v>
      </c>
      <c r="F869" s="131">
        <v>3580024</v>
      </c>
      <c r="G869" s="132" t="s">
        <v>670</v>
      </c>
      <c r="H869" s="132" t="s">
        <v>670</v>
      </c>
      <c r="I869" s="133"/>
      <c r="J869" s="134"/>
      <c r="K869" s="134"/>
      <c r="L869" s="134"/>
      <c r="M869" s="134"/>
      <c r="N869" s="135" t="s">
        <v>49</v>
      </c>
      <c r="O869" s="136"/>
      <c r="P869" s="105"/>
      <c r="Q869" s="137"/>
      <c r="R869" s="138"/>
      <c r="S869" s="105"/>
      <c r="T869" s="105"/>
      <c r="U869" s="105"/>
      <c r="V869" s="116"/>
      <c r="W869" s="117"/>
      <c r="X869" s="116"/>
      <c r="Y869" s="138"/>
      <c r="Z869" s="105"/>
      <c r="AA869" s="105">
        <v>20</v>
      </c>
      <c r="AB869" s="105"/>
      <c r="AC869" s="105"/>
      <c r="AD869" s="118">
        <v>39173</v>
      </c>
      <c r="AE869" s="108" t="s">
        <v>223</v>
      </c>
    </row>
    <row r="870" spans="1:31" ht="27" customHeight="1" x14ac:dyDescent="0.15">
      <c r="A870" s="105">
        <v>1112800212</v>
      </c>
      <c r="B870" s="130" t="s">
        <v>782</v>
      </c>
      <c r="C870" s="130" t="s">
        <v>537</v>
      </c>
      <c r="D870" s="108" t="s">
        <v>84</v>
      </c>
      <c r="E870" s="130" t="s">
        <v>501</v>
      </c>
      <c r="F870" s="131">
        <v>3580024</v>
      </c>
      <c r="G870" s="132" t="s">
        <v>670</v>
      </c>
      <c r="H870" s="132" t="s">
        <v>670</v>
      </c>
      <c r="I870" s="133"/>
      <c r="J870" s="134"/>
      <c r="K870" s="134"/>
      <c r="L870" s="134"/>
      <c r="M870" s="134"/>
      <c r="N870" s="135" t="s">
        <v>4794</v>
      </c>
      <c r="O870" s="136"/>
      <c r="P870" s="105"/>
      <c r="Q870" s="137"/>
      <c r="R870" s="138"/>
      <c r="S870" s="105"/>
      <c r="T870" s="105"/>
      <c r="U870" s="105"/>
      <c r="V870" s="116"/>
      <c r="W870" s="117"/>
      <c r="X870" s="116"/>
      <c r="Y870" s="138"/>
      <c r="Z870" s="105"/>
      <c r="AA870" s="105"/>
      <c r="AB870" s="105" t="s">
        <v>4794</v>
      </c>
      <c r="AC870" s="105"/>
      <c r="AD870" s="144">
        <v>43405</v>
      </c>
      <c r="AE870" s="108" t="s">
        <v>223</v>
      </c>
    </row>
    <row r="871" spans="1:31" ht="27" customHeight="1" x14ac:dyDescent="0.15">
      <c r="A871" s="105">
        <v>1112800329</v>
      </c>
      <c r="B871" s="130" t="s">
        <v>1031</v>
      </c>
      <c r="C871" s="130" t="s">
        <v>1363</v>
      </c>
      <c r="D871" s="108" t="s">
        <v>84</v>
      </c>
      <c r="E871" s="130" t="s">
        <v>1364</v>
      </c>
      <c r="F871" s="131">
        <v>3580013</v>
      </c>
      <c r="G871" s="132" t="s">
        <v>1365</v>
      </c>
      <c r="H871" s="132" t="s">
        <v>1366</v>
      </c>
      <c r="I871" s="133"/>
      <c r="J871" s="134"/>
      <c r="K871" s="134"/>
      <c r="L871" s="134"/>
      <c r="M871" s="134" t="s">
        <v>49</v>
      </c>
      <c r="N871" s="135"/>
      <c r="O871" s="136"/>
      <c r="P871" s="105"/>
      <c r="Q871" s="137"/>
      <c r="R871" s="138"/>
      <c r="S871" s="105"/>
      <c r="T871" s="105"/>
      <c r="U871" s="105"/>
      <c r="V871" s="137"/>
      <c r="W871" s="138"/>
      <c r="X871" s="137"/>
      <c r="Y871" s="138"/>
      <c r="Z871" s="105">
        <v>40</v>
      </c>
      <c r="AA871" s="105"/>
      <c r="AB871" s="105"/>
      <c r="AC871" s="105"/>
      <c r="AD871" s="118">
        <v>40634</v>
      </c>
      <c r="AE871" s="108" t="s">
        <v>1390</v>
      </c>
    </row>
    <row r="872" spans="1:31" ht="26.45" customHeight="1" x14ac:dyDescent="0.15">
      <c r="A872" s="105">
        <v>1112800493</v>
      </c>
      <c r="B872" s="106" t="s">
        <v>3288</v>
      </c>
      <c r="C872" s="107" t="s">
        <v>3289</v>
      </c>
      <c r="D872" s="108" t="s">
        <v>84</v>
      </c>
      <c r="E872" s="108" t="s">
        <v>3290</v>
      </c>
      <c r="F872" s="139" t="s">
        <v>3291</v>
      </c>
      <c r="G872" s="140" t="s">
        <v>3292</v>
      </c>
      <c r="H872" s="140" t="s">
        <v>3293</v>
      </c>
      <c r="I872" s="141"/>
      <c r="J872" s="142"/>
      <c r="K872" s="142"/>
      <c r="L872" s="142"/>
      <c r="M872" s="142" t="s">
        <v>49</v>
      </c>
      <c r="N872" s="143"/>
      <c r="O872" s="138"/>
      <c r="P872" s="105"/>
      <c r="Q872" s="137"/>
      <c r="R872" s="138"/>
      <c r="S872" s="105"/>
      <c r="T872" s="105"/>
      <c r="U872" s="105"/>
      <c r="V872" s="137"/>
      <c r="W872" s="138"/>
      <c r="X872" s="137"/>
      <c r="Y872" s="138"/>
      <c r="Z872" s="105"/>
      <c r="AA872" s="105">
        <v>20</v>
      </c>
      <c r="AB872" s="105"/>
      <c r="AC872" s="105"/>
      <c r="AD872" s="144">
        <v>42430</v>
      </c>
      <c r="AE872" s="108" t="s">
        <v>3294</v>
      </c>
    </row>
    <row r="873" spans="1:31" ht="27" customHeight="1" x14ac:dyDescent="0.15">
      <c r="A873" s="105">
        <v>1112800527</v>
      </c>
      <c r="B873" s="130" t="s">
        <v>3903</v>
      </c>
      <c r="C873" s="108" t="s">
        <v>3904</v>
      </c>
      <c r="D873" s="108" t="s">
        <v>84</v>
      </c>
      <c r="E873" s="108" t="s">
        <v>3905</v>
      </c>
      <c r="F873" s="131">
        <v>3580026</v>
      </c>
      <c r="G873" s="132" t="s">
        <v>3906</v>
      </c>
      <c r="H873" s="132" t="s">
        <v>3907</v>
      </c>
      <c r="I873" s="133" t="s">
        <v>3908</v>
      </c>
      <c r="J873" s="134" t="s">
        <v>3908</v>
      </c>
      <c r="K873" s="134" t="s">
        <v>3908</v>
      </c>
      <c r="L873" s="134" t="s">
        <v>3908</v>
      </c>
      <c r="M873" s="134" t="s">
        <v>3908</v>
      </c>
      <c r="N873" s="135" t="s">
        <v>3908</v>
      </c>
      <c r="O873" s="136"/>
      <c r="P873" s="132"/>
      <c r="Q873" s="152"/>
      <c r="R873" s="136"/>
      <c r="S873" s="132"/>
      <c r="T873" s="105">
        <v>30</v>
      </c>
      <c r="U873" s="132"/>
      <c r="V873" s="152"/>
      <c r="W873" s="136"/>
      <c r="X873" s="152"/>
      <c r="Y873" s="136"/>
      <c r="Z873" s="132"/>
      <c r="AA873" s="132"/>
      <c r="AB873" s="132"/>
      <c r="AC873" s="132"/>
      <c r="AD873" s="155">
        <v>42887</v>
      </c>
      <c r="AE873" s="108" t="s">
        <v>3909</v>
      </c>
    </row>
    <row r="874" spans="1:31" s="65" customFormat="1" ht="27" customHeight="1" x14ac:dyDescent="0.15">
      <c r="A874" s="105">
        <v>1112800543</v>
      </c>
      <c r="B874" s="106" t="s">
        <v>4347</v>
      </c>
      <c r="C874" s="107" t="s">
        <v>4348</v>
      </c>
      <c r="D874" s="108" t="s">
        <v>84</v>
      </c>
      <c r="E874" s="108" t="s">
        <v>4349</v>
      </c>
      <c r="F874" s="139" t="s">
        <v>4350</v>
      </c>
      <c r="G874" s="140" t="s">
        <v>4351</v>
      </c>
      <c r="H874" s="140" t="s">
        <v>4352</v>
      </c>
      <c r="I874" s="141"/>
      <c r="J874" s="142"/>
      <c r="K874" s="142"/>
      <c r="L874" s="142"/>
      <c r="M874" s="142" t="s">
        <v>49</v>
      </c>
      <c r="N874" s="143" t="s">
        <v>49</v>
      </c>
      <c r="O874" s="138"/>
      <c r="P874" s="105"/>
      <c r="Q874" s="137"/>
      <c r="R874" s="138"/>
      <c r="S874" s="105"/>
      <c r="T874" s="105">
        <v>20</v>
      </c>
      <c r="U874" s="105"/>
      <c r="V874" s="116"/>
      <c r="W874" s="117"/>
      <c r="X874" s="116"/>
      <c r="Y874" s="138"/>
      <c r="Z874" s="105"/>
      <c r="AA874" s="105"/>
      <c r="AB874" s="105"/>
      <c r="AC874" s="105"/>
      <c r="AD874" s="144">
        <v>43191</v>
      </c>
      <c r="AE874" s="108" t="s">
        <v>4353</v>
      </c>
    </row>
    <row r="875" spans="1:31" s="65" customFormat="1" ht="27" customHeight="1" x14ac:dyDescent="0.15">
      <c r="A875" s="105">
        <v>1112800618</v>
      </c>
      <c r="B875" s="106" t="s">
        <v>5484</v>
      </c>
      <c r="C875" s="107" t="s">
        <v>5485</v>
      </c>
      <c r="D875" s="108" t="s">
        <v>84</v>
      </c>
      <c r="E875" s="108" t="s">
        <v>5486</v>
      </c>
      <c r="F875" s="139">
        <v>3580002</v>
      </c>
      <c r="G875" s="140" t="s">
        <v>5487</v>
      </c>
      <c r="H875" s="140" t="s">
        <v>5487</v>
      </c>
      <c r="I875" s="183"/>
      <c r="J875" s="134"/>
      <c r="K875" s="134"/>
      <c r="L875" s="134"/>
      <c r="M875" s="142"/>
      <c r="N875" s="143" t="s">
        <v>765</v>
      </c>
      <c r="O875" s="138"/>
      <c r="P875" s="105"/>
      <c r="Q875" s="137"/>
      <c r="R875" s="138"/>
      <c r="S875" s="105"/>
      <c r="T875" s="105"/>
      <c r="U875" s="105"/>
      <c r="V875" s="137"/>
      <c r="W875" s="117"/>
      <c r="X875" s="137"/>
      <c r="Y875" s="138"/>
      <c r="Z875" s="105"/>
      <c r="AA875" s="105">
        <v>20</v>
      </c>
      <c r="AB875" s="105"/>
      <c r="AC875" s="105"/>
      <c r="AD875" s="144">
        <v>43800</v>
      </c>
      <c r="AE875" s="108" t="s">
        <v>5488</v>
      </c>
    </row>
    <row r="876" spans="1:31" ht="27" customHeight="1" x14ac:dyDescent="0.15">
      <c r="A876" s="105">
        <v>1112800626</v>
      </c>
      <c r="B876" s="130" t="s">
        <v>5695</v>
      </c>
      <c r="C876" s="108" t="s">
        <v>5696</v>
      </c>
      <c r="D876" s="108" t="s">
        <v>84</v>
      </c>
      <c r="E876" s="108" t="s">
        <v>5697</v>
      </c>
      <c r="F876" s="131">
        <v>3580021</v>
      </c>
      <c r="G876" s="132" t="s">
        <v>5698</v>
      </c>
      <c r="H876" s="132" t="s">
        <v>5699</v>
      </c>
      <c r="I876" s="133"/>
      <c r="J876" s="134"/>
      <c r="K876" s="134"/>
      <c r="L876" s="134"/>
      <c r="M876" s="134" t="s">
        <v>765</v>
      </c>
      <c r="N876" s="135"/>
      <c r="O876" s="136"/>
      <c r="P876" s="105"/>
      <c r="Q876" s="137"/>
      <c r="R876" s="138"/>
      <c r="S876" s="105"/>
      <c r="T876" s="105"/>
      <c r="U876" s="105"/>
      <c r="V876" s="137"/>
      <c r="W876" s="138"/>
      <c r="X876" s="137"/>
      <c r="Y876" s="138"/>
      <c r="Z876" s="105"/>
      <c r="AA876" s="105">
        <v>20</v>
      </c>
      <c r="AB876" s="105"/>
      <c r="AC876" s="105"/>
      <c r="AD876" s="155">
        <v>43922</v>
      </c>
      <c r="AE876" s="108" t="s">
        <v>5700</v>
      </c>
    </row>
    <row r="877" spans="1:31" ht="27" customHeight="1" x14ac:dyDescent="0.15">
      <c r="A877" s="105">
        <v>1112800634</v>
      </c>
      <c r="B877" s="130" t="s">
        <v>5714</v>
      </c>
      <c r="C877" s="108" t="s">
        <v>5715</v>
      </c>
      <c r="D877" s="108" t="s">
        <v>84</v>
      </c>
      <c r="E877" s="108" t="s">
        <v>7256</v>
      </c>
      <c r="F877" s="264" t="s">
        <v>5716</v>
      </c>
      <c r="G877" s="105" t="s">
        <v>5717</v>
      </c>
      <c r="H877" s="105" t="s">
        <v>5718</v>
      </c>
      <c r="I877" s="133" t="s">
        <v>49</v>
      </c>
      <c r="J877" s="134" t="s">
        <v>49</v>
      </c>
      <c r="K877" s="134" t="s">
        <v>49</v>
      </c>
      <c r="L877" s="134" t="s">
        <v>49</v>
      </c>
      <c r="M877" s="134" t="s">
        <v>49</v>
      </c>
      <c r="N877" s="135" t="s">
        <v>49</v>
      </c>
      <c r="O877" s="136" t="s">
        <v>765</v>
      </c>
      <c r="P877" s="105"/>
      <c r="Q877" s="152"/>
      <c r="R877" s="138"/>
      <c r="S877" s="132"/>
      <c r="T877" s="105"/>
      <c r="U877" s="132"/>
      <c r="V877" s="133"/>
      <c r="W877" s="242"/>
      <c r="X877" s="133">
        <v>6</v>
      </c>
      <c r="Y877" s="136"/>
      <c r="Z877" s="132"/>
      <c r="AA877" s="132">
        <v>14</v>
      </c>
      <c r="AB877" s="132"/>
      <c r="AC877" s="132"/>
      <c r="AD877" s="118">
        <v>43922</v>
      </c>
      <c r="AE877" s="108" t="s">
        <v>5719</v>
      </c>
    </row>
    <row r="878" spans="1:31" ht="27" customHeight="1" x14ac:dyDescent="0.15">
      <c r="A878" s="105">
        <v>1112800642</v>
      </c>
      <c r="B878" s="130" t="s">
        <v>6824</v>
      </c>
      <c r="C878" s="107" t="s">
        <v>5720</v>
      </c>
      <c r="D878" s="108" t="s">
        <v>84</v>
      </c>
      <c r="E878" s="108" t="s">
        <v>5721</v>
      </c>
      <c r="F878" s="139" t="s">
        <v>3737</v>
      </c>
      <c r="G878" s="140" t="s">
        <v>5722</v>
      </c>
      <c r="H878" s="140" t="s">
        <v>5723</v>
      </c>
      <c r="I878" s="141"/>
      <c r="J878" s="142"/>
      <c r="K878" s="142"/>
      <c r="L878" s="142"/>
      <c r="M878" s="142" t="s">
        <v>765</v>
      </c>
      <c r="N878" s="143" t="s">
        <v>765</v>
      </c>
      <c r="O878" s="138"/>
      <c r="P878" s="105"/>
      <c r="Q878" s="137"/>
      <c r="R878" s="138"/>
      <c r="S878" s="105"/>
      <c r="T878" s="105"/>
      <c r="U878" s="105"/>
      <c r="V878" s="116"/>
      <c r="W878" s="117"/>
      <c r="X878" s="137">
        <v>20</v>
      </c>
      <c r="Y878" s="138"/>
      <c r="Z878" s="105"/>
      <c r="AA878" s="105"/>
      <c r="AB878" s="105"/>
      <c r="AC878" s="105"/>
      <c r="AD878" s="144">
        <v>43922</v>
      </c>
      <c r="AE878" s="108" t="s">
        <v>5724</v>
      </c>
    </row>
    <row r="879" spans="1:31" ht="27" customHeight="1" x14ac:dyDescent="0.15">
      <c r="A879" s="105">
        <v>1112800691</v>
      </c>
      <c r="B879" s="106" t="s">
        <v>6577</v>
      </c>
      <c r="C879" s="107" t="s">
        <v>6578</v>
      </c>
      <c r="D879" s="108" t="s">
        <v>84</v>
      </c>
      <c r="E879" s="108" t="s">
        <v>6579</v>
      </c>
      <c r="F879" s="139" t="s">
        <v>6580</v>
      </c>
      <c r="G879" s="140" t="s">
        <v>6581</v>
      </c>
      <c r="H879" s="140" t="s">
        <v>6582</v>
      </c>
      <c r="I879" s="141" t="s">
        <v>49</v>
      </c>
      <c r="J879" s="142" t="s">
        <v>49</v>
      </c>
      <c r="K879" s="142" t="s">
        <v>49</v>
      </c>
      <c r="L879" s="142" t="s">
        <v>49</v>
      </c>
      <c r="M879" s="142" t="s">
        <v>49</v>
      </c>
      <c r="N879" s="143" t="s">
        <v>49</v>
      </c>
      <c r="O879" s="138" t="s">
        <v>49</v>
      </c>
      <c r="P879" s="105"/>
      <c r="Q879" s="137"/>
      <c r="R879" s="138"/>
      <c r="S879" s="105"/>
      <c r="T879" s="105">
        <v>20</v>
      </c>
      <c r="U879" s="105"/>
      <c r="V879" s="137"/>
      <c r="W879" s="138"/>
      <c r="X879" s="152"/>
      <c r="Y879" s="138"/>
      <c r="Z879" s="105"/>
      <c r="AA879" s="105"/>
      <c r="AB879" s="105"/>
      <c r="AC879" s="105"/>
      <c r="AD879" s="144">
        <v>44287</v>
      </c>
      <c r="AE879" s="108" t="s">
        <v>6583</v>
      </c>
    </row>
    <row r="880" spans="1:31" ht="27" customHeight="1" x14ac:dyDescent="0.15">
      <c r="A880" s="105">
        <v>1112800097</v>
      </c>
      <c r="B880" s="130" t="s">
        <v>781</v>
      </c>
      <c r="C880" s="108" t="s">
        <v>510</v>
      </c>
      <c r="D880" s="108" t="s">
        <v>84</v>
      </c>
      <c r="E880" s="108" t="s">
        <v>157</v>
      </c>
      <c r="F880" s="131">
        <v>3580031</v>
      </c>
      <c r="G880" s="132" t="s">
        <v>668</v>
      </c>
      <c r="H880" s="132" t="s">
        <v>669</v>
      </c>
      <c r="I880" s="133" t="s">
        <v>49</v>
      </c>
      <c r="J880" s="134" t="s">
        <v>49</v>
      </c>
      <c r="K880" s="134" t="s">
        <v>49</v>
      </c>
      <c r="L880" s="134" t="s">
        <v>49</v>
      </c>
      <c r="M880" s="134" t="s">
        <v>49</v>
      </c>
      <c r="N880" s="135"/>
      <c r="O880" s="136"/>
      <c r="P880" s="105"/>
      <c r="Q880" s="137"/>
      <c r="R880" s="138"/>
      <c r="S880" s="105"/>
      <c r="T880" s="105"/>
      <c r="U880" s="105"/>
      <c r="V880" s="116"/>
      <c r="W880" s="117"/>
      <c r="X880" s="116"/>
      <c r="Y880" s="138"/>
      <c r="Z880" s="105"/>
      <c r="AA880" s="105">
        <v>55</v>
      </c>
      <c r="AB880" s="105"/>
      <c r="AC880" s="105"/>
      <c r="AD880" s="118">
        <v>39022</v>
      </c>
      <c r="AE880" s="108" t="s">
        <v>344</v>
      </c>
    </row>
    <row r="881" spans="1:31" ht="27" customHeight="1" x14ac:dyDescent="0.15">
      <c r="A881" s="105">
        <v>1112800717</v>
      </c>
      <c r="B881" s="130" t="s">
        <v>781</v>
      </c>
      <c r="C881" s="108" t="s">
        <v>6584</v>
      </c>
      <c r="D881" s="108" t="s">
        <v>84</v>
      </c>
      <c r="E881" s="108" t="s">
        <v>6585</v>
      </c>
      <c r="F881" s="131">
        <v>3580021</v>
      </c>
      <c r="G881" s="132" t="s">
        <v>6586</v>
      </c>
      <c r="H881" s="132" t="s">
        <v>6587</v>
      </c>
      <c r="I881" s="133"/>
      <c r="J881" s="134"/>
      <c r="K881" s="134"/>
      <c r="L881" s="134"/>
      <c r="M881" s="134" t="s">
        <v>49</v>
      </c>
      <c r="N881" s="135"/>
      <c r="O881" s="136"/>
      <c r="P881" s="105">
        <v>50</v>
      </c>
      <c r="Q881" s="137" t="s">
        <v>49</v>
      </c>
      <c r="R881" s="138">
        <v>10</v>
      </c>
      <c r="S881" s="105"/>
      <c r="T881" s="105">
        <v>50</v>
      </c>
      <c r="U881" s="105"/>
      <c r="V881" s="137"/>
      <c r="W881" s="138"/>
      <c r="X881" s="137"/>
      <c r="Y881" s="138"/>
      <c r="Z881" s="105"/>
      <c r="AA881" s="105"/>
      <c r="AB881" s="105"/>
      <c r="AC881" s="105"/>
      <c r="AD881" s="118">
        <v>44287</v>
      </c>
      <c r="AE881" s="108" t="s">
        <v>6588</v>
      </c>
    </row>
    <row r="882" spans="1:31" s="65" customFormat="1" ht="27" customHeight="1" x14ac:dyDescent="0.15">
      <c r="A882" s="105">
        <v>1112800741</v>
      </c>
      <c r="B882" s="130" t="s">
        <v>7010</v>
      </c>
      <c r="C882" s="108" t="s">
        <v>7011</v>
      </c>
      <c r="D882" s="108" t="s">
        <v>84</v>
      </c>
      <c r="E882" s="108" t="s">
        <v>7012</v>
      </c>
      <c r="F882" s="131" t="s">
        <v>3737</v>
      </c>
      <c r="G882" s="132" t="s">
        <v>7013</v>
      </c>
      <c r="H882" s="132" t="s">
        <v>7014</v>
      </c>
      <c r="I882" s="133"/>
      <c r="J882" s="134" t="s">
        <v>49</v>
      </c>
      <c r="K882" s="134" t="s">
        <v>49</v>
      </c>
      <c r="L882" s="134" t="s">
        <v>49</v>
      </c>
      <c r="M882" s="134" t="s">
        <v>765</v>
      </c>
      <c r="N882" s="135" t="s">
        <v>765</v>
      </c>
      <c r="O882" s="136" t="s">
        <v>49</v>
      </c>
      <c r="P882" s="105"/>
      <c r="Q882" s="137"/>
      <c r="R882" s="138"/>
      <c r="S882" s="105"/>
      <c r="T882" s="105"/>
      <c r="U882" s="105"/>
      <c r="V882" s="116"/>
      <c r="W882" s="117"/>
      <c r="X882" s="116"/>
      <c r="Y882" s="138"/>
      <c r="Z882" s="105"/>
      <c r="AA882" s="105">
        <v>20</v>
      </c>
      <c r="AB882" s="105"/>
      <c r="AC882" s="105"/>
      <c r="AD882" s="144">
        <v>44440</v>
      </c>
      <c r="AE882" s="108" t="s">
        <v>7015</v>
      </c>
    </row>
    <row r="883" spans="1:31" ht="27.95" customHeight="1" x14ac:dyDescent="0.15">
      <c r="A883" s="105">
        <v>1112800816</v>
      </c>
      <c r="B883" s="106" t="s">
        <v>3215</v>
      </c>
      <c r="C883" s="107" t="s">
        <v>10150</v>
      </c>
      <c r="D883" s="108" t="s">
        <v>84</v>
      </c>
      <c r="E883" s="108" t="s">
        <v>10151</v>
      </c>
      <c r="F883" s="139" t="s">
        <v>10226</v>
      </c>
      <c r="G883" s="140" t="s">
        <v>10227</v>
      </c>
      <c r="H883" s="140" t="s">
        <v>10228</v>
      </c>
      <c r="I883" s="141"/>
      <c r="J883" s="142"/>
      <c r="K883" s="142" t="s">
        <v>765</v>
      </c>
      <c r="L883" s="142" t="s">
        <v>765</v>
      </c>
      <c r="M883" s="142" t="s">
        <v>765</v>
      </c>
      <c r="N883" s="143" t="s">
        <v>765</v>
      </c>
      <c r="O883" s="138"/>
      <c r="P883" s="105"/>
      <c r="Q883" s="137"/>
      <c r="R883" s="138"/>
      <c r="S883" s="105"/>
      <c r="T883" s="105"/>
      <c r="U883" s="105"/>
      <c r="V883" s="137"/>
      <c r="W883" s="138"/>
      <c r="X883" s="137"/>
      <c r="Y883" s="138"/>
      <c r="Z883" s="105"/>
      <c r="AA883" s="105">
        <v>20</v>
      </c>
      <c r="AB883" s="105"/>
      <c r="AC883" s="105"/>
      <c r="AD883" s="144">
        <v>45748</v>
      </c>
      <c r="AE883" s="108" t="s">
        <v>3738</v>
      </c>
    </row>
    <row r="884" spans="1:31" s="65" customFormat="1" ht="27" customHeight="1" x14ac:dyDescent="0.15">
      <c r="A884" s="105">
        <v>1112800832</v>
      </c>
      <c r="B884" s="130" t="s">
        <v>11649</v>
      </c>
      <c r="C884" s="108" t="s">
        <v>10587</v>
      </c>
      <c r="D884" s="108" t="s">
        <v>84</v>
      </c>
      <c r="E884" s="108" t="s">
        <v>10588</v>
      </c>
      <c r="F884" s="131" t="s">
        <v>6532</v>
      </c>
      <c r="G884" s="132" t="s">
        <v>10589</v>
      </c>
      <c r="H884" s="132" t="s">
        <v>10589</v>
      </c>
      <c r="I884" s="133"/>
      <c r="J884" s="134"/>
      <c r="K884" s="134"/>
      <c r="L884" s="134"/>
      <c r="M884" s="134" t="s">
        <v>765</v>
      </c>
      <c r="N884" s="135" t="s">
        <v>765</v>
      </c>
      <c r="O884" s="136"/>
      <c r="P884" s="105"/>
      <c r="Q884" s="137"/>
      <c r="R884" s="138"/>
      <c r="S884" s="105"/>
      <c r="T884" s="105"/>
      <c r="U884" s="105"/>
      <c r="V884" s="116"/>
      <c r="W884" s="117"/>
      <c r="X884" s="116"/>
      <c r="Y884" s="138"/>
      <c r="Z884" s="105"/>
      <c r="AA884" s="105">
        <v>20</v>
      </c>
      <c r="AB884" s="105"/>
      <c r="AC884" s="105"/>
      <c r="AD884" s="118">
        <v>45901</v>
      </c>
      <c r="AE884" s="108" t="s">
        <v>10590</v>
      </c>
    </row>
    <row r="885" spans="1:31" s="65" customFormat="1" ht="27" customHeight="1" x14ac:dyDescent="0.15">
      <c r="A885" s="175">
        <v>1112800840</v>
      </c>
      <c r="B885" s="162" t="s">
        <v>11795</v>
      </c>
      <c r="C885" s="162" t="s">
        <v>10875</v>
      </c>
      <c r="D885" s="162" t="s">
        <v>84</v>
      </c>
      <c r="E885" s="162" t="s">
        <v>10876</v>
      </c>
      <c r="F885" s="309" t="s">
        <v>3737</v>
      </c>
      <c r="G885" s="175" t="s">
        <v>10877</v>
      </c>
      <c r="H885" s="175" t="s">
        <v>10878</v>
      </c>
      <c r="I885" s="221"/>
      <c r="J885" s="222" t="s">
        <v>765</v>
      </c>
      <c r="K885" s="222" t="s">
        <v>765</v>
      </c>
      <c r="L885" s="222"/>
      <c r="M885" s="222" t="s">
        <v>765</v>
      </c>
      <c r="N885" s="208" t="s">
        <v>765</v>
      </c>
      <c r="O885" s="210"/>
      <c r="P885" s="175"/>
      <c r="Q885" s="209"/>
      <c r="R885" s="210"/>
      <c r="S885" s="175"/>
      <c r="T885" s="175"/>
      <c r="U885" s="175"/>
      <c r="V885" s="209"/>
      <c r="W885" s="210"/>
      <c r="X885" s="209"/>
      <c r="Y885" s="210"/>
      <c r="Z885" s="175"/>
      <c r="AA885" s="175">
        <v>20</v>
      </c>
      <c r="AB885" s="175"/>
      <c r="AC885" s="175"/>
      <c r="AD885" s="211">
        <v>45962</v>
      </c>
      <c r="AE885" s="308" t="s">
        <v>10879</v>
      </c>
    </row>
    <row r="886" spans="1:31" s="218" customFormat="1" ht="24" customHeight="1" x14ac:dyDescent="0.15">
      <c r="A886" s="132">
        <v>1112800857</v>
      </c>
      <c r="B886" s="130" t="s">
        <v>11796</v>
      </c>
      <c r="C886" s="108" t="s">
        <v>11022</v>
      </c>
      <c r="D886" s="108" t="s">
        <v>84</v>
      </c>
      <c r="E886" s="108" t="s">
        <v>11023</v>
      </c>
      <c r="F886" s="264" t="s">
        <v>11024</v>
      </c>
      <c r="G886" s="137" t="s">
        <v>11025</v>
      </c>
      <c r="H886" s="137" t="s">
        <v>11026</v>
      </c>
      <c r="I886" s="141" t="s">
        <v>391</v>
      </c>
      <c r="J886" s="142" t="s">
        <v>392</v>
      </c>
      <c r="K886" s="142" t="s">
        <v>393</v>
      </c>
      <c r="L886" s="142" t="s">
        <v>394</v>
      </c>
      <c r="M886" s="142" t="s">
        <v>395</v>
      </c>
      <c r="N886" s="177" t="s">
        <v>396</v>
      </c>
      <c r="O886" s="92" t="s">
        <v>2178</v>
      </c>
      <c r="P886" s="105"/>
      <c r="Q886" s="137"/>
      <c r="R886" s="138"/>
      <c r="S886" s="105"/>
      <c r="T886" s="105"/>
      <c r="U886" s="105"/>
      <c r="V886" s="137"/>
      <c r="W886" s="138"/>
      <c r="X886" s="137"/>
      <c r="Y886" s="138"/>
      <c r="Z886" s="105"/>
      <c r="AA886" s="105">
        <v>20</v>
      </c>
      <c r="AB886" s="105"/>
      <c r="AC886" s="105"/>
      <c r="AD886" s="118">
        <v>46023</v>
      </c>
      <c r="AE886" s="108" t="s">
        <v>11027</v>
      </c>
    </row>
    <row r="887" spans="1:31" s="586" customFormat="1" ht="24" customHeight="1" x14ac:dyDescent="0.15">
      <c r="A887" s="528">
        <v>1112800865</v>
      </c>
      <c r="B887" s="525" t="s">
        <v>11797</v>
      </c>
      <c r="C887" s="526" t="s">
        <v>11014</v>
      </c>
      <c r="D887" s="526" t="s">
        <v>84</v>
      </c>
      <c r="E887" s="526" t="s">
        <v>11015</v>
      </c>
      <c r="F887" s="581" t="s">
        <v>4350</v>
      </c>
      <c r="G887" s="582" t="s">
        <v>12281</v>
      </c>
      <c r="H887" s="582" t="s">
        <v>12282</v>
      </c>
      <c r="I887" s="583"/>
      <c r="J887" s="584"/>
      <c r="K887" s="584"/>
      <c r="L887" s="584"/>
      <c r="M887" s="584" t="s">
        <v>10951</v>
      </c>
      <c r="N887" s="585" t="s">
        <v>10951</v>
      </c>
      <c r="O887" s="572"/>
      <c r="P887" s="564"/>
      <c r="Q887" s="565"/>
      <c r="R887" s="566"/>
      <c r="S887" s="564"/>
      <c r="T887" s="564">
        <v>20</v>
      </c>
      <c r="U887" s="564"/>
      <c r="V887" s="565"/>
      <c r="W887" s="566"/>
      <c r="X887" s="565"/>
      <c r="Y887" s="566"/>
      <c r="Z887" s="564"/>
      <c r="AA887" s="564"/>
      <c r="AB887" s="564"/>
      <c r="AC887" s="564"/>
      <c r="AD887" s="570">
        <v>46023</v>
      </c>
      <c r="AE887" s="526" t="s">
        <v>11016</v>
      </c>
    </row>
    <row r="888" spans="1:31" s="218" customFormat="1" ht="24" customHeight="1" x14ac:dyDescent="0.15">
      <c r="A888" s="132">
        <v>1112800873</v>
      </c>
      <c r="B888" s="130" t="s">
        <v>11798</v>
      </c>
      <c r="C888" s="108" t="s">
        <v>11028</v>
      </c>
      <c r="D888" s="108" t="s">
        <v>84</v>
      </c>
      <c r="E888" s="108" t="s">
        <v>11029</v>
      </c>
      <c r="F888" s="264" t="s">
        <v>3291</v>
      </c>
      <c r="G888" s="137" t="s">
        <v>11030</v>
      </c>
      <c r="H888" s="137" t="s">
        <v>11030</v>
      </c>
      <c r="I888" s="141"/>
      <c r="J888" s="142" t="s">
        <v>392</v>
      </c>
      <c r="K888" s="142" t="s">
        <v>393</v>
      </c>
      <c r="L888" s="142" t="s">
        <v>394</v>
      </c>
      <c r="M888" s="142" t="s">
        <v>395</v>
      </c>
      <c r="N888" s="177" t="s">
        <v>396</v>
      </c>
      <c r="O888" s="92" t="s">
        <v>2178</v>
      </c>
      <c r="P888" s="105"/>
      <c r="Q888" s="137"/>
      <c r="R888" s="138"/>
      <c r="S888" s="105"/>
      <c r="T888" s="105"/>
      <c r="U888" s="105"/>
      <c r="V888" s="137"/>
      <c r="W888" s="138"/>
      <c r="X888" s="137"/>
      <c r="Y888" s="138"/>
      <c r="Z888" s="105"/>
      <c r="AA888" s="105">
        <v>20</v>
      </c>
      <c r="AB888" s="105"/>
      <c r="AC888" s="105"/>
      <c r="AD888" s="118">
        <v>46023</v>
      </c>
      <c r="AE888" s="108" t="s">
        <v>11031</v>
      </c>
    </row>
    <row r="889" spans="1:31" s="65" customFormat="1" ht="27" customHeight="1" x14ac:dyDescent="0.15">
      <c r="A889" s="105">
        <v>1112900053</v>
      </c>
      <c r="B889" s="130" t="s">
        <v>783</v>
      </c>
      <c r="C889" s="108" t="s">
        <v>531</v>
      </c>
      <c r="D889" s="108" t="s">
        <v>85</v>
      </c>
      <c r="E889" s="108" t="s">
        <v>158</v>
      </c>
      <c r="F889" s="131">
        <v>3540007</v>
      </c>
      <c r="G889" s="132" t="s">
        <v>671</v>
      </c>
      <c r="H889" s="132" t="s">
        <v>672</v>
      </c>
      <c r="I889" s="133" t="s">
        <v>4510</v>
      </c>
      <c r="J889" s="134"/>
      <c r="K889" s="134"/>
      <c r="L889" s="134"/>
      <c r="M889" s="134" t="s">
        <v>4510</v>
      </c>
      <c r="N889" s="135"/>
      <c r="O889" s="136"/>
      <c r="P889" s="105">
        <v>30</v>
      </c>
      <c r="Q889" s="137" t="s">
        <v>4510</v>
      </c>
      <c r="R889" s="138">
        <v>3</v>
      </c>
      <c r="S889" s="105"/>
      <c r="T889" s="105">
        <v>30</v>
      </c>
      <c r="U889" s="105"/>
      <c r="V889" s="137"/>
      <c r="W889" s="138"/>
      <c r="X889" s="137"/>
      <c r="Y889" s="138"/>
      <c r="Z889" s="105"/>
      <c r="AA889" s="105"/>
      <c r="AB889" s="105"/>
      <c r="AC889" s="105"/>
      <c r="AD889" s="118">
        <v>39173</v>
      </c>
      <c r="AE889" s="108" t="s">
        <v>1577</v>
      </c>
    </row>
    <row r="890" spans="1:31" s="65" customFormat="1" ht="27" customHeight="1" x14ac:dyDescent="0.15">
      <c r="A890" s="105">
        <v>1112900061</v>
      </c>
      <c r="B890" s="130" t="s">
        <v>775</v>
      </c>
      <c r="C890" s="108" t="s">
        <v>582</v>
      </c>
      <c r="D890" s="108" t="s">
        <v>85</v>
      </c>
      <c r="E890" s="108" t="s">
        <v>159</v>
      </c>
      <c r="F890" s="131">
        <v>3540002</v>
      </c>
      <c r="G890" s="132" t="s">
        <v>673</v>
      </c>
      <c r="H890" s="132" t="s">
        <v>674</v>
      </c>
      <c r="I890" s="133"/>
      <c r="J890" s="134"/>
      <c r="K890" s="134"/>
      <c r="L890" s="134"/>
      <c r="M890" s="134" t="s">
        <v>49</v>
      </c>
      <c r="N890" s="135"/>
      <c r="O890" s="136"/>
      <c r="P890" s="132"/>
      <c r="Q890" s="152"/>
      <c r="R890" s="136"/>
      <c r="S890" s="132"/>
      <c r="T890" s="132">
        <v>20</v>
      </c>
      <c r="U890" s="132"/>
      <c r="V890" s="152"/>
      <c r="W890" s="136"/>
      <c r="X890" s="137">
        <v>6</v>
      </c>
      <c r="Y890" s="136"/>
      <c r="Z890" s="132"/>
      <c r="AA890" s="105">
        <v>34</v>
      </c>
      <c r="AB890" s="105"/>
      <c r="AC890" s="105"/>
      <c r="AD890" s="155">
        <v>39539</v>
      </c>
      <c r="AE890" s="108" t="s">
        <v>449</v>
      </c>
    </row>
    <row r="891" spans="1:31" s="65" customFormat="1" ht="27" customHeight="1" x14ac:dyDescent="0.15">
      <c r="A891" s="105">
        <v>1112900061</v>
      </c>
      <c r="B891" s="130" t="s">
        <v>12015</v>
      </c>
      <c r="C891" s="108" t="s">
        <v>10795</v>
      </c>
      <c r="D891" s="108" t="s">
        <v>85</v>
      </c>
      <c r="E891" s="108" t="s">
        <v>10796</v>
      </c>
      <c r="F891" s="131" t="s">
        <v>10797</v>
      </c>
      <c r="G891" s="132" t="s">
        <v>10798</v>
      </c>
      <c r="H891" s="132" t="s">
        <v>10799</v>
      </c>
      <c r="I891" s="133"/>
      <c r="J891" s="134"/>
      <c r="K891" s="134"/>
      <c r="L891" s="134"/>
      <c r="M891" s="134" t="s">
        <v>765</v>
      </c>
      <c r="N891" s="135"/>
      <c r="O891" s="136"/>
      <c r="P891" s="105"/>
      <c r="Q891" s="137"/>
      <c r="R891" s="138"/>
      <c r="S891" s="105"/>
      <c r="T891" s="105"/>
      <c r="U891" s="105"/>
      <c r="V891" s="137"/>
      <c r="W891" s="138"/>
      <c r="X891" s="137"/>
      <c r="Y891" s="138"/>
      <c r="Z891" s="105"/>
      <c r="AA891" s="105"/>
      <c r="AB891" s="105"/>
      <c r="AC891" s="105">
        <v>10</v>
      </c>
      <c r="AD891" s="118">
        <v>45931</v>
      </c>
      <c r="AE891" s="217" t="s">
        <v>10800</v>
      </c>
    </row>
    <row r="892" spans="1:31" ht="27" customHeight="1" x14ac:dyDescent="0.15">
      <c r="A892" s="105">
        <v>1112900079</v>
      </c>
      <c r="B892" s="130" t="s">
        <v>775</v>
      </c>
      <c r="C892" s="108" t="s">
        <v>581</v>
      </c>
      <c r="D892" s="108" t="s">
        <v>85</v>
      </c>
      <c r="E892" s="108" t="s">
        <v>160</v>
      </c>
      <c r="F892" s="131">
        <v>3540001</v>
      </c>
      <c r="G892" s="132" t="s">
        <v>675</v>
      </c>
      <c r="H892" s="132" t="s">
        <v>675</v>
      </c>
      <c r="I892" s="133"/>
      <c r="J892" s="134"/>
      <c r="K892" s="134"/>
      <c r="L892" s="134"/>
      <c r="M892" s="134" t="s">
        <v>66</v>
      </c>
      <c r="N892" s="135"/>
      <c r="O892" s="136"/>
      <c r="P892" s="132"/>
      <c r="Q892" s="152"/>
      <c r="R892" s="136"/>
      <c r="S892" s="132"/>
      <c r="T892" s="105">
        <v>20</v>
      </c>
      <c r="U892" s="132"/>
      <c r="V892" s="152"/>
      <c r="W892" s="136"/>
      <c r="X892" s="152"/>
      <c r="Y892" s="136"/>
      <c r="Z892" s="132"/>
      <c r="AA892" s="132"/>
      <c r="AB892" s="132"/>
      <c r="AC892" s="132"/>
      <c r="AD892" s="155">
        <v>39539</v>
      </c>
      <c r="AE892" s="108" t="s">
        <v>448</v>
      </c>
    </row>
    <row r="893" spans="1:31" s="65" customFormat="1" ht="27" customHeight="1" x14ac:dyDescent="0.15">
      <c r="A893" s="105">
        <v>1112900210</v>
      </c>
      <c r="B893" s="130" t="s">
        <v>1467</v>
      </c>
      <c r="C893" s="108" t="s">
        <v>4796</v>
      </c>
      <c r="D893" s="108" t="s">
        <v>85</v>
      </c>
      <c r="E893" s="108" t="s">
        <v>1468</v>
      </c>
      <c r="F893" s="131">
        <v>3540021</v>
      </c>
      <c r="G893" s="132" t="s">
        <v>4797</v>
      </c>
      <c r="H893" s="132" t="s">
        <v>4798</v>
      </c>
      <c r="I893" s="133"/>
      <c r="J893" s="134"/>
      <c r="K893" s="134"/>
      <c r="L893" s="134"/>
      <c r="M893" s="134"/>
      <c r="N893" s="135" t="s">
        <v>4795</v>
      </c>
      <c r="O893" s="136"/>
      <c r="P893" s="132"/>
      <c r="Q893" s="152"/>
      <c r="R893" s="136"/>
      <c r="S893" s="132"/>
      <c r="T893" s="105"/>
      <c r="U893" s="132"/>
      <c r="V893" s="152">
        <v>10</v>
      </c>
      <c r="W893" s="136"/>
      <c r="X893" s="152"/>
      <c r="Y893" s="136"/>
      <c r="Z893" s="132"/>
      <c r="AA893" s="132">
        <v>20</v>
      </c>
      <c r="AB893" s="132"/>
      <c r="AC893" s="132"/>
      <c r="AD893" s="155">
        <v>40756</v>
      </c>
      <c r="AE893" s="108" t="s">
        <v>1469</v>
      </c>
    </row>
    <row r="894" spans="1:31" s="65" customFormat="1" ht="27" customHeight="1" x14ac:dyDescent="0.15">
      <c r="A894" s="105">
        <v>1112900210</v>
      </c>
      <c r="B894" s="130" t="s">
        <v>1467</v>
      </c>
      <c r="C894" s="108" t="s">
        <v>4704</v>
      </c>
      <c r="D894" s="108" t="s">
        <v>85</v>
      </c>
      <c r="E894" s="108" t="s">
        <v>1468</v>
      </c>
      <c r="F894" s="131">
        <v>3540021</v>
      </c>
      <c r="G894" s="132" t="s">
        <v>4705</v>
      </c>
      <c r="H894" s="132" t="s">
        <v>4706</v>
      </c>
      <c r="I894" s="133"/>
      <c r="J894" s="134"/>
      <c r="K894" s="134"/>
      <c r="L894" s="134"/>
      <c r="M894" s="134"/>
      <c r="N894" s="135" t="s">
        <v>4686</v>
      </c>
      <c r="O894" s="136"/>
      <c r="P894" s="132"/>
      <c r="Q894" s="152"/>
      <c r="R894" s="136"/>
      <c r="S894" s="132"/>
      <c r="T894" s="105"/>
      <c r="U894" s="132"/>
      <c r="V894" s="152"/>
      <c r="W894" s="136"/>
      <c r="X894" s="152"/>
      <c r="Y894" s="136"/>
      <c r="Z894" s="132"/>
      <c r="AA894" s="132"/>
      <c r="AB894" s="105" t="s">
        <v>4686</v>
      </c>
      <c r="AC894" s="105"/>
      <c r="AD894" s="118">
        <v>43374</v>
      </c>
      <c r="AE894" s="108" t="s">
        <v>1469</v>
      </c>
    </row>
    <row r="895" spans="1:31" s="65" customFormat="1" ht="27" customHeight="1" x14ac:dyDescent="0.15">
      <c r="A895" s="105">
        <v>1112900228</v>
      </c>
      <c r="B895" s="130" t="s">
        <v>6203</v>
      </c>
      <c r="C895" s="108" t="s">
        <v>4254</v>
      </c>
      <c r="D895" s="108" t="s">
        <v>85</v>
      </c>
      <c r="E895" s="108" t="s">
        <v>2210</v>
      </c>
      <c r="F895" s="131" t="s">
        <v>4255</v>
      </c>
      <c r="G895" s="132" t="s">
        <v>4256</v>
      </c>
      <c r="H895" s="132" t="s">
        <v>4257</v>
      </c>
      <c r="I895" s="133"/>
      <c r="J895" s="134"/>
      <c r="K895" s="134"/>
      <c r="L895" s="134" t="s">
        <v>49</v>
      </c>
      <c r="M895" s="134" t="s">
        <v>49</v>
      </c>
      <c r="N895" s="135" t="s">
        <v>49</v>
      </c>
      <c r="O895" s="136"/>
      <c r="P895" s="132"/>
      <c r="Q895" s="152"/>
      <c r="R895" s="136"/>
      <c r="S895" s="132"/>
      <c r="T895" s="105"/>
      <c r="U895" s="132"/>
      <c r="V895" s="152"/>
      <c r="W895" s="136"/>
      <c r="X895" s="152"/>
      <c r="Y895" s="136"/>
      <c r="Z895" s="132"/>
      <c r="AA895" s="132">
        <v>20</v>
      </c>
      <c r="AB895" s="132"/>
      <c r="AC895" s="132"/>
      <c r="AD895" s="155">
        <v>41365</v>
      </c>
      <c r="AE895" s="108" t="s">
        <v>2211</v>
      </c>
    </row>
    <row r="896" spans="1:31" s="65" customFormat="1" ht="27" customHeight="1" x14ac:dyDescent="0.15">
      <c r="A896" s="105">
        <v>1112900285</v>
      </c>
      <c r="B896" s="130" t="s">
        <v>2817</v>
      </c>
      <c r="C896" s="108" t="s">
        <v>4296</v>
      </c>
      <c r="D896" s="108" t="s">
        <v>85</v>
      </c>
      <c r="E896" s="108" t="s">
        <v>2818</v>
      </c>
      <c r="F896" s="131" t="s">
        <v>4297</v>
      </c>
      <c r="G896" s="132" t="s">
        <v>4298</v>
      </c>
      <c r="H896" s="132" t="s">
        <v>4299</v>
      </c>
      <c r="I896" s="133" t="s">
        <v>49</v>
      </c>
      <c r="J896" s="134"/>
      <c r="K896" s="134"/>
      <c r="L896" s="134"/>
      <c r="M896" s="134"/>
      <c r="N896" s="135"/>
      <c r="O896" s="136"/>
      <c r="P896" s="132"/>
      <c r="Q896" s="152"/>
      <c r="R896" s="136"/>
      <c r="S896" s="132"/>
      <c r="T896" s="105">
        <v>13</v>
      </c>
      <c r="U896" s="132"/>
      <c r="V896" s="152"/>
      <c r="W896" s="136"/>
      <c r="X896" s="152"/>
      <c r="Y896" s="136"/>
      <c r="Z896" s="132"/>
      <c r="AA896" s="132"/>
      <c r="AB896" s="132"/>
      <c r="AC896" s="132"/>
      <c r="AD896" s="155">
        <v>42095</v>
      </c>
      <c r="AE896" s="108" t="s">
        <v>4300</v>
      </c>
    </row>
    <row r="897" spans="1:157" s="65" customFormat="1" ht="27" customHeight="1" x14ac:dyDescent="0.15">
      <c r="A897" s="150">
        <v>1112900418</v>
      </c>
      <c r="B897" s="130" t="s">
        <v>4503</v>
      </c>
      <c r="C897" s="107" t="s">
        <v>4504</v>
      </c>
      <c r="D897" s="108" t="s">
        <v>85</v>
      </c>
      <c r="E897" s="108" t="s">
        <v>4505</v>
      </c>
      <c r="F897" s="139" t="s">
        <v>4506</v>
      </c>
      <c r="G897" s="152" t="s">
        <v>4507</v>
      </c>
      <c r="H897" s="132" t="s">
        <v>4508</v>
      </c>
      <c r="I897" s="141" t="s">
        <v>49</v>
      </c>
      <c r="J897" s="154"/>
      <c r="K897" s="154"/>
      <c r="L897" s="154"/>
      <c r="M897" s="142" t="s">
        <v>49</v>
      </c>
      <c r="N897" s="135"/>
      <c r="O897" s="138"/>
      <c r="P897" s="105"/>
      <c r="Q897" s="137"/>
      <c r="R897" s="138"/>
      <c r="S897" s="105"/>
      <c r="T897" s="105">
        <v>10</v>
      </c>
      <c r="U897" s="105"/>
      <c r="V897" s="137"/>
      <c r="W897" s="138"/>
      <c r="X897" s="137"/>
      <c r="Y897" s="138"/>
      <c r="Z897" s="105"/>
      <c r="AA897" s="105">
        <v>10</v>
      </c>
      <c r="AB897" s="105"/>
      <c r="AC897" s="105"/>
      <c r="AD897" s="144">
        <v>43252</v>
      </c>
      <c r="AE897" s="108" t="s">
        <v>4509</v>
      </c>
    </row>
    <row r="898" spans="1:157" s="65" customFormat="1" ht="27" customHeight="1" x14ac:dyDescent="0.15">
      <c r="A898" s="150">
        <v>1112900467</v>
      </c>
      <c r="B898" s="130" t="s">
        <v>5496</v>
      </c>
      <c r="C898" s="107" t="s">
        <v>5497</v>
      </c>
      <c r="D898" s="108" t="s">
        <v>85</v>
      </c>
      <c r="E898" s="108" t="s">
        <v>5498</v>
      </c>
      <c r="F898" s="139" t="s">
        <v>5499</v>
      </c>
      <c r="G898" s="152" t="s">
        <v>5500</v>
      </c>
      <c r="H898" s="132" t="s">
        <v>5501</v>
      </c>
      <c r="I898" s="141" t="s">
        <v>765</v>
      </c>
      <c r="J898" s="154" t="s">
        <v>765</v>
      </c>
      <c r="K898" s="154" t="s">
        <v>765</v>
      </c>
      <c r="L898" s="154" t="s">
        <v>765</v>
      </c>
      <c r="M898" s="142" t="s">
        <v>765</v>
      </c>
      <c r="N898" s="135" t="s">
        <v>765</v>
      </c>
      <c r="O898" s="138" t="s">
        <v>765</v>
      </c>
      <c r="P898" s="105"/>
      <c r="Q898" s="137"/>
      <c r="R898" s="138"/>
      <c r="S898" s="105"/>
      <c r="T898" s="105"/>
      <c r="U898" s="105"/>
      <c r="V898" s="137"/>
      <c r="W898" s="138"/>
      <c r="X898" s="137"/>
      <c r="Y898" s="138"/>
      <c r="Z898" s="105">
        <v>20</v>
      </c>
      <c r="AA898" s="105"/>
      <c r="AB898" s="105"/>
      <c r="AC898" s="105"/>
      <c r="AD898" s="144">
        <v>43800</v>
      </c>
      <c r="AE898" s="108" t="s">
        <v>5502</v>
      </c>
      <c r="AU898" s="229"/>
      <c r="AV898" s="229"/>
      <c r="AW898" s="229"/>
      <c r="AX898" s="229"/>
      <c r="AY898" s="229"/>
      <c r="AZ898" s="229"/>
      <c r="BA898" s="229"/>
      <c r="BB898" s="229"/>
      <c r="BC898" s="229"/>
      <c r="BD898" s="229"/>
      <c r="BE898" s="229"/>
      <c r="BF898" s="229"/>
      <c r="BG898" s="229"/>
      <c r="BH898" s="229"/>
      <c r="BI898" s="229"/>
      <c r="BJ898" s="229"/>
      <c r="BK898" s="229"/>
      <c r="BL898" s="229"/>
      <c r="BM898" s="229"/>
      <c r="BN898" s="229"/>
      <c r="BO898" s="229"/>
      <c r="BP898" s="229"/>
      <c r="BQ898" s="229"/>
      <c r="BR898" s="229"/>
      <c r="BS898" s="229"/>
      <c r="BT898" s="229"/>
      <c r="BU898" s="229"/>
      <c r="BV898" s="229"/>
      <c r="BW898" s="229"/>
      <c r="BX898" s="229"/>
      <c r="BY898" s="229"/>
      <c r="BZ898" s="229"/>
      <c r="CA898" s="229"/>
      <c r="CB898" s="229"/>
      <c r="CC898" s="229"/>
      <c r="CD898" s="229"/>
      <c r="CE898" s="229"/>
      <c r="CF898" s="229"/>
      <c r="CG898" s="229"/>
      <c r="CH898" s="229"/>
      <c r="CI898" s="229"/>
      <c r="CJ898" s="229"/>
      <c r="CK898" s="229"/>
      <c r="CL898" s="229"/>
      <c r="CM898" s="229"/>
      <c r="CN898" s="229"/>
      <c r="CO898" s="229"/>
      <c r="CP898" s="229"/>
      <c r="CQ898" s="229"/>
      <c r="CR898" s="229"/>
      <c r="CS898" s="229"/>
      <c r="CT898" s="229"/>
      <c r="CU898" s="229"/>
      <c r="CV898" s="229"/>
      <c r="CW898" s="229"/>
      <c r="CX898" s="229"/>
      <c r="CY898" s="229"/>
      <c r="CZ898" s="229"/>
      <c r="DA898" s="229"/>
      <c r="DB898" s="229"/>
      <c r="DC898" s="229"/>
      <c r="DD898" s="229"/>
      <c r="DE898" s="229"/>
      <c r="DF898" s="229"/>
      <c r="DG898" s="229"/>
      <c r="DH898" s="229"/>
      <c r="DI898" s="229"/>
      <c r="DJ898" s="229"/>
      <c r="DK898" s="229"/>
      <c r="DL898" s="229"/>
      <c r="DM898" s="229"/>
      <c r="DN898" s="229"/>
      <c r="DO898" s="229"/>
      <c r="DP898" s="229"/>
      <c r="DQ898" s="229"/>
      <c r="DR898" s="229"/>
      <c r="DS898" s="229"/>
      <c r="DT898" s="229"/>
      <c r="DU898" s="229"/>
      <c r="DV898" s="229"/>
      <c r="DW898" s="229"/>
      <c r="DX898" s="229"/>
      <c r="DY898" s="229"/>
      <c r="DZ898" s="229"/>
      <c r="EA898" s="229"/>
      <c r="EB898" s="229"/>
      <c r="EC898" s="229"/>
      <c r="ED898" s="229"/>
      <c r="EE898" s="229"/>
      <c r="EF898" s="229"/>
      <c r="EG898" s="229"/>
      <c r="EH898" s="229"/>
      <c r="EI898" s="229"/>
      <c r="EJ898" s="229"/>
      <c r="EK898" s="229"/>
      <c r="EL898" s="229"/>
      <c r="EM898" s="229"/>
      <c r="EN898" s="229"/>
      <c r="EO898" s="229"/>
      <c r="EP898" s="229"/>
      <c r="EQ898" s="229"/>
      <c r="ER898" s="229"/>
      <c r="ES898" s="229"/>
      <c r="ET898" s="229"/>
      <c r="EU898" s="229"/>
      <c r="EV898" s="229"/>
      <c r="EW898" s="229"/>
      <c r="EX898" s="229"/>
      <c r="EY898" s="229"/>
      <c r="EZ898" s="229"/>
      <c r="FA898" s="229"/>
    </row>
    <row r="899" spans="1:157" s="65" customFormat="1" ht="27" customHeight="1" x14ac:dyDescent="0.15">
      <c r="A899" s="105">
        <v>1112900483</v>
      </c>
      <c r="B899" s="130" t="s">
        <v>5555</v>
      </c>
      <c r="C899" s="108" t="s">
        <v>5556</v>
      </c>
      <c r="D899" s="108" t="s">
        <v>85</v>
      </c>
      <c r="E899" s="108" t="s">
        <v>5557</v>
      </c>
      <c r="F899" s="131" t="s">
        <v>5558</v>
      </c>
      <c r="G899" s="132" t="s">
        <v>5559</v>
      </c>
      <c r="H899" s="132" t="s">
        <v>5560</v>
      </c>
      <c r="I899" s="133" t="s">
        <v>765</v>
      </c>
      <c r="J899" s="134" t="s">
        <v>765</v>
      </c>
      <c r="K899" s="135" t="s">
        <v>765</v>
      </c>
      <c r="L899" s="134" t="s">
        <v>765</v>
      </c>
      <c r="M899" s="134" t="s">
        <v>765</v>
      </c>
      <c r="N899" s="135" t="s">
        <v>765</v>
      </c>
      <c r="O899" s="136" t="s">
        <v>765</v>
      </c>
      <c r="P899" s="132"/>
      <c r="Q899" s="152"/>
      <c r="R899" s="136"/>
      <c r="S899" s="132"/>
      <c r="T899" s="105">
        <v>5</v>
      </c>
      <c r="U899" s="132"/>
      <c r="V899" s="152"/>
      <c r="W899" s="136"/>
      <c r="X899" s="152"/>
      <c r="Y899" s="136"/>
      <c r="Z899" s="132"/>
      <c r="AA899" s="132"/>
      <c r="AB899" s="132"/>
      <c r="AC899" s="132"/>
      <c r="AD899" s="155">
        <v>43862</v>
      </c>
      <c r="AE899" s="108" t="s">
        <v>5561</v>
      </c>
    </row>
    <row r="900" spans="1:157" s="65" customFormat="1" ht="27" customHeight="1" x14ac:dyDescent="0.15">
      <c r="A900" s="105">
        <v>1112900491</v>
      </c>
      <c r="B900" s="130" t="s">
        <v>5684</v>
      </c>
      <c r="C900" s="108" t="s">
        <v>5685</v>
      </c>
      <c r="D900" s="108" t="s">
        <v>85</v>
      </c>
      <c r="E900" s="108" t="s">
        <v>5686</v>
      </c>
      <c r="F900" s="131" t="s">
        <v>3113</v>
      </c>
      <c r="G900" s="132" t="s">
        <v>3114</v>
      </c>
      <c r="H900" s="132" t="s">
        <v>5687</v>
      </c>
      <c r="I900" s="133" t="s">
        <v>49</v>
      </c>
      <c r="J900" s="134"/>
      <c r="K900" s="134"/>
      <c r="L900" s="134"/>
      <c r="M900" s="134" t="s">
        <v>49</v>
      </c>
      <c r="N900" s="134"/>
      <c r="O900" s="134"/>
      <c r="P900" s="105"/>
      <c r="Q900" s="137"/>
      <c r="R900" s="138"/>
      <c r="S900" s="105"/>
      <c r="T900" s="105">
        <v>20</v>
      </c>
      <c r="U900" s="105"/>
      <c r="V900" s="137"/>
      <c r="W900" s="138"/>
      <c r="X900" s="137"/>
      <c r="Y900" s="138"/>
      <c r="Z900" s="105"/>
      <c r="AA900" s="105"/>
      <c r="AB900" s="105"/>
      <c r="AC900" s="105"/>
      <c r="AD900" s="118">
        <v>43922</v>
      </c>
      <c r="AE900" s="108" t="s">
        <v>5688</v>
      </c>
      <c r="AU900" s="229"/>
      <c r="AV900" s="229"/>
      <c r="AW900" s="229"/>
      <c r="AX900" s="229"/>
      <c r="AY900" s="229"/>
      <c r="AZ900" s="229"/>
      <c r="BA900" s="229"/>
      <c r="BB900" s="229"/>
      <c r="BC900" s="229"/>
      <c r="BD900" s="229"/>
      <c r="BE900" s="229"/>
      <c r="BF900" s="229"/>
      <c r="BG900" s="229"/>
      <c r="BH900" s="229"/>
      <c r="BI900" s="229"/>
      <c r="BJ900" s="229"/>
      <c r="BK900" s="229"/>
      <c r="BL900" s="229"/>
      <c r="BM900" s="229"/>
      <c r="BN900" s="229"/>
      <c r="BO900" s="229"/>
      <c r="BP900" s="229"/>
      <c r="BQ900" s="229"/>
      <c r="BR900" s="229"/>
      <c r="BS900" s="229"/>
      <c r="BT900" s="229"/>
      <c r="BU900" s="229"/>
      <c r="BV900" s="229"/>
      <c r="BW900" s="229"/>
      <c r="BX900" s="229"/>
      <c r="BY900" s="229"/>
      <c r="BZ900" s="229"/>
      <c r="CA900" s="229"/>
      <c r="CB900" s="229"/>
      <c r="CC900" s="229"/>
      <c r="CD900" s="229"/>
      <c r="CE900" s="229"/>
      <c r="CF900" s="229"/>
      <c r="CG900" s="229"/>
      <c r="CH900" s="229"/>
      <c r="CI900" s="229"/>
      <c r="CJ900" s="229"/>
      <c r="CK900" s="229"/>
      <c r="CL900" s="229"/>
      <c r="CM900" s="229"/>
      <c r="CN900" s="229"/>
      <c r="CO900" s="229"/>
      <c r="CP900" s="229"/>
      <c r="CQ900" s="229"/>
      <c r="CR900" s="229"/>
      <c r="CS900" s="229"/>
      <c r="CT900" s="229"/>
      <c r="CU900" s="229"/>
      <c r="CV900" s="229"/>
      <c r="CW900" s="229"/>
      <c r="CX900" s="229"/>
      <c r="CY900" s="229"/>
      <c r="CZ900" s="229"/>
      <c r="DA900" s="229"/>
      <c r="DB900" s="229"/>
      <c r="DC900" s="229"/>
      <c r="DD900" s="229"/>
      <c r="DE900" s="229"/>
      <c r="DF900" s="229"/>
      <c r="DG900" s="229"/>
      <c r="DH900" s="229"/>
      <c r="DI900" s="229"/>
      <c r="DJ900" s="229"/>
      <c r="DK900" s="229"/>
      <c r="DL900" s="229"/>
      <c r="DM900" s="229"/>
      <c r="DN900" s="229"/>
      <c r="DO900" s="229"/>
      <c r="DP900" s="229"/>
      <c r="DQ900" s="229"/>
      <c r="DR900" s="229"/>
      <c r="DS900" s="229"/>
      <c r="DT900" s="229"/>
      <c r="DU900" s="229"/>
      <c r="DV900" s="229"/>
      <c r="DW900" s="229"/>
      <c r="DX900" s="229"/>
      <c r="DY900" s="229"/>
      <c r="DZ900" s="229"/>
      <c r="EA900" s="229"/>
      <c r="EB900" s="229"/>
      <c r="EC900" s="229"/>
      <c r="ED900" s="229"/>
      <c r="EE900" s="229"/>
      <c r="EF900" s="229"/>
      <c r="EG900" s="229"/>
      <c r="EH900" s="229"/>
      <c r="EI900" s="229"/>
      <c r="EJ900" s="229"/>
      <c r="EK900" s="229"/>
      <c r="EL900" s="229"/>
      <c r="EM900" s="229"/>
      <c r="EN900" s="229"/>
      <c r="EO900" s="229"/>
      <c r="EP900" s="229"/>
      <c r="EQ900" s="229"/>
      <c r="ER900" s="229"/>
      <c r="ES900" s="229"/>
      <c r="ET900" s="229"/>
      <c r="EU900" s="229"/>
      <c r="EV900" s="229"/>
      <c r="EW900" s="229"/>
      <c r="EX900" s="229"/>
      <c r="EY900" s="229"/>
      <c r="EZ900" s="229"/>
      <c r="FA900" s="229"/>
    </row>
    <row r="901" spans="1:157" s="65" customFormat="1" ht="27" customHeight="1" x14ac:dyDescent="0.15">
      <c r="A901" s="105">
        <v>1112900509</v>
      </c>
      <c r="B901" s="130" t="s">
        <v>6241</v>
      </c>
      <c r="C901" s="108" t="s">
        <v>6242</v>
      </c>
      <c r="D901" s="108" t="s">
        <v>85</v>
      </c>
      <c r="E901" s="108" t="s">
        <v>6243</v>
      </c>
      <c r="F901" s="131">
        <v>3540025</v>
      </c>
      <c r="G901" s="132" t="s">
        <v>6244</v>
      </c>
      <c r="H901" s="132"/>
      <c r="I901" s="116"/>
      <c r="J901" s="154"/>
      <c r="K901" s="154"/>
      <c r="L901" s="154"/>
      <c r="M901" s="154" t="s">
        <v>49</v>
      </c>
      <c r="N901" s="154" t="s">
        <v>49</v>
      </c>
      <c r="O901" s="138"/>
      <c r="P901" s="105"/>
      <c r="Q901" s="137"/>
      <c r="R901" s="138"/>
      <c r="S901" s="105"/>
      <c r="T901" s="105"/>
      <c r="U901" s="105"/>
      <c r="V901" s="137"/>
      <c r="W901" s="138"/>
      <c r="X901" s="137"/>
      <c r="Y901" s="138"/>
      <c r="Z901" s="105"/>
      <c r="AA901" s="105">
        <v>20</v>
      </c>
      <c r="AB901" s="105"/>
      <c r="AC901" s="105"/>
      <c r="AD901" s="155">
        <v>44075</v>
      </c>
      <c r="AE901" s="108" t="s">
        <v>6245</v>
      </c>
    </row>
    <row r="902" spans="1:157" s="65" customFormat="1" ht="27" customHeight="1" x14ac:dyDescent="0.15">
      <c r="A902" s="105">
        <v>1112900525</v>
      </c>
      <c r="B902" s="130" t="s">
        <v>6390</v>
      </c>
      <c r="C902" s="108" t="s">
        <v>6391</v>
      </c>
      <c r="D902" s="108" t="s">
        <v>85</v>
      </c>
      <c r="E902" s="108" t="s">
        <v>6392</v>
      </c>
      <c r="F902" s="131" t="s">
        <v>6247</v>
      </c>
      <c r="G902" s="132" t="s">
        <v>6393</v>
      </c>
      <c r="H902" s="132" t="s">
        <v>6394</v>
      </c>
      <c r="I902" s="133"/>
      <c r="J902" s="134"/>
      <c r="K902" s="134"/>
      <c r="L902" s="134"/>
      <c r="M902" s="134" t="s">
        <v>49</v>
      </c>
      <c r="N902" s="134" t="s">
        <v>765</v>
      </c>
      <c r="O902" s="134"/>
      <c r="P902" s="105"/>
      <c r="Q902" s="137"/>
      <c r="R902" s="138"/>
      <c r="S902" s="105"/>
      <c r="T902" s="105">
        <v>20</v>
      </c>
      <c r="U902" s="105"/>
      <c r="V902" s="137"/>
      <c r="W902" s="138"/>
      <c r="X902" s="137"/>
      <c r="Y902" s="138"/>
      <c r="Z902" s="105"/>
      <c r="AA902" s="105"/>
      <c r="AB902" s="105"/>
      <c r="AC902" s="105"/>
      <c r="AD902" s="118">
        <v>44166</v>
      </c>
      <c r="AE902" s="108" t="s">
        <v>6395</v>
      </c>
    </row>
    <row r="903" spans="1:157" s="65" customFormat="1" ht="27" customHeight="1" x14ac:dyDescent="0.15">
      <c r="A903" s="105">
        <v>1112900590</v>
      </c>
      <c r="B903" s="106" t="s">
        <v>9046</v>
      </c>
      <c r="C903" s="107" t="s">
        <v>9047</v>
      </c>
      <c r="D903" s="108" t="s">
        <v>85</v>
      </c>
      <c r="E903" s="108" t="s">
        <v>9048</v>
      </c>
      <c r="F903" s="139" t="s">
        <v>7643</v>
      </c>
      <c r="G903" s="140" t="s">
        <v>9163</v>
      </c>
      <c r="H903" s="140" t="s">
        <v>9707</v>
      </c>
      <c r="I903" s="160"/>
      <c r="J903" s="142"/>
      <c r="K903" s="142"/>
      <c r="L903" s="142" t="s">
        <v>765</v>
      </c>
      <c r="M903" s="142" t="s">
        <v>765</v>
      </c>
      <c r="N903" s="143" t="s">
        <v>765</v>
      </c>
      <c r="O903" s="138" t="s">
        <v>49</v>
      </c>
      <c r="P903" s="105"/>
      <c r="Q903" s="137"/>
      <c r="R903" s="138"/>
      <c r="S903" s="105"/>
      <c r="T903" s="105"/>
      <c r="U903" s="105"/>
      <c r="V903" s="137"/>
      <c r="W903" s="138"/>
      <c r="X903" s="137"/>
      <c r="Y903" s="138"/>
      <c r="Z903" s="138">
        <v>20</v>
      </c>
      <c r="AA903" s="105"/>
      <c r="AB903" s="105"/>
      <c r="AC903" s="105"/>
      <c r="AD903" s="155">
        <v>45352</v>
      </c>
      <c r="AE903" s="108" t="s">
        <v>9049</v>
      </c>
    </row>
    <row r="904" spans="1:157" ht="27" customHeight="1" x14ac:dyDescent="0.15">
      <c r="A904" s="150">
        <v>1112900657</v>
      </c>
      <c r="B904" s="106" t="s">
        <v>12050</v>
      </c>
      <c r="C904" s="107" t="s">
        <v>11217</v>
      </c>
      <c r="D904" s="108" t="s">
        <v>85</v>
      </c>
      <c r="E904" s="108" t="s">
        <v>11218</v>
      </c>
      <c r="F904" s="139">
        <v>3540018</v>
      </c>
      <c r="G904" s="132" t="s">
        <v>11219</v>
      </c>
      <c r="H904" s="132" t="s">
        <v>11220</v>
      </c>
      <c r="I904" s="133"/>
      <c r="J904" s="134"/>
      <c r="K904" s="134"/>
      <c r="L904" s="134"/>
      <c r="M904" s="134" t="s">
        <v>10951</v>
      </c>
      <c r="N904" s="135" t="s">
        <v>10951</v>
      </c>
      <c r="O904" s="136"/>
      <c r="P904" s="105"/>
      <c r="Q904" s="152"/>
      <c r="R904" s="138"/>
      <c r="S904" s="105"/>
      <c r="T904" s="105"/>
      <c r="U904" s="105"/>
      <c r="V904" s="137"/>
      <c r="W904" s="138"/>
      <c r="X904" s="137"/>
      <c r="Y904" s="138"/>
      <c r="Z904" s="105"/>
      <c r="AA904" s="105">
        <v>20</v>
      </c>
      <c r="AB904" s="105"/>
      <c r="AC904" s="105"/>
      <c r="AD904" s="144">
        <v>46082</v>
      </c>
      <c r="AE904" s="108" t="s">
        <v>11221</v>
      </c>
    </row>
    <row r="905" spans="1:157" s="561" customFormat="1" ht="27" customHeight="1" x14ac:dyDescent="0.15">
      <c r="A905" s="569">
        <v>1112900665</v>
      </c>
      <c r="B905" s="544" t="s">
        <v>12288</v>
      </c>
      <c r="C905" s="545" t="s">
        <v>12289</v>
      </c>
      <c r="D905" s="545" t="s">
        <v>85</v>
      </c>
      <c r="E905" s="596" t="s">
        <v>12290</v>
      </c>
      <c r="F905" s="546" t="s">
        <v>12291</v>
      </c>
      <c r="G905" s="547" t="s">
        <v>12292</v>
      </c>
      <c r="H905" s="547" t="s">
        <v>12293</v>
      </c>
      <c r="I905" s="548"/>
      <c r="J905" s="549"/>
      <c r="K905" s="549"/>
      <c r="L905" s="549"/>
      <c r="M905" s="549" t="s">
        <v>765</v>
      </c>
      <c r="N905" s="550" t="s">
        <v>765</v>
      </c>
      <c r="O905" s="551"/>
      <c r="P905" s="569"/>
      <c r="Q905" s="582"/>
      <c r="R905" s="587"/>
      <c r="S905" s="569"/>
      <c r="T905" s="569"/>
      <c r="U905" s="569"/>
      <c r="V905" s="582"/>
      <c r="W905" s="587"/>
      <c r="X905" s="582"/>
      <c r="Y905" s="587"/>
      <c r="Z905" s="569"/>
      <c r="AA905" s="569">
        <v>20</v>
      </c>
      <c r="AB905" s="569"/>
      <c r="AC905" s="569"/>
      <c r="AD905" s="588">
        <v>46235</v>
      </c>
      <c r="AE905" s="545" t="s">
        <v>12294</v>
      </c>
    </row>
    <row r="906" spans="1:157" s="65" customFormat="1" ht="27" customHeight="1" x14ac:dyDescent="0.15">
      <c r="A906" s="105">
        <v>1113000051</v>
      </c>
      <c r="B906" s="130" t="s">
        <v>775</v>
      </c>
      <c r="C906" s="108" t="s">
        <v>580</v>
      </c>
      <c r="D906" s="108" t="s">
        <v>86</v>
      </c>
      <c r="E906" s="108" t="s">
        <v>161</v>
      </c>
      <c r="F906" s="131">
        <v>3560054</v>
      </c>
      <c r="G906" s="132" t="s">
        <v>676</v>
      </c>
      <c r="H906" s="132" t="s">
        <v>677</v>
      </c>
      <c r="I906" s="133"/>
      <c r="J906" s="134"/>
      <c r="K906" s="134"/>
      <c r="L906" s="134"/>
      <c r="M906" s="134" t="s">
        <v>49</v>
      </c>
      <c r="N906" s="135"/>
      <c r="O906" s="136"/>
      <c r="P906" s="132"/>
      <c r="Q906" s="152"/>
      <c r="R906" s="136"/>
      <c r="S906" s="132"/>
      <c r="T906" s="105">
        <v>12</v>
      </c>
      <c r="U906" s="132"/>
      <c r="V906" s="152"/>
      <c r="W906" s="136"/>
      <c r="X906" s="152"/>
      <c r="Y906" s="136"/>
      <c r="Z906" s="132"/>
      <c r="AA906" s="105">
        <v>15</v>
      </c>
      <c r="AB906" s="105"/>
      <c r="AC906" s="105"/>
      <c r="AD906" s="155">
        <v>39539</v>
      </c>
      <c r="AE906" s="108" t="s">
        <v>346</v>
      </c>
    </row>
    <row r="907" spans="1:157" s="65" customFormat="1" ht="27" customHeight="1" x14ac:dyDescent="0.15">
      <c r="A907" s="105">
        <v>1113000119</v>
      </c>
      <c r="B907" s="130" t="s">
        <v>775</v>
      </c>
      <c r="C907" s="108" t="s">
        <v>578</v>
      </c>
      <c r="D907" s="108" t="s">
        <v>86</v>
      </c>
      <c r="E907" s="108" t="s">
        <v>162</v>
      </c>
      <c r="F907" s="131">
        <v>3560028</v>
      </c>
      <c r="G907" s="132" t="s">
        <v>678</v>
      </c>
      <c r="H907" s="132" t="s">
        <v>5879</v>
      </c>
      <c r="I907" s="133"/>
      <c r="J907" s="134"/>
      <c r="K907" s="134"/>
      <c r="L907" s="134"/>
      <c r="M907" s="134" t="s">
        <v>49</v>
      </c>
      <c r="N907" s="135"/>
      <c r="O907" s="136"/>
      <c r="P907" s="132"/>
      <c r="Q907" s="152"/>
      <c r="R907" s="136"/>
      <c r="S907" s="132"/>
      <c r="T907" s="132">
        <v>10</v>
      </c>
      <c r="U907" s="132"/>
      <c r="V907" s="152"/>
      <c r="W907" s="136"/>
      <c r="X907" s="152"/>
      <c r="Y907" s="136"/>
      <c r="Z907" s="132"/>
      <c r="AA907" s="105">
        <v>10</v>
      </c>
      <c r="AB907" s="105"/>
      <c r="AC907" s="105"/>
      <c r="AD907" s="155">
        <v>39539</v>
      </c>
      <c r="AE907" s="108" t="s">
        <v>476</v>
      </c>
    </row>
    <row r="908" spans="1:157" s="65" customFormat="1" ht="27" customHeight="1" x14ac:dyDescent="0.15">
      <c r="A908" s="105">
        <v>1113000168</v>
      </c>
      <c r="B908" s="130" t="s">
        <v>1427</v>
      </c>
      <c r="C908" s="108" t="s">
        <v>1380</v>
      </c>
      <c r="D908" s="108" t="s">
        <v>86</v>
      </c>
      <c r="E908" s="108" t="s">
        <v>1381</v>
      </c>
      <c r="F908" s="131">
        <v>3560054</v>
      </c>
      <c r="G908" s="132" t="s">
        <v>1382</v>
      </c>
      <c r="H908" s="132" t="s">
        <v>1383</v>
      </c>
      <c r="I908" s="133" t="s">
        <v>49</v>
      </c>
      <c r="J908" s="134"/>
      <c r="K908" s="134"/>
      <c r="L908" s="134" t="s">
        <v>49</v>
      </c>
      <c r="M908" s="134" t="s">
        <v>49</v>
      </c>
      <c r="N908" s="135" t="s">
        <v>49</v>
      </c>
      <c r="O908" s="136" t="s">
        <v>49</v>
      </c>
      <c r="P908" s="132"/>
      <c r="Q908" s="152"/>
      <c r="R908" s="136"/>
      <c r="S908" s="132"/>
      <c r="T908" s="132">
        <v>10</v>
      </c>
      <c r="U908" s="132"/>
      <c r="V908" s="152"/>
      <c r="W908" s="136"/>
      <c r="X908" s="152"/>
      <c r="Y908" s="136"/>
      <c r="Z908" s="132"/>
      <c r="AA908" s="105">
        <v>28</v>
      </c>
      <c r="AB908" s="105"/>
      <c r="AC908" s="105"/>
      <c r="AD908" s="155">
        <v>40634</v>
      </c>
      <c r="AE908" s="108" t="s">
        <v>1396</v>
      </c>
    </row>
    <row r="909" spans="1:157" ht="27" customHeight="1" x14ac:dyDescent="0.15">
      <c r="A909" s="105">
        <v>1113000168</v>
      </c>
      <c r="B909" s="130" t="s">
        <v>1427</v>
      </c>
      <c r="C909" s="108" t="s">
        <v>1380</v>
      </c>
      <c r="D909" s="108" t="s">
        <v>86</v>
      </c>
      <c r="E909" s="108" t="s">
        <v>1381</v>
      </c>
      <c r="F909" s="131">
        <v>3560054</v>
      </c>
      <c r="G909" s="132" t="s">
        <v>4792</v>
      </c>
      <c r="H909" s="132" t="s">
        <v>4793</v>
      </c>
      <c r="I909" s="133" t="s">
        <v>4794</v>
      </c>
      <c r="J909" s="134"/>
      <c r="K909" s="134"/>
      <c r="L909" s="134" t="s">
        <v>4794</v>
      </c>
      <c r="M909" s="134" t="s">
        <v>4794</v>
      </c>
      <c r="N909" s="135" t="s">
        <v>4794</v>
      </c>
      <c r="O909" s="136" t="s">
        <v>4794</v>
      </c>
      <c r="P909" s="132"/>
      <c r="Q909" s="152"/>
      <c r="R909" s="136"/>
      <c r="S909" s="132"/>
      <c r="T909" s="132"/>
      <c r="U909" s="132"/>
      <c r="V909" s="152"/>
      <c r="W909" s="136"/>
      <c r="X909" s="152"/>
      <c r="Y909" s="136"/>
      <c r="Z909" s="132"/>
      <c r="AA909" s="105"/>
      <c r="AB909" s="105" t="s">
        <v>4794</v>
      </c>
      <c r="AC909" s="105"/>
      <c r="AD909" s="144">
        <v>43405</v>
      </c>
      <c r="AE909" s="108" t="s">
        <v>1396</v>
      </c>
    </row>
    <row r="910" spans="1:157" ht="27" customHeight="1" x14ac:dyDescent="0.15">
      <c r="A910" s="105">
        <v>1113000184</v>
      </c>
      <c r="B910" s="130" t="s">
        <v>1785</v>
      </c>
      <c r="C910" s="108" t="s">
        <v>1786</v>
      </c>
      <c r="D910" s="108" t="s">
        <v>86</v>
      </c>
      <c r="E910" s="108" t="s">
        <v>1787</v>
      </c>
      <c r="F910" s="131">
        <v>3560058</v>
      </c>
      <c r="G910" s="132" t="s">
        <v>1788</v>
      </c>
      <c r="H910" s="132" t="s">
        <v>1789</v>
      </c>
      <c r="I910" s="133"/>
      <c r="J910" s="134"/>
      <c r="K910" s="134"/>
      <c r="L910" s="134"/>
      <c r="M910" s="134" t="s">
        <v>49</v>
      </c>
      <c r="N910" s="135"/>
      <c r="O910" s="136"/>
      <c r="P910" s="132"/>
      <c r="Q910" s="152"/>
      <c r="R910" s="136"/>
      <c r="S910" s="132"/>
      <c r="T910" s="132">
        <v>20</v>
      </c>
      <c r="U910" s="132"/>
      <c r="V910" s="152"/>
      <c r="W910" s="136"/>
      <c r="X910" s="152"/>
      <c r="Y910" s="136"/>
      <c r="Z910" s="132"/>
      <c r="AA910" s="105"/>
      <c r="AB910" s="105"/>
      <c r="AC910" s="105"/>
      <c r="AD910" s="155">
        <v>41000</v>
      </c>
      <c r="AE910" s="108" t="s">
        <v>1790</v>
      </c>
    </row>
    <row r="911" spans="1:157" ht="27" customHeight="1" x14ac:dyDescent="0.15">
      <c r="A911" s="105">
        <v>1113000317</v>
      </c>
      <c r="B911" s="130" t="s">
        <v>2772</v>
      </c>
      <c r="C911" s="108" t="s">
        <v>2773</v>
      </c>
      <c r="D911" s="108" t="s">
        <v>86</v>
      </c>
      <c r="E911" s="108" t="s">
        <v>2774</v>
      </c>
      <c r="F911" s="131" t="s">
        <v>4434</v>
      </c>
      <c r="G911" s="132" t="s">
        <v>4435</v>
      </c>
      <c r="H911" s="132" t="s">
        <v>4435</v>
      </c>
      <c r="I911" s="133" t="s">
        <v>49</v>
      </c>
      <c r="J911" s="134"/>
      <c r="K911" s="134"/>
      <c r="L911" s="134"/>
      <c r="M911" s="134" t="s">
        <v>49</v>
      </c>
      <c r="N911" s="135"/>
      <c r="O911" s="136"/>
      <c r="P911" s="105"/>
      <c r="Q911" s="137"/>
      <c r="R911" s="138"/>
      <c r="S911" s="105"/>
      <c r="T911" s="105"/>
      <c r="U911" s="105"/>
      <c r="V911" s="116"/>
      <c r="W911" s="117"/>
      <c r="X911" s="137"/>
      <c r="Y911" s="138"/>
      <c r="Z911" s="105"/>
      <c r="AA911" s="105">
        <v>20</v>
      </c>
      <c r="AB911" s="105"/>
      <c r="AC911" s="105"/>
      <c r="AD911" s="118">
        <v>42005</v>
      </c>
      <c r="AE911" s="108" t="s">
        <v>2775</v>
      </c>
    </row>
    <row r="912" spans="1:157" s="65" customFormat="1" ht="27" customHeight="1" x14ac:dyDescent="0.15">
      <c r="A912" s="105">
        <v>1113000374</v>
      </c>
      <c r="B912" s="130" t="s">
        <v>3658</v>
      </c>
      <c r="C912" s="108" t="s">
        <v>3659</v>
      </c>
      <c r="D912" s="108" t="s">
        <v>86</v>
      </c>
      <c r="E912" s="108" t="s">
        <v>3660</v>
      </c>
      <c r="F912" s="131" t="s">
        <v>3661</v>
      </c>
      <c r="G912" s="132" t="s">
        <v>3662</v>
      </c>
      <c r="H912" s="132" t="s">
        <v>3663</v>
      </c>
      <c r="I912" s="133"/>
      <c r="J912" s="134"/>
      <c r="K912" s="134"/>
      <c r="L912" s="134"/>
      <c r="M912" s="134"/>
      <c r="N912" s="135" t="s">
        <v>49</v>
      </c>
      <c r="O912" s="136"/>
      <c r="P912" s="105"/>
      <c r="Q912" s="137"/>
      <c r="R912" s="138"/>
      <c r="S912" s="105"/>
      <c r="T912" s="105"/>
      <c r="U912" s="105"/>
      <c r="V912" s="116"/>
      <c r="W912" s="117"/>
      <c r="X912" s="137"/>
      <c r="Y912" s="138"/>
      <c r="Z912" s="105"/>
      <c r="AA912" s="105">
        <v>30</v>
      </c>
      <c r="AB912" s="105"/>
      <c r="AC912" s="105"/>
      <c r="AD912" s="118">
        <v>42736</v>
      </c>
      <c r="AE912" s="108" t="s">
        <v>3669</v>
      </c>
    </row>
    <row r="913" spans="1:31" s="65" customFormat="1" ht="27" customHeight="1" x14ac:dyDescent="0.15">
      <c r="A913" s="105">
        <v>1113000408</v>
      </c>
      <c r="B913" s="130" t="s">
        <v>4283</v>
      </c>
      <c r="C913" s="107" t="s">
        <v>4284</v>
      </c>
      <c r="D913" s="108" t="s">
        <v>86</v>
      </c>
      <c r="E913" s="108" t="s">
        <v>4285</v>
      </c>
      <c r="F913" s="139" t="s">
        <v>4286</v>
      </c>
      <c r="G913" s="140" t="s">
        <v>4287</v>
      </c>
      <c r="H913" s="140" t="s">
        <v>4287</v>
      </c>
      <c r="I913" s="141"/>
      <c r="J913" s="142"/>
      <c r="K913" s="142"/>
      <c r="L913" s="142"/>
      <c r="M913" s="142" t="s">
        <v>4282</v>
      </c>
      <c r="N913" s="143" t="s">
        <v>4282</v>
      </c>
      <c r="O913" s="138"/>
      <c r="P913" s="105"/>
      <c r="Q913" s="137"/>
      <c r="R913" s="138"/>
      <c r="S913" s="105"/>
      <c r="T913" s="105"/>
      <c r="U913" s="105"/>
      <c r="V913" s="137"/>
      <c r="W913" s="138"/>
      <c r="X913" s="137"/>
      <c r="Y913" s="138"/>
      <c r="Z913" s="105"/>
      <c r="AA913" s="105">
        <v>14</v>
      </c>
      <c r="AB913" s="105"/>
      <c r="AC913" s="105"/>
      <c r="AD913" s="144">
        <v>43191</v>
      </c>
      <c r="AE913" s="108" t="s">
        <v>4288</v>
      </c>
    </row>
    <row r="914" spans="1:31" s="65" customFormat="1" ht="27" customHeight="1" x14ac:dyDescent="0.15">
      <c r="A914" s="105">
        <v>1113000416</v>
      </c>
      <c r="B914" s="130" t="s">
        <v>4841</v>
      </c>
      <c r="C914" s="108" t="s">
        <v>4842</v>
      </c>
      <c r="D914" s="108" t="s">
        <v>86</v>
      </c>
      <c r="E914" s="108" t="s">
        <v>4843</v>
      </c>
      <c r="F914" s="131" t="s">
        <v>4844</v>
      </c>
      <c r="G914" s="132" t="s">
        <v>4845</v>
      </c>
      <c r="H914" s="132" t="s">
        <v>4846</v>
      </c>
      <c r="I914" s="133"/>
      <c r="J914" s="134" t="s">
        <v>4847</v>
      </c>
      <c r="K914" s="134" t="s">
        <v>4847</v>
      </c>
      <c r="L914" s="134" t="s">
        <v>4847</v>
      </c>
      <c r="M914" s="134" t="s">
        <v>4847</v>
      </c>
      <c r="N914" s="134" t="s">
        <v>4847</v>
      </c>
      <c r="O914" s="134" t="s">
        <v>4847</v>
      </c>
      <c r="P914" s="105"/>
      <c r="Q914" s="137"/>
      <c r="R914" s="138"/>
      <c r="S914" s="105"/>
      <c r="T914" s="105"/>
      <c r="U914" s="105"/>
      <c r="V914" s="137"/>
      <c r="W914" s="138"/>
      <c r="X914" s="137">
        <v>20</v>
      </c>
      <c r="Y914" s="138"/>
      <c r="Z914" s="105"/>
      <c r="AA914" s="105"/>
      <c r="AB914" s="105"/>
      <c r="AC914" s="105"/>
      <c r="AD914" s="118">
        <v>43466</v>
      </c>
      <c r="AE914" s="108" t="s">
        <v>4848</v>
      </c>
    </row>
    <row r="915" spans="1:31" s="65" customFormat="1" ht="27" customHeight="1" x14ac:dyDescent="0.15">
      <c r="A915" s="105">
        <v>1113000416</v>
      </c>
      <c r="B915" s="130" t="s">
        <v>4841</v>
      </c>
      <c r="C915" s="108" t="s">
        <v>4842</v>
      </c>
      <c r="D915" s="108" t="s">
        <v>86</v>
      </c>
      <c r="E915" s="108" t="s">
        <v>4843</v>
      </c>
      <c r="F915" s="131" t="s">
        <v>4434</v>
      </c>
      <c r="G915" s="132" t="s">
        <v>4845</v>
      </c>
      <c r="H915" s="132" t="s">
        <v>4846</v>
      </c>
      <c r="I915" s="133" t="s">
        <v>765</v>
      </c>
      <c r="J915" s="134"/>
      <c r="K915" s="134" t="s">
        <v>49</v>
      </c>
      <c r="L915" s="134" t="s">
        <v>49</v>
      </c>
      <c r="M915" s="134" t="s">
        <v>49</v>
      </c>
      <c r="N915" s="134" t="s">
        <v>49</v>
      </c>
      <c r="O915" s="134" t="s">
        <v>49</v>
      </c>
      <c r="P915" s="105"/>
      <c r="Q915" s="137"/>
      <c r="R915" s="138"/>
      <c r="S915" s="105"/>
      <c r="T915" s="105"/>
      <c r="U915" s="105"/>
      <c r="V915" s="137"/>
      <c r="W915" s="138"/>
      <c r="X915" s="137"/>
      <c r="Y915" s="138"/>
      <c r="Z915" s="105"/>
      <c r="AA915" s="105"/>
      <c r="AB915" s="105" t="s">
        <v>49</v>
      </c>
      <c r="AC915" s="105"/>
      <c r="AD915" s="132" t="s">
        <v>10363</v>
      </c>
      <c r="AE915" s="108" t="s">
        <v>4848</v>
      </c>
    </row>
    <row r="916" spans="1:31" ht="27" customHeight="1" x14ac:dyDescent="0.15">
      <c r="A916" s="150">
        <v>1113000440</v>
      </c>
      <c r="B916" s="130" t="s">
        <v>12270</v>
      </c>
      <c r="C916" s="107" t="s">
        <v>5406</v>
      </c>
      <c r="D916" s="108" t="s">
        <v>86</v>
      </c>
      <c r="E916" s="108" t="s">
        <v>5407</v>
      </c>
      <c r="F916" s="139" t="s">
        <v>5408</v>
      </c>
      <c r="G916" s="152" t="s">
        <v>5409</v>
      </c>
      <c r="H916" s="132" t="s">
        <v>5410</v>
      </c>
      <c r="I916" s="160"/>
      <c r="J916" s="142"/>
      <c r="K916" s="142"/>
      <c r="L916" s="142"/>
      <c r="M916" s="142" t="s">
        <v>49</v>
      </c>
      <c r="N916" s="142" t="s">
        <v>49</v>
      </c>
      <c r="O916" s="154"/>
      <c r="P916" s="105"/>
      <c r="Q916" s="137"/>
      <c r="R916" s="138"/>
      <c r="S916" s="105"/>
      <c r="T916" s="105"/>
      <c r="U916" s="105"/>
      <c r="V916" s="137"/>
      <c r="W916" s="138"/>
      <c r="X916" s="137"/>
      <c r="Y916" s="138"/>
      <c r="Z916" s="105"/>
      <c r="AA916" s="105">
        <v>20</v>
      </c>
      <c r="AB916" s="105"/>
      <c r="AC916" s="105"/>
      <c r="AD916" s="144">
        <v>43770</v>
      </c>
      <c r="AE916" s="108" t="s">
        <v>5412</v>
      </c>
    </row>
    <row r="917" spans="1:31" s="65" customFormat="1" ht="27" customHeight="1" x14ac:dyDescent="0.15">
      <c r="A917" s="132">
        <v>1113000481</v>
      </c>
      <c r="B917" s="130" t="s">
        <v>7765</v>
      </c>
      <c r="C917" s="108" t="s">
        <v>5677</v>
      </c>
      <c r="D917" s="108" t="s">
        <v>5678</v>
      </c>
      <c r="E917" s="108" t="s">
        <v>5679</v>
      </c>
      <c r="F917" s="131" t="s">
        <v>5680</v>
      </c>
      <c r="G917" s="132" t="s">
        <v>5681</v>
      </c>
      <c r="H917" s="132" t="s">
        <v>5682</v>
      </c>
      <c r="I917" s="133"/>
      <c r="J917" s="134"/>
      <c r="K917" s="134"/>
      <c r="L917" s="134"/>
      <c r="M917" s="134" t="s">
        <v>49</v>
      </c>
      <c r="N917" s="135" t="s">
        <v>49</v>
      </c>
      <c r="O917" s="136" t="s">
        <v>765</v>
      </c>
      <c r="P917" s="105"/>
      <c r="Q917" s="152"/>
      <c r="R917" s="138"/>
      <c r="S917" s="132"/>
      <c r="T917" s="105"/>
      <c r="U917" s="132"/>
      <c r="V917" s="137">
        <v>20</v>
      </c>
      <c r="W917" s="138"/>
      <c r="X917" s="152"/>
      <c r="Y917" s="136"/>
      <c r="Z917" s="132"/>
      <c r="AA917" s="132"/>
      <c r="AB917" s="132"/>
      <c r="AC917" s="132"/>
      <c r="AD917" s="118">
        <v>43922</v>
      </c>
      <c r="AE917" s="108" t="s">
        <v>5683</v>
      </c>
    </row>
    <row r="918" spans="1:31" ht="27" customHeight="1" x14ac:dyDescent="0.15">
      <c r="A918" s="105">
        <v>1113000523</v>
      </c>
      <c r="B918" s="130" t="s">
        <v>7324</v>
      </c>
      <c r="C918" s="108" t="s">
        <v>7325</v>
      </c>
      <c r="D918" s="108" t="s">
        <v>5678</v>
      </c>
      <c r="E918" s="108" t="s">
        <v>7326</v>
      </c>
      <c r="F918" s="131" t="s">
        <v>7327</v>
      </c>
      <c r="G918" s="132" t="s">
        <v>7328</v>
      </c>
      <c r="H918" s="132"/>
      <c r="I918" s="133" t="s">
        <v>49</v>
      </c>
      <c r="J918" s="134" t="s">
        <v>765</v>
      </c>
      <c r="K918" s="134" t="s">
        <v>765</v>
      </c>
      <c r="L918" s="134" t="s">
        <v>765</v>
      </c>
      <c r="M918" s="134" t="s">
        <v>765</v>
      </c>
      <c r="N918" s="134" t="s">
        <v>765</v>
      </c>
      <c r="O918" s="134" t="s">
        <v>765</v>
      </c>
      <c r="P918" s="105"/>
      <c r="Q918" s="137"/>
      <c r="R918" s="138"/>
      <c r="S918" s="105"/>
      <c r="T918" s="105"/>
      <c r="U918" s="105"/>
      <c r="V918" s="116"/>
      <c r="W918" s="117"/>
      <c r="X918" s="116"/>
      <c r="Y918" s="138"/>
      <c r="Z918" s="105"/>
      <c r="AA918" s="105">
        <v>20</v>
      </c>
      <c r="AB918" s="105"/>
      <c r="AC918" s="105"/>
      <c r="AD918" s="144">
        <v>44652</v>
      </c>
      <c r="AE918" s="108" t="s">
        <v>7329</v>
      </c>
    </row>
    <row r="919" spans="1:31" s="65" customFormat="1" ht="27" customHeight="1" x14ac:dyDescent="0.15">
      <c r="A919" s="105">
        <v>1113000564</v>
      </c>
      <c r="B919" s="157" t="s">
        <v>8531</v>
      </c>
      <c r="C919" s="157" t="s">
        <v>8532</v>
      </c>
      <c r="D919" s="108" t="s">
        <v>86</v>
      </c>
      <c r="E919" s="108" t="s">
        <v>8533</v>
      </c>
      <c r="F919" s="264" t="s">
        <v>8534</v>
      </c>
      <c r="G919" s="108" t="s">
        <v>8535</v>
      </c>
      <c r="H919" s="157" t="s">
        <v>8536</v>
      </c>
      <c r="I919" s="160"/>
      <c r="J919" s="142"/>
      <c r="K919" s="142"/>
      <c r="L919" s="142"/>
      <c r="M919" s="142" t="s">
        <v>765</v>
      </c>
      <c r="N919" s="143" t="s">
        <v>765</v>
      </c>
      <c r="O919" s="138"/>
      <c r="P919" s="105"/>
      <c r="Q919" s="116"/>
      <c r="R919" s="117"/>
      <c r="S919" s="105"/>
      <c r="T919" s="105"/>
      <c r="U919" s="105"/>
      <c r="V919" s="137"/>
      <c r="W919" s="138"/>
      <c r="X919" s="116"/>
      <c r="Y919" s="117"/>
      <c r="Z919" s="105">
        <v>15</v>
      </c>
      <c r="AA919" s="105"/>
      <c r="AB919" s="105"/>
      <c r="AC919" s="105"/>
      <c r="AD919" s="144">
        <v>45139</v>
      </c>
      <c r="AE919" s="157" t="s">
        <v>8537</v>
      </c>
    </row>
    <row r="920" spans="1:31" ht="27" customHeight="1" x14ac:dyDescent="0.15">
      <c r="A920" s="105">
        <v>1113000614</v>
      </c>
      <c r="B920" s="130" t="s">
        <v>6390</v>
      </c>
      <c r="C920" s="108" t="s">
        <v>10186</v>
      </c>
      <c r="D920" s="108" t="s">
        <v>86</v>
      </c>
      <c r="E920" s="108" t="s">
        <v>10187</v>
      </c>
      <c r="F920" s="131" t="s">
        <v>10188</v>
      </c>
      <c r="G920" s="132" t="s">
        <v>10189</v>
      </c>
      <c r="H920" s="132" t="s">
        <v>10190</v>
      </c>
      <c r="I920" s="133"/>
      <c r="J920" s="134"/>
      <c r="K920" s="134"/>
      <c r="L920" s="134"/>
      <c r="M920" s="134" t="s">
        <v>49</v>
      </c>
      <c r="N920" s="134" t="s">
        <v>765</v>
      </c>
      <c r="O920" s="134"/>
      <c r="P920" s="105"/>
      <c r="Q920" s="137"/>
      <c r="R920" s="138"/>
      <c r="S920" s="105"/>
      <c r="T920" s="105">
        <v>20</v>
      </c>
      <c r="U920" s="105"/>
      <c r="V920" s="137"/>
      <c r="W920" s="138"/>
      <c r="X920" s="137"/>
      <c r="Y920" s="138"/>
      <c r="Z920" s="105"/>
      <c r="AA920" s="105"/>
      <c r="AB920" s="105"/>
      <c r="AC920" s="105"/>
      <c r="AD920" s="118">
        <v>45778</v>
      </c>
      <c r="AE920" s="108" t="s">
        <v>10191</v>
      </c>
    </row>
    <row r="921" spans="1:31" s="65" customFormat="1" ht="27" customHeight="1" x14ac:dyDescent="0.15">
      <c r="A921" s="105">
        <v>1113000630</v>
      </c>
      <c r="B921" s="130" t="s">
        <v>11950</v>
      </c>
      <c r="C921" s="108" t="s">
        <v>10322</v>
      </c>
      <c r="D921" s="108" t="s">
        <v>86</v>
      </c>
      <c r="E921" s="108" t="s">
        <v>10323</v>
      </c>
      <c r="F921" s="131" t="s">
        <v>4434</v>
      </c>
      <c r="G921" s="132" t="s">
        <v>10324</v>
      </c>
      <c r="H921" s="132"/>
      <c r="I921" s="133"/>
      <c r="J921" s="134"/>
      <c r="K921" s="134"/>
      <c r="L921" s="134"/>
      <c r="M921" s="134" t="s">
        <v>765</v>
      </c>
      <c r="N921" s="135" t="s">
        <v>49</v>
      </c>
      <c r="O921" s="135" t="s">
        <v>49</v>
      </c>
      <c r="P921" s="105"/>
      <c r="Q921" s="137"/>
      <c r="R921" s="138"/>
      <c r="S921" s="105"/>
      <c r="T921" s="105"/>
      <c r="U921" s="105"/>
      <c r="V921" s="116"/>
      <c r="W921" s="117"/>
      <c r="X921" s="116"/>
      <c r="Y921" s="138"/>
      <c r="Z921" s="105"/>
      <c r="AA921" s="105">
        <v>20</v>
      </c>
      <c r="AB921" s="105"/>
      <c r="AC921" s="105"/>
      <c r="AD921" s="118">
        <v>45809</v>
      </c>
      <c r="AE921" s="108" t="s">
        <v>10325</v>
      </c>
    </row>
    <row r="922" spans="1:31" s="65" customFormat="1" ht="27" customHeight="1" x14ac:dyDescent="0.15">
      <c r="A922" s="175">
        <v>1113000648</v>
      </c>
      <c r="B922" s="162" t="s">
        <v>774</v>
      </c>
      <c r="C922" s="162" t="s">
        <v>10880</v>
      </c>
      <c r="D922" s="162" t="s">
        <v>5678</v>
      </c>
      <c r="E922" s="162" t="s">
        <v>10881</v>
      </c>
      <c r="F922" s="309" t="s">
        <v>10882</v>
      </c>
      <c r="G922" s="175" t="s">
        <v>10883</v>
      </c>
      <c r="H922" s="175" t="s">
        <v>10884</v>
      </c>
      <c r="I922" s="221" t="s">
        <v>765</v>
      </c>
      <c r="J922" s="222" t="s">
        <v>765</v>
      </c>
      <c r="K922" s="222" t="s">
        <v>765</v>
      </c>
      <c r="L922" s="222" t="s">
        <v>765</v>
      </c>
      <c r="M922" s="222" t="s">
        <v>765</v>
      </c>
      <c r="N922" s="208" t="s">
        <v>765</v>
      </c>
      <c r="O922" s="210"/>
      <c r="P922" s="175"/>
      <c r="Q922" s="209"/>
      <c r="R922" s="210"/>
      <c r="S922" s="175"/>
      <c r="T922" s="175">
        <v>20</v>
      </c>
      <c r="U922" s="175"/>
      <c r="V922" s="209"/>
      <c r="W922" s="210"/>
      <c r="X922" s="209"/>
      <c r="Y922" s="210"/>
      <c r="Z922" s="175"/>
      <c r="AA922" s="175"/>
      <c r="AB922" s="175"/>
      <c r="AC922" s="175"/>
      <c r="AD922" s="211">
        <v>45962</v>
      </c>
      <c r="AE922" s="308" t="s">
        <v>10885</v>
      </c>
    </row>
    <row r="923" spans="1:31" s="65" customFormat="1" ht="27" customHeight="1" x14ac:dyDescent="0.15">
      <c r="A923" s="105">
        <v>1113000663</v>
      </c>
      <c r="B923" s="106" t="s">
        <v>11799</v>
      </c>
      <c r="C923" s="107" t="s">
        <v>11222</v>
      </c>
      <c r="D923" s="108" t="s">
        <v>5678</v>
      </c>
      <c r="E923" s="108" t="s">
        <v>11223</v>
      </c>
      <c r="F923" s="139" t="s">
        <v>11224</v>
      </c>
      <c r="G923" s="140" t="s">
        <v>11386</v>
      </c>
      <c r="H923" s="140" t="s">
        <v>11387</v>
      </c>
      <c r="I923" s="141"/>
      <c r="J923" s="142"/>
      <c r="K923" s="142"/>
      <c r="L923" s="142"/>
      <c r="M923" s="142" t="s">
        <v>10951</v>
      </c>
      <c r="N923" s="143" t="s">
        <v>11225</v>
      </c>
      <c r="O923" s="138"/>
      <c r="P923" s="105"/>
      <c r="Q923" s="137"/>
      <c r="R923" s="138"/>
      <c r="S923" s="105"/>
      <c r="T923" s="105"/>
      <c r="U923" s="105"/>
      <c r="V923" s="137"/>
      <c r="W923" s="138"/>
      <c r="X923" s="137"/>
      <c r="Y923" s="138"/>
      <c r="Z923" s="105">
        <v>20</v>
      </c>
      <c r="AA923" s="105"/>
      <c r="AB923" s="105"/>
      <c r="AC923" s="105"/>
      <c r="AD923" s="144">
        <v>46082</v>
      </c>
      <c r="AE923" s="108" t="s">
        <v>11226</v>
      </c>
    </row>
    <row r="924" spans="1:31" ht="27" customHeight="1" x14ac:dyDescent="0.15">
      <c r="A924" s="105">
        <v>1113000671</v>
      </c>
      <c r="B924" s="130" t="s">
        <v>11373</v>
      </c>
      <c r="C924" s="108" t="s">
        <v>11374</v>
      </c>
      <c r="D924" s="108" t="s">
        <v>5678</v>
      </c>
      <c r="E924" s="108" t="s">
        <v>11375</v>
      </c>
      <c r="F924" s="131" t="s">
        <v>11376</v>
      </c>
      <c r="G924" s="132" t="s">
        <v>11377</v>
      </c>
      <c r="H924" s="132" t="s">
        <v>11378</v>
      </c>
      <c r="I924" s="133" t="s">
        <v>765</v>
      </c>
      <c r="J924" s="134" t="s">
        <v>765</v>
      </c>
      <c r="K924" s="134" t="s">
        <v>765</v>
      </c>
      <c r="L924" s="134" t="s">
        <v>765</v>
      </c>
      <c r="M924" s="134" t="s">
        <v>765</v>
      </c>
      <c r="N924" s="135" t="s">
        <v>765</v>
      </c>
      <c r="O924" s="136" t="s">
        <v>765</v>
      </c>
      <c r="P924" s="105"/>
      <c r="Q924" s="137"/>
      <c r="R924" s="138"/>
      <c r="S924" s="105"/>
      <c r="T924" s="105">
        <v>20</v>
      </c>
      <c r="U924" s="105"/>
      <c r="V924" s="137"/>
      <c r="W924" s="138"/>
      <c r="X924" s="269"/>
      <c r="Y924" s="138"/>
      <c r="Z924" s="105"/>
      <c r="AA924" s="105"/>
      <c r="AB924" s="105"/>
      <c r="AC924" s="105"/>
      <c r="AD924" s="118">
        <v>46113</v>
      </c>
      <c r="AE924" s="108" t="s">
        <v>11379</v>
      </c>
    </row>
    <row r="925" spans="1:31" s="65" customFormat="1" ht="27" customHeight="1" x14ac:dyDescent="0.15">
      <c r="A925" s="105">
        <v>1113100125</v>
      </c>
      <c r="B925" s="130" t="s">
        <v>1105</v>
      </c>
      <c r="C925" s="107" t="s">
        <v>1104</v>
      </c>
      <c r="D925" s="108" t="s">
        <v>1106</v>
      </c>
      <c r="E925" s="108" t="s">
        <v>1108</v>
      </c>
      <c r="F925" s="151">
        <v>3600125</v>
      </c>
      <c r="G925" s="132" t="s">
        <v>1109</v>
      </c>
      <c r="H925" s="132" t="s">
        <v>1110</v>
      </c>
      <c r="I925" s="133"/>
      <c r="J925" s="134"/>
      <c r="K925" s="134"/>
      <c r="L925" s="134"/>
      <c r="M925" s="134" t="s">
        <v>49</v>
      </c>
      <c r="N925" s="135"/>
      <c r="O925" s="136"/>
      <c r="P925" s="132">
        <v>40</v>
      </c>
      <c r="Q925" s="137" t="s">
        <v>49</v>
      </c>
      <c r="R925" s="138">
        <v>3</v>
      </c>
      <c r="S925" s="132"/>
      <c r="T925" s="132">
        <v>50</v>
      </c>
      <c r="U925" s="132"/>
      <c r="V925" s="152"/>
      <c r="W925" s="136"/>
      <c r="X925" s="152"/>
      <c r="Y925" s="136"/>
      <c r="Z925" s="132"/>
      <c r="AA925" s="105"/>
      <c r="AB925" s="105"/>
      <c r="AC925" s="105"/>
      <c r="AD925" s="118">
        <v>40575</v>
      </c>
      <c r="AE925" s="108" t="s">
        <v>1107</v>
      </c>
    </row>
    <row r="926" spans="1:31" s="65" customFormat="1" ht="27" customHeight="1" x14ac:dyDescent="0.15">
      <c r="A926" s="105">
        <v>1113100133</v>
      </c>
      <c r="B926" s="106" t="s">
        <v>1428</v>
      </c>
      <c r="C926" s="107" t="s">
        <v>1233</v>
      </c>
      <c r="D926" s="108" t="s">
        <v>87</v>
      </c>
      <c r="E926" s="108" t="s">
        <v>2339</v>
      </c>
      <c r="F926" s="139">
        <v>3600211</v>
      </c>
      <c r="G926" s="140" t="s">
        <v>1232</v>
      </c>
      <c r="H926" s="140" t="s">
        <v>1231</v>
      </c>
      <c r="I926" s="141"/>
      <c r="J926" s="142"/>
      <c r="K926" s="142"/>
      <c r="L926" s="142"/>
      <c r="M926" s="142" t="s">
        <v>1213</v>
      </c>
      <c r="N926" s="143"/>
      <c r="O926" s="138"/>
      <c r="P926" s="105"/>
      <c r="Q926" s="137"/>
      <c r="R926" s="138"/>
      <c r="S926" s="105"/>
      <c r="T926" s="105"/>
      <c r="U926" s="105"/>
      <c r="V926" s="137"/>
      <c r="W926" s="138"/>
      <c r="X926" s="137"/>
      <c r="Y926" s="138"/>
      <c r="Z926" s="105"/>
      <c r="AA926" s="105">
        <v>40</v>
      </c>
      <c r="AB926" s="105"/>
      <c r="AC926" s="105"/>
      <c r="AD926" s="144">
        <v>40634</v>
      </c>
      <c r="AE926" s="108" t="s">
        <v>2340</v>
      </c>
    </row>
    <row r="927" spans="1:31" s="65" customFormat="1" ht="27" customHeight="1" x14ac:dyDescent="0.15">
      <c r="A927" s="105">
        <v>1113100158</v>
      </c>
      <c r="B927" s="106" t="s">
        <v>1429</v>
      </c>
      <c r="C927" s="107" t="s">
        <v>1238</v>
      </c>
      <c r="D927" s="108" t="s">
        <v>87</v>
      </c>
      <c r="E927" s="108" t="s">
        <v>1237</v>
      </c>
      <c r="F927" s="139">
        <v>3600802</v>
      </c>
      <c r="G927" s="140" t="s">
        <v>1236</v>
      </c>
      <c r="H927" s="140" t="s">
        <v>1235</v>
      </c>
      <c r="I927" s="141"/>
      <c r="J927" s="142"/>
      <c r="K927" s="142"/>
      <c r="L927" s="142"/>
      <c r="M927" s="142" t="s">
        <v>49</v>
      </c>
      <c r="N927" s="143"/>
      <c r="O927" s="138"/>
      <c r="P927" s="105"/>
      <c r="Q927" s="137"/>
      <c r="R927" s="138"/>
      <c r="S927" s="105"/>
      <c r="T927" s="105"/>
      <c r="U927" s="105"/>
      <c r="V927" s="137"/>
      <c r="W927" s="138"/>
      <c r="X927" s="137"/>
      <c r="Y927" s="138"/>
      <c r="Z927" s="105"/>
      <c r="AA927" s="105">
        <v>36</v>
      </c>
      <c r="AB927" s="105"/>
      <c r="AC927" s="105"/>
      <c r="AD927" s="144">
        <v>40634</v>
      </c>
      <c r="AE927" s="108" t="s">
        <v>1234</v>
      </c>
    </row>
    <row r="928" spans="1:31" s="65" customFormat="1" ht="27" customHeight="1" x14ac:dyDescent="0.15">
      <c r="A928" s="150">
        <v>1113100182</v>
      </c>
      <c r="B928" s="106" t="s">
        <v>867</v>
      </c>
      <c r="C928" s="108" t="s">
        <v>881</v>
      </c>
      <c r="D928" s="108" t="s">
        <v>882</v>
      </c>
      <c r="E928" s="108" t="s">
        <v>897</v>
      </c>
      <c r="F928" s="156">
        <v>3600832</v>
      </c>
      <c r="G928" s="132" t="s">
        <v>898</v>
      </c>
      <c r="H928" s="132" t="s">
        <v>899</v>
      </c>
      <c r="I928" s="116" t="s">
        <v>950</v>
      </c>
      <c r="J928" s="154"/>
      <c r="K928" s="154"/>
      <c r="L928" s="154"/>
      <c r="M928" s="154"/>
      <c r="N928" s="143"/>
      <c r="O928" s="138"/>
      <c r="P928" s="105">
        <v>100</v>
      </c>
      <c r="Q928" s="137" t="s">
        <v>49</v>
      </c>
      <c r="R928" s="138">
        <v>14</v>
      </c>
      <c r="S928" s="105"/>
      <c r="T928" s="105">
        <v>120</v>
      </c>
      <c r="U928" s="105"/>
      <c r="V928" s="137"/>
      <c r="W928" s="138"/>
      <c r="X928" s="137"/>
      <c r="Y928" s="138"/>
      <c r="Z928" s="105"/>
      <c r="AA928" s="105"/>
      <c r="AB928" s="105"/>
      <c r="AC928" s="105"/>
      <c r="AD928" s="118">
        <v>40269</v>
      </c>
      <c r="AE928" s="108" t="s">
        <v>994</v>
      </c>
    </row>
    <row r="929" spans="1:31" s="65" customFormat="1" ht="27" customHeight="1" x14ac:dyDescent="0.15">
      <c r="A929" s="150">
        <v>1113100208</v>
      </c>
      <c r="B929" s="106" t="s">
        <v>1986</v>
      </c>
      <c r="C929" s="108" t="s">
        <v>1987</v>
      </c>
      <c r="D929" s="108" t="s">
        <v>87</v>
      </c>
      <c r="E929" s="108" t="s">
        <v>1988</v>
      </c>
      <c r="F929" s="156" t="s">
        <v>1989</v>
      </c>
      <c r="G929" s="132" t="s">
        <v>1990</v>
      </c>
      <c r="H929" s="132" t="s">
        <v>1991</v>
      </c>
      <c r="I929" s="116" t="s">
        <v>1992</v>
      </c>
      <c r="J929" s="154" t="s">
        <v>1992</v>
      </c>
      <c r="K929" s="154" t="s">
        <v>1992</v>
      </c>
      <c r="L929" s="154" t="s">
        <v>1992</v>
      </c>
      <c r="M929" s="154" t="s">
        <v>1992</v>
      </c>
      <c r="N929" s="143" t="s">
        <v>1992</v>
      </c>
      <c r="O929" s="138" t="s">
        <v>2170</v>
      </c>
      <c r="P929" s="105"/>
      <c r="Q929" s="137" t="s">
        <v>456</v>
      </c>
      <c r="R929" s="138">
        <v>5</v>
      </c>
      <c r="S929" s="105">
        <v>70</v>
      </c>
      <c r="T929" s="105">
        <v>15</v>
      </c>
      <c r="U929" s="105"/>
      <c r="V929" s="137"/>
      <c r="W929" s="138"/>
      <c r="X929" s="137"/>
      <c r="Y929" s="138"/>
      <c r="Z929" s="105"/>
      <c r="AA929" s="105"/>
      <c r="AB929" s="105"/>
      <c r="AC929" s="105"/>
      <c r="AD929" s="118">
        <v>41000</v>
      </c>
      <c r="AE929" s="108" t="s">
        <v>6142</v>
      </c>
    </row>
    <row r="930" spans="1:31" ht="27" customHeight="1" x14ac:dyDescent="0.15">
      <c r="A930" s="105">
        <v>1113100216</v>
      </c>
      <c r="B930" s="130" t="s">
        <v>784</v>
      </c>
      <c r="C930" s="108" t="s">
        <v>546</v>
      </c>
      <c r="D930" s="108" t="s">
        <v>87</v>
      </c>
      <c r="E930" s="108" t="s">
        <v>163</v>
      </c>
      <c r="F930" s="131">
        <v>3600006</v>
      </c>
      <c r="G930" s="132" t="s">
        <v>679</v>
      </c>
      <c r="H930" s="132" t="s">
        <v>680</v>
      </c>
      <c r="I930" s="133"/>
      <c r="J930" s="134"/>
      <c r="K930" s="134"/>
      <c r="L930" s="134"/>
      <c r="M930" s="134" t="s">
        <v>251</v>
      </c>
      <c r="N930" s="135"/>
      <c r="O930" s="136"/>
      <c r="P930" s="105">
        <v>40</v>
      </c>
      <c r="Q930" s="137" t="s">
        <v>2681</v>
      </c>
      <c r="R930" s="136"/>
      <c r="S930" s="105"/>
      <c r="T930" s="105">
        <v>40</v>
      </c>
      <c r="U930" s="105"/>
      <c r="V930" s="137"/>
      <c r="W930" s="138"/>
      <c r="X930" s="137"/>
      <c r="Y930" s="138"/>
      <c r="Z930" s="105"/>
      <c r="AA930" s="105"/>
      <c r="AB930" s="105"/>
      <c r="AC930" s="105"/>
      <c r="AD930" s="118">
        <v>39387</v>
      </c>
      <c r="AE930" s="108" t="s">
        <v>347</v>
      </c>
    </row>
    <row r="931" spans="1:31" ht="27" customHeight="1" x14ac:dyDescent="0.15">
      <c r="A931" s="105">
        <v>1113100224</v>
      </c>
      <c r="B931" s="130" t="s">
        <v>784</v>
      </c>
      <c r="C931" s="108" t="s">
        <v>545</v>
      </c>
      <c r="D931" s="108" t="s">
        <v>87</v>
      </c>
      <c r="E931" s="108" t="s">
        <v>164</v>
      </c>
      <c r="F931" s="131">
        <v>3600801</v>
      </c>
      <c r="G931" s="152" t="s">
        <v>681</v>
      </c>
      <c r="H931" s="132" t="s">
        <v>682</v>
      </c>
      <c r="I931" s="183"/>
      <c r="J931" s="134"/>
      <c r="K931" s="134"/>
      <c r="L931" s="134"/>
      <c r="M931" s="134" t="s">
        <v>49</v>
      </c>
      <c r="N931" s="135"/>
      <c r="O931" s="136"/>
      <c r="P931" s="105"/>
      <c r="Q931" s="116"/>
      <c r="R931" s="138"/>
      <c r="S931" s="105"/>
      <c r="T931" s="105">
        <v>40</v>
      </c>
      <c r="U931" s="105"/>
      <c r="V931" s="137"/>
      <c r="W931" s="138"/>
      <c r="X931" s="137"/>
      <c r="Y931" s="138"/>
      <c r="Z931" s="105"/>
      <c r="AA931" s="105"/>
      <c r="AB931" s="105"/>
      <c r="AC931" s="105"/>
      <c r="AD931" s="118">
        <v>39387</v>
      </c>
      <c r="AE931" s="108" t="s">
        <v>470</v>
      </c>
    </row>
    <row r="932" spans="1:31" ht="27" customHeight="1" x14ac:dyDescent="0.15">
      <c r="A932" s="105">
        <v>1113100273</v>
      </c>
      <c r="B932" s="106" t="s">
        <v>1189</v>
      </c>
      <c r="C932" s="107" t="s">
        <v>1190</v>
      </c>
      <c r="D932" s="108" t="s">
        <v>87</v>
      </c>
      <c r="E932" s="108" t="s">
        <v>1191</v>
      </c>
      <c r="F932" s="139">
        <v>3600816</v>
      </c>
      <c r="G932" s="140" t="s">
        <v>1192</v>
      </c>
      <c r="H932" s="140" t="s">
        <v>1193</v>
      </c>
      <c r="I932" s="133"/>
      <c r="J932" s="134"/>
      <c r="K932" s="134"/>
      <c r="L932" s="134"/>
      <c r="M932" s="134"/>
      <c r="N932" s="143" t="s">
        <v>49</v>
      </c>
      <c r="O932" s="138"/>
      <c r="P932" s="105"/>
      <c r="Q932" s="137"/>
      <c r="R932" s="138"/>
      <c r="S932" s="105"/>
      <c r="T932" s="105"/>
      <c r="U932" s="105"/>
      <c r="V932" s="116">
        <v>20</v>
      </c>
      <c r="W932" s="117">
        <v>16</v>
      </c>
      <c r="X932" s="116"/>
      <c r="Y932" s="138"/>
      <c r="Z932" s="105"/>
      <c r="AA932" s="105"/>
      <c r="AB932" s="105"/>
      <c r="AC932" s="105"/>
      <c r="AD932" s="118">
        <v>40634</v>
      </c>
      <c r="AE932" s="108" t="s">
        <v>1194</v>
      </c>
    </row>
    <row r="933" spans="1:31" ht="27" customHeight="1" x14ac:dyDescent="0.15">
      <c r="A933" s="105">
        <v>1113100380</v>
      </c>
      <c r="B933" s="130" t="s">
        <v>784</v>
      </c>
      <c r="C933" s="108" t="s">
        <v>348</v>
      </c>
      <c r="D933" s="108" t="s">
        <v>87</v>
      </c>
      <c r="E933" s="108" t="s">
        <v>165</v>
      </c>
      <c r="F933" s="131">
        <v>3600023</v>
      </c>
      <c r="G933" s="132" t="s">
        <v>683</v>
      </c>
      <c r="H933" s="132" t="s">
        <v>349</v>
      </c>
      <c r="I933" s="133"/>
      <c r="J933" s="134"/>
      <c r="K933" s="134"/>
      <c r="L933" s="134"/>
      <c r="M933" s="134" t="s">
        <v>242</v>
      </c>
      <c r="N933" s="135"/>
      <c r="O933" s="136"/>
      <c r="P933" s="105"/>
      <c r="Q933" s="137"/>
      <c r="R933" s="138"/>
      <c r="S933" s="105"/>
      <c r="T933" s="105">
        <v>20</v>
      </c>
      <c r="U933" s="105"/>
      <c r="V933" s="116"/>
      <c r="W933" s="117"/>
      <c r="X933" s="116"/>
      <c r="Y933" s="138"/>
      <c r="Z933" s="105"/>
      <c r="AA933" s="105"/>
      <c r="AB933" s="105"/>
      <c r="AC933" s="105"/>
      <c r="AD933" s="118">
        <v>39387</v>
      </c>
      <c r="AE933" s="108" t="s">
        <v>356</v>
      </c>
    </row>
    <row r="934" spans="1:31" s="65" customFormat="1" ht="27" customHeight="1" x14ac:dyDescent="0.15">
      <c r="A934" s="105">
        <v>1113100414</v>
      </c>
      <c r="B934" s="130" t="s">
        <v>785</v>
      </c>
      <c r="C934" s="108" t="s">
        <v>7349</v>
      </c>
      <c r="D934" s="108" t="s">
        <v>87</v>
      </c>
      <c r="E934" s="108" t="s">
        <v>7350</v>
      </c>
      <c r="F934" s="131">
        <v>3600813</v>
      </c>
      <c r="G934" s="132" t="s">
        <v>7351</v>
      </c>
      <c r="H934" s="132" t="s">
        <v>7351</v>
      </c>
      <c r="I934" s="116" t="s">
        <v>49</v>
      </c>
      <c r="J934" s="154" t="s">
        <v>49</v>
      </c>
      <c r="K934" s="154" t="s">
        <v>49</v>
      </c>
      <c r="L934" s="154" t="s">
        <v>49</v>
      </c>
      <c r="M934" s="154" t="s">
        <v>49</v>
      </c>
      <c r="N934" s="143" t="s">
        <v>49</v>
      </c>
      <c r="O934" s="138" t="s">
        <v>49</v>
      </c>
      <c r="P934" s="105"/>
      <c r="Q934" s="116"/>
      <c r="R934" s="138"/>
      <c r="S934" s="105"/>
      <c r="T934" s="105">
        <v>12</v>
      </c>
      <c r="U934" s="105"/>
      <c r="V934" s="116"/>
      <c r="W934" s="138"/>
      <c r="X934" s="116"/>
      <c r="Y934" s="138"/>
      <c r="Z934" s="105"/>
      <c r="AA934" s="105">
        <v>28</v>
      </c>
      <c r="AB934" s="105"/>
      <c r="AC934" s="105"/>
      <c r="AD934" s="118">
        <v>39508</v>
      </c>
      <c r="AE934" s="108" t="s">
        <v>7352</v>
      </c>
    </row>
    <row r="935" spans="1:31" s="65" customFormat="1" ht="27" customHeight="1" x14ac:dyDescent="0.15">
      <c r="A935" s="105">
        <v>1113100430</v>
      </c>
      <c r="B935" s="130" t="s">
        <v>786</v>
      </c>
      <c r="C935" s="108" t="s">
        <v>8773</v>
      </c>
      <c r="D935" s="108" t="s">
        <v>87</v>
      </c>
      <c r="E935" s="108" t="s">
        <v>1384</v>
      </c>
      <c r="F935" s="131">
        <v>3600231</v>
      </c>
      <c r="G935" s="132" t="s">
        <v>8255</v>
      </c>
      <c r="H935" s="132" t="s">
        <v>8256</v>
      </c>
      <c r="I935" s="133" t="s">
        <v>765</v>
      </c>
      <c r="J935" s="135"/>
      <c r="K935" s="134" t="s">
        <v>765</v>
      </c>
      <c r="L935" s="134"/>
      <c r="M935" s="134" t="s">
        <v>765</v>
      </c>
      <c r="N935" s="135"/>
      <c r="O935" s="136"/>
      <c r="P935" s="132"/>
      <c r="Q935" s="152"/>
      <c r="R935" s="136"/>
      <c r="S935" s="132"/>
      <c r="T935" s="132">
        <v>20</v>
      </c>
      <c r="U935" s="132"/>
      <c r="V935" s="152"/>
      <c r="W935" s="136"/>
      <c r="X935" s="152"/>
      <c r="Y935" s="136"/>
      <c r="Z935" s="132"/>
      <c r="AA935" s="105">
        <v>30</v>
      </c>
      <c r="AB935" s="105"/>
      <c r="AC935" s="105"/>
      <c r="AD935" s="155">
        <v>39539</v>
      </c>
      <c r="AE935" s="108" t="s">
        <v>1398</v>
      </c>
    </row>
    <row r="936" spans="1:31" s="65" customFormat="1" ht="27" customHeight="1" x14ac:dyDescent="0.15">
      <c r="A936" s="105">
        <v>1113100463</v>
      </c>
      <c r="B936" s="130" t="s">
        <v>787</v>
      </c>
      <c r="C936" s="108" t="s">
        <v>599</v>
      </c>
      <c r="D936" s="108" t="s">
        <v>87</v>
      </c>
      <c r="E936" s="108" t="s">
        <v>168</v>
      </c>
      <c r="F936" s="131">
        <v>3600812</v>
      </c>
      <c r="G936" s="132" t="s">
        <v>685</v>
      </c>
      <c r="H936" s="132" t="s">
        <v>685</v>
      </c>
      <c r="I936" s="183"/>
      <c r="J936" s="134"/>
      <c r="K936" s="134"/>
      <c r="L936" s="134"/>
      <c r="M936" s="134"/>
      <c r="N936" s="135" t="s">
        <v>284</v>
      </c>
      <c r="O936" s="136"/>
      <c r="P936" s="132"/>
      <c r="Q936" s="152"/>
      <c r="R936" s="136"/>
      <c r="S936" s="132"/>
      <c r="T936" s="132"/>
      <c r="U936" s="132"/>
      <c r="V936" s="152"/>
      <c r="W936" s="136"/>
      <c r="X936" s="152"/>
      <c r="Y936" s="136"/>
      <c r="Z936" s="132"/>
      <c r="AA936" s="105">
        <v>30</v>
      </c>
      <c r="AB936" s="105"/>
      <c r="AC936" s="105"/>
      <c r="AD936" s="155">
        <v>39569</v>
      </c>
      <c r="AE936" s="108" t="s">
        <v>794</v>
      </c>
    </row>
    <row r="937" spans="1:31" s="65" customFormat="1" ht="27" customHeight="1" x14ac:dyDescent="0.15">
      <c r="A937" s="105">
        <v>1113100513</v>
      </c>
      <c r="B937" s="130" t="s">
        <v>12269</v>
      </c>
      <c r="C937" s="108" t="s">
        <v>225</v>
      </c>
      <c r="D937" s="108" t="s">
        <v>87</v>
      </c>
      <c r="E937" s="108" t="s">
        <v>795</v>
      </c>
      <c r="F937" s="338">
        <v>3600815</v>
      </c>
      <c r="G937" s="132" t="s">
        <v>796</v>
      </c>
      <c r="H937" s="132" t="s">
        <v>796</v>
      </c>
      <c r="I937" s="133"/>
      <c r="J937" s="134"/>
      <c r="K937" s="134"/>
      <c r="L937" s="134"/>
      <c r="M937" s="134"/>
      <c r="N937" s="135" t="s">
        <v>49</v>
      </c>
      <c r="O937" s="136"/>
      <c r="P937" s="132"/>
      <c r="Q937" s="152"/>
      <c r="R937" s="136"/>
      <c r="S937" s="132"/>
      <c r="T937" s="132"/>
      <c r="U937" s="132"/>
      <c r="V937" s="152"/>
      <c r="W937" s="136"/>
      <c r="X937" s="152"/>
      <c r="Y937" s="136"/>
      <c r="Z937" s="132"/>
      <c r="AA937" s="105">
        <v>24</v>
      </c>
      <c r="AB937" s="105"/>
      <c r="AC937" s="105"/>
      <c r="AD937" s="155">
        <v>39814</v>
      </c>
      <c r="AE937" s="108" t="s">
        <v>360</v>
      </c>
    </row>
    <row r="938" spans="1:31" s="65" customFormat="1" ht="27" customHeight="1" x14ac:dyDescent="0.15">
      <c r="A938" s="175">
        <v>1113100539</v>
      </c>
      <c r="B938" s="161" t="s">
        <v>7624</v>
      </c>
      <c r="C938" s="263" t="s">
        <v>7625</v>
      </c>
      <c r="D938" s="162" t="s">
        <v>87</v>
      </c>
      <c r="E938" s="162" t="s">
        <v>6176</v>
      </c>
      <c r="F938" s="205">
        <v>3600005</v>
      </c>
      <c r="G938" s="206" t="s">
        <v>7626</v>
      </c>
      <c r="H938" s="206" t="s">
        <v>7626</v>
      </c>
      <c r="I938" s="141" t="s">
        <v>765</v>
      </c>
      <c r="J938" s="142" t="s">
        <v>765</v>
      </c>
      <c r="K938" s="142"/>
      <c r="L938" s="142" t="s">
        <v>765</v>
      </c>
      <c r="M938" s="142" t="s">
        <v>765</v>
      </c>
      <c r="N938" s="143" t="s">
        <v>765</v>
      </c>
      <c r="O938" s="138"/>
      <c r="P938" s="105"/>
      <c r="Q938" s="137"/>
      <c r="R938" s="138"/>
      <c r="S938" s="105"/>
      <c r="T938" s="105">
        <v>8</v>
      </c>
      <c r="U938" s="105"/>
      <c r="V938" s="137"/>
      <c r="W938" s="138"/>
      <c r="X938" s="137"/>
      <c r="Y938" s="138"/>
      <c r="Z938" s="105"/>
      <c r="AA938" s="105">
        <v>12</v>
      </c>
      <c r="AB938" s="105"/>
      <c r="AC938" s="105"/>
      <c r="AD938" s="144">
        <v>39903</v>
      </c>
      <c r="AE938" s="108" t="s">
        <v>6177</v>
      </c>
    </row>
    <row r="939" spans="1:31" s="218" customFormat="1" ht="28.5" customHeight="1" x14ac:dyDescent="0.15">
      <c r="A939" s="105">
        <v>1113100547</v>
      </c>
      <c r="B939" s="130" t="s">
        <v>406</v>
      </c>
      <c r="C939" s="108" t="s">
        <v>5306</v>
      </c>
      <c r="D939" s="108" t="s">
        <v>87</v>
      </c>
      <c r="E939" s="108" t="s">
        <v>797</v>
      </c>
      <c r="F939" s="131">
        <v>3600245</v>
      </c>
      <c r="G939" s="132" t="s">
        <v>5307</v>
      </c>
      <c r="H939" s="132" t="s">
        <v>5308</v>
      </c>
      <c r="I939" s="133"/>
      <c r="J939" s="134"/>
      <c r="K939" s="134"/>
      <c r="L939" s="134"/>
      <c r="M939" s="134" t="s">
        <v>5283</v>
      </c>
      <c r="N939" s="135"/>
      <c r="O939" s="136"/>
      <c r="P939" s="105"/>
      <c r="Q939" s="137"/>
      <c r="R939" s="138"/>
      <c r="S939" s="105"/>
      <c r="T939" s="105"/>
      <c r="U939" s="105"/>
      <c r="V939" s="137"/>
      <c r="W939" s="138"/>
      <c r="X939" s="137"/>
      <c r="Y939" s="138"/>
      <c r="Z939" s="105"/>
      <c r="AA939" s="105">
        <v>20</v>
      </c>
      <c r="AB939" s="105"/>
      <c r="AC939" s="105"/>
      <c r="AD939" s="144">
        <v>39965</v>
      </c>
      <c r="AE939" s="108" t="s">
        <v>798</v>
      </c>
    </row>
    <row r="940" spans="1:31" s="65" customFormat="1" ht="27" customHeight="1" x14ac:dyDescent="0.15">
      <c r="A940" s="132">
        <v>1113101560</v>
      </c>
      <c r="B940" s="130" t="s">
        <v>10330</v>
      </c>
      <c r="C940" s="108" t="s">
        <v>10331</v>
      </c>
      <c r="D940" s="108" t="s">
        <v>87</v>
      </c>
      <c r="E940" s="108" t="s">
        <v>10332</v>
      </c>
      <c r="F940" s="264" t="s">
        <v>3039</v>
      </c>
      <c r="G940" s="137" t="s">
        <v>10333</v>
      </c>
      <c r="H940" s="137" t="s">
        <v>10333</v>
      </c>
      <c r="I940" s="141"/>
      <c r="J940" s="142" t="s">
        <v>6457</v>
      </c>
      <c r="K940" s="142" t="s">
        <v>6457</v>
      </c>
      <c r="L940" s="142" t="s">
        <v>6457</v>
      </c>
      <c r="M940" s="142" t="s">
        <v>6433</v>
      </c>
      <c r="N940" s="143" t="s">
        <v>6433</v>
      </c>
      <c r="O940" s="92" t="s">
        <v>6457</v>
      </c>
      <c r="P940" s="105"/>
      <c r="Q940" s="137"/>
      <c r="R940" s="138"/>
      <c r="S940" s="105"/>
      <c r="T940" s="105"/>
      <c r="U940" s="105"/>
      <c r="V940" s="137"/>
      <c r="W940" s="138"/>
      <c r="X940" s="137"/>
      <c r="Y940" s="138"/>
      <c r="Z940" s="105"/>
      <c r="AA940" s="105">
        <v>20</v>
      </c>
      <c r="AB940" s="105"/>
      <c r="AC940" s="105"/>
      <c r="AD940" s="118">
        <v>45809</v>
      </c>
      <c r="AE940" s="108" t="s">
        <v>10334</v>
      </c>
    </row>
    <row r="941" spans="1:31" s="65" customFormat="1" ht="27" customHeight="1" x14ac:dyDescent="0.15">
      <c r="A941" s="105">
        <v>1113100570</v>
      </c>
      <c r="B941" s="130" t="s">
        <v>952</v>
      </c>
      <c r="C941" s="108" t="s">
        <v>953</v>
      </c>
      <c r="D941" s="108" t="s">
        <v>96</v>
      </c>
      <c r="E941" s="108" t="s">
        <v>1970</v>
      </c>
      <c r="F941" s="131" t="s">
        <v>1971</v>
      </c>
      <c r="G941" s="132" t="s">
        <v>1969</v>
      </c>
      <c r="H941" s="132" t="s">
        <v>1969</v>
      </c>
      <c r="I941" s="133"/>
      <c r="J941" s="154"/>
      <c r="K941" s="134"/>
      <c r="L941" s="134"/>
      <c r="M941" s="134" t="s">
        <v>951</v>
      </c>
      <c r="N941" s="135" t="s">
        <v>951</v>
      </c>
      <c r="O941" s="136"/>
      <c r="P941" s="105"/>
      <c r="Q941" s="137"/>
      <c r="R941" s="138"/>
      <c r="S941" s="105"/>
      <c r="T941" s="105"/>
      <c r="U941" s="105"/>
      <c r="V941" s="137"/>
      <c r="W941" s="138"/>
      <c r="X941" s="137"/>
      <c r="Y941" s="138"/>
      <c r="Z941" s="105"/>
      <c r="AA941" s="105">
        <v>40</v>
      </c>
      <c r="AB941" s="105"/>
      <c r="AC941" s="105"/>
      <c r="AD941" s="118">
        <v>40268</v>
      </c>
      <c r="AE941" s="108" t="s">
        <v>1972</v>
      </c>
    </row>
    <row r="942" spans="1:31" ht="27" customHeight="1" x14ac:dyDescent="0.15">
      <c r="A942" s="105">
        <v>1113100588</v>
      </c>
      <c r="B942" s="130" t="s">
        <v>435</v>
      </c>
      <c r="C942" s="108" t="s">
        <v>942</v>
      </c>
      <c r="D942" s="108" t="s">
        <v>87</v>
      </c>
      <c r="E942" s="108" t="s">
        <v>8257</v>
      </c>
      <c r="F942" s="131">
        <v>3600203</v>
      </c>
      <c r="G942" s="132" t="s">
        <v>975</v>
      </c>
      <c r="H942" s="132" t="s">
        <v>6736</v>
      </c>
      <c r="I942" s="133"/>
      <c r="J942" s="134"/>
      <c r="K942" s="134"/>
      <c r="L942" s="134"/>
      <c r="M942" s="134" t="s">
        <v>49</v>
      </c>
      <c r="N942" s="135"/>
      <c r="O942" s="136"/>
      <c r="P942" s="105"/>
      <c r="Q942" s="137"/>
      <c r="R942" s="138"/>
      <c r="S942" s="105"/>
      <c r="T942" s="105">
        <v>20</v>
      </c>
      <c r="U942" s="105"/>
      <c r="V942" s="137"/>
      <c r="W942" s="138"/>
      <c r="X942" s="152"/>
      <c r="Y942" s="138"/>
      <c r="Z942" s="105"/>
      <c r="AA942" s="105"/>
      <c r="AB942" s="105"/>
      <c r="AC942" s="105"/>
      <c r="AD942" s="118">
        <v>40269</v>
      </c>
      <c r="AE942" s="108" t="s">
        <v>944</v>
      </c>
    </row>
    <row r="943" spans="1:31" s="65" customFormat="1" ht="27" customHeight="1" x14ac:dyDescent="0.15">
      <c r="A943" s="105">
        <v>1113100596</v>
      </c>
      <c r="B943" s="130" t="s">
        <v>784</v>
      </c>
      <c r="C943" s="108" t="s">
        <v>954</v>
      </c>
      <c r="D943" s="108" t="s">
        <v>87</v>
      </c>
      <c r="E943" s="108" t="s">
        <v>955</v>
      </c>
      <c r="F943" s="131">
        <v>3600005</v>
      </c>
      <c r="G943" s="132" t="s">
        <v>956</v>
      </c>
      <c r="H943" s="132" t="s">
        <v>957</v>
      </c>
      <c r="I943" s="133"/>
      <c r="J943" s="134"/>
      <c r="K943" s="134"/>
      <c r="L943" s="134"/>
      <c r="M943" s="134" t="s">
        <v>49</v>
      </c>
      <c r="N943" s="135"/>
      <c r="O943" s="136"/>
      <c r="P943" s="105"/>
      <c r="Q943" s="137"/>
      <c r="R943" s="138"/>
      <c r="S943" s="105"/>
      <c r="T943" s="105"/>
      <c r="U943" s="105"/>
      <c r="V943" s="137"/>
      <c r="W943" s="138"/>
      <c r="X943" s="137"/>
      <c r="Y943" s="138"/>
      <c r="Z943" s="105"/>
      <c r="AA943" s="105">
        <v>20</v>
      </c>
      <c r="AB943" s="105"/>
      <c r="AC943" s="105"/>
      <c r="AD943" s="118">
        <v>40269</v>
      </c>
      <c r="AE943" s="108" t="s">
        <v>997</v>
      </c>
    </row>
    <row r="944" spans="1:31" s="65" customFormat="1" ht="27" customHeight="1" x14ac:dyDescent="0.15">
      <c r="A944" s="105">
        <v>1113100604</v>
      </c>
      <c r="B944" s="130" t="s">
        <v>1059</v>
      </c>
      <c r="C944" s="108" t="s">
        <v>1060</v>
      </c>
      <c r="D944" s="108" t="s">
        <v>87</v>
      </c>
      <c r="E944" s="108" t="s">
        <v>1061</v>
      </c>
      <c r="F944" s="131">
        <v>3600805</v>
      </c>
      <c r="G944" s="132" t="s">
        <v>1062</v>
      </c>
      <c r="H944" s="132" t="s">
        <v>1063</v>
      </c>
      <c r="I944" s="133"/>
      <c r="J944" s="134"/>
      <c r="K944" s="134"/>
      <c r="L944" s="134"/>
      <c r="M944" s="134"/>
      <c r="N944" s="135" t="s">
        <v>49</v>
      </c>
      <c r="O944" s="136"/>
      <c r="P944" s="105"/>
      <c r="Q944" s="137" t="s">
        <v>765</v>
      </c>
      <c r="R944" s="138"/>
      <c r="S944" s="105"/>
      <c r="T944" s="105"/>
      <c r="U944" s="105"/>
      <c r="V944" s="116">
        <v>20</v>
      </c>
      <c r="W944" s="117">
        <v>19</v>
      </c>
      <c r="X944" s="116"/>
      <c r="Y944" s="138"/>
      <c r="Z944" s="105"/>
      <c r="AA944" s="105"/>
      <c r="AB944" s="105"/>
      <c r="AC944" s="105"/>
      <c r="AD944" s="118">
        <v>40452</v>
      </c>
      <c r="AE944" s="108" t="s">
        <v>1065</v>
      </c>
    </row>
    <row r="945" spans="1:31" ht="27" customHeight="1" x14ac:dyDescent="0.15">
      <c r="A945" s="105">
        <v>1113100653</v>
      </c>
      <c r="B945" s="106" t="s">
        <v>1430</v>
      </c>
      <c r="C945" s="107" t="s">
        <v>1241</v>
      </c>
      <c r="D945" s="108" t="s">
        <v>87</v>
      </c>
      <c r="E945" s="108" t="s">
        <v>1240</v>
      </c>
      <c r="F945" s="139">
        <v>3600855</v>
      </c>
      <c r="G945" s="140" t="s">
        <v>1239</v>
      </c>
      <c r="H945" s="140" t="s">
        <v>1239</v>
      </c>
      <c r="I945" s="141"/>
      <c r="J945" s="142"/>
      <c r="K945" s="142"/>
      <c r="L945" s="142"/>
      <c r="M945" s="142" t="s">
        <v>1213</v>
      </c>
      <c r="N945" s="143"/>
      <c r="O945" s="138"/>
      <c r="P945" s="105"/>
      <c r="Q945" s="137"/>
      <c r="R945" s="138"/>
      <c r="S945" s="105"/>
      <c r="T945" s="105"/>
      <c r="U945" s="105"/>
      <c r="V945" s="137"/>
      <c r="W945" s="138"/>
      <c r="X945" s="137"/>
      <c r="Y945" s="138"/>
      <c r="Z945" s="105"/>
      <c r="AA945" s="105">
        <v>20</v>
      </c>
      <c r="AB945" s="105"/>
      <c r="AC945" s="105"/>
      <c r="AD945" s="144">
        <v>40634</v>
      </c>
      <c r="AE945" s="108" t="s">
        <v>1092</v>
      </c>
    </row>
    <row r="946" spans="1:31" s="65" customFormat="1" ht="27" customHeight="1" x14ac:dyDescent="0.15">
      <c r="A946" s="105">
        <v>1113100802</v>
      </c>
      <c r="B946" s="106" t="s">
        <v>2187</v>
      </c>
      <c r="C946" s="107" t="s">
        <v>2150</v>
      </c>
      <c r="D946" s="108" t="s">
        <v>87</v>
      </c>
      <c r="E946" s="108" t="s">
        <v>2188</v>
      </c>
      <c r="F946" s="139" t="s">
        <v>2189</v>
      </c>
      <c r="G946" s="140" t="s">
        <v>2190</v>
      </c>
      <c r="H946" s="140" t="s">
        <v>2151</v>
      </c>
      <c r="I946" s="141" t="s">
        <v>2191</v>
      </c>
      <c r="J946" s="142"/>
      <c r="K946" s="142" t="s">
        <v>2191</v>
      </c>
      <c r="L946" s="142" t="s">
        <v>2191</v>
      </c>
      <c r="M946" s="142" t="s">
        <v>2191</v>
      </c>
      <c r="N946" s="143"/>
      <c r="O946" s="138"/>
      <c r="P946" s="105"/>
      <c r="Q946" s="137"/>
      <c r="R946" s="138"/>
      <c r="S946" s="105"/>
      <c r="T946" s="105"/>
      <c r="U946" s="105"/>
      <c r="V946" s="137"/>
      <c r="W946" s="138"/>
      <c r="X946" s="137"/>
      <c r="Y946" s="138"/>
      <c r="Z946" s="105"/>
      <c r="AA946" s="105">
        <v>20</v>
      </c>
      <c r="AB946" s="105"/>
      <c r="AC946" s="105"/>
      <c r="AD946" s="144">
        <v>41365</v>
      </c>
      <c r="AE946" s="108" t="s">
        <v>2192</v>
      </c>
    </row>
    <row r="947" spans="1:31" ht="27" customHeight="1" x14ac:dyDescent="0.15">
      <c r="A947" s="150">
        <v>1113100869</v>
      </c>
      <c r="B947" s="106" t="s">
        <v>2566</v>
      </c>
      <c r="C947" s="107" t="s">
        <v>2495</v>
      </c>
      <c r="D947" s="157" t="s">
        <v>87</v>
      </c>
      <c r="E947" s="108" t="s">
        <v>11501</v>
      </c>
      <c r="F947" s="139" t="s">
        <v>2496</v>
      </c>
      <c r="G947" s="132" t="s">
        <v>2497</v>
      </c>
      <c r="H947" s="132" t="s">
        <v>3171</v>
      </c>
      <c r="I947" s="133" t="s">
        <v>49</v>
      </c>
      <c r="J947" s="180"/>
      <c r="K947" s="154" t="s">
        <v>49</v>
      </c>
      <c r="L947" s="154" t="s">
        <v>49</v>
      </c>
      <c r="M947" s="154" t="s">
        <v>49</v>
      </c>
      <c r="N947" s="143" t="s">
        <v>49</v>
      </c>
      <c r="O947" s="138" t="s">
        <v>49</v>
      </c>
      <c r="P947" s="105"/>
      <c r="Q947" s="137"/>
      <c r="R947" s="138"/>
      <c r="S947" s="150"/>
      <c r="T947" s="105">
        <v>20</v>
      </c>
      <c r="U947" s="105"/>
      <c r="V947" s="137"/>
      <c r="W947" s="138"/>
      <c r="X947" s="137"/>
      <c r="Y947" s="138"/>
      <c r="Z947" s="105"/>
      <c r="AA947" s="105"/>
      <c r="AB947" s="105"/>
      <c r="AC947" s="105"/>
      <c r="AD947" s="144">
        <v>41791</v>
      </c>
      <c r="AE947" s="108" t="s">
        <v>11502</v>
      </c>
    </row>
    <row r="948" spans="1:31" ht="27" customHeight="1" x14ac:dyDescent="0.15">
      <c r="A948" s="105">
        <v>1113100984</v>
      </c>
      <c r="B948" s="106" t="s">
        <v>2346</v>
      </c>
      <c r="C948" s="107" t="s">
        <v>3038</v>
      </c>
      <c r="D948" s="108" t="s">
        <v>87</v>
      </c>
      <c r="E948" s="108" t="s">
        <v>5444</v>
      </c>
      <c r="F948" s="139" t="s">
        <v>3039</v>
      </c>
      <c r="G948" s="140" t="s">
        <v>3040</v>
      </c>
      <c r="H948" s="140" t="s">
        <v>3041</v>
      </c>
      <c r="I948" s="141" t="s">
        <v>3042</v>
      </c>
      <c r="J948" s="142" t="s">
        <v>3042</v>
      </c>
      <c r="K948" s="142" t="s">
        <v>3042</v>
      </c>
      <c r="L948" s="142" t="s">
        <v>3042</v>
      </c>
      <c r="M948" s="142" t="s">
        <v>3042</v>
      </c>
      <c r="N948" s="143" t="s">
        <v>3042</v>
      </c>
      <c r="O948" s="138" t="s">
        <v>3042</v>
      </c>
      <c r="P948" s="105"/>
      <c r="Q948" s="137"/>
      <c r="R948" s="138"/>
      <c r="S948" s="105"/>
      <c r="T948" s="105"/>
      <c r="U948" s="105"/>
      <c r="V948" s="137"/>
      <c r="W948" s="138"/>
      <c r="X948" s="137">
        <v>20</v>
      </c>
      <c r="Y948" s="138"/>
      <c r="Z948" s="105"/>
      <c r="AA948" s="105"/>
      <c r="AB948" s="105"/>
      <c r="AC948" s="105"/>
      <c r="AD948" s="144">
        <v>42186</v>
      </c>
      <c r="AE948" s="108" t="s">
        <v>2778</v>
      </c>
    </row>
    <row r="949" spans="1:31" ht="27" customHeight="1" x14ac:dyDescent="0.15">
      <c r="A949" s="105">
        <v>1113100984</v>
      </c>
      <c r="B949" s="106" t="s">
        <v>2346</v>
      </c>
      <c r="C949" s="107" t="s">
        <v>3038</v>
      </c>
      <c r="D949" s="108" t="s">
        <v>87</v>
      </c>
      <c r="E949" s="108" t="s">
        <v>5444</v>
      </c>
      <c r="F949" s="139" t="s">
        <v>4751</v>
      </c>
      <c r="G949" s="140" t="s">
        <v>4752</v>
      </c>
      <c r="H949" s="140" t="s">
        <v>4753</v>
      </c>
      <c r="I949" s="141" t="s">
        <v>4754</v>
      </c>
      <c r="J949" s="142" t="s">
        <v>4754</v>
      </c>
      <c r="K949" s="142" t="s">
        <v>4754</v>
      </c>
      <c r="L949" s="142" t="s">
        <v>4754</v>
      </c>
      <c r="M949" s="142" t="s">
        <v>4754</v>
      </c>
      <c r="N949" s="143" t="s">
        <v>4754</v>
      </c>
      <c r="O949" s="138" t="s">
        <v>4754</v>
      </c>
      <c r="P949" s="105"/>
      <c r="Q949" s="137"/>
      <c r="R949" s="138"/>
      <c r="S949" s="105"/>
      <c r="T949" s="105"/>
      <c r="U949" s="105"/>
      <c r="V949" s="137"/>
      <c r="W949" s="138"/>
      <c r="X949" s="137"/>
      <c r="Y949" s="138"/>
      <c r="Z949" s="105"/>
      <c r="AA949" s="105"/>
      <c r="AB949" s="105" t="s">
        <v>4754</v>
      </c>
      <c r="AC949" s="105"/>
      <c r="AD949" s="144">
        <v>43374</v>
      </c>
      <c r="AE949" s="108" t="s">
        <v>2778</v>
      </c>
    </row>
    <row r="950" spans="1:31" ht="27" customHeight="1" x14ac:dyDescent="0.15">
      <c r="A950" s="105">
        <v>1113100992</v>
      </c>
      <c r="B950" s="106" t="s">
        <v>3237</v>
      </c>
      <c r="C950" s="107" t="s">
        <v>3142</v>
      </c>
      <c r="D950" s="108" t="s">
        <v>87</v>
      </c>
      <c r="E950" s="108" t="s">
        <v>3143</v>
      </c>
      <c r="F950" s="139" t="s">
        <v>3145</v>
      </c>
      <c r="G950" s="140" t="s">
        <v>3169</v>
      </c>
      <c r="H950" s="140" t="s">
        <v>3170</v>
      </c>
      <c r="I950" s="141" t="s">
        <v>49</v>
      </c>
      <c r="J950" s="142" t="s">
        <v>49</v>
      </c>
      <c r="K950" s="142" t="s">
        <v>49</v>
      </c>
      <c r="L950" s="142" t="s">
        <v>49</v>
      </c>
      <c r="M950" s="142" t="s">
        <v>49</v>
      </c>
      <c r="N950" s="143" t="s">
        <v>49</v>
      </c>
      <c r="O950" s="138" t="s">
        <v>49</v>
      </c>
      <c r="P950" s="105"/>
      <c r="Q950" s="137"/>
      <c r="R950" s="138"/>
      <c r="S950" s="105"/>
      <c r="T950" s="105"/>
      <c r="U950" s="105"/>
      <c r="V950" s="137"/>
      <c r="W950" s="138"/>
      <c r="X950" s="137"/>
      <c r="Y950" s="138"/>
      <c r="Z950" s="105">
        <v>10</v>
      </c>
      <c r="AA950" s="105">
        <v>10</v>
      </c>
      <c r="AB950" s="105"/>
      <c r="AC950" s="105"/>
      <c r="AD950" s="144">
        <v>42248</v>
      </c>
      <c r="AE950" s="108" t="s">
        <v>3144</v>
      </c>
    </row>
    <row r="951" spans="1:31" ht="27" customHeight="1" x14ac:dyDescent="0.15">
      <c r="A951" s="132">
        <v>1113101016</v>
      </c>
      <c r="B951" s="106" t="s">
        <v>3179</v>
      </c>
      <c r="C951" s="107" t="s">
        <v>3180</v>
      </c>
      <c r="D951" s="108" t="s">
        <v>87</v>
      </c>
      <c r="E951" s="108" t="s">
        <v>10826</v>
      </c>
      <c r="F951" s="139" t="s">
        <v>3181</v>
      </c>
      <c r="G951" s="140" t="s">
        <v>3182</v>
      </c>
      <c r="H951" s="140" t="s">
        <v>3183</v>
      </c>
      <c r="I951" s="141"/>
      <c r="J951" s="142"/>
      <c r="K951" s="142"/>
      <c r="L951" s="142"/>
      <c r="M951" s="142" t="s">
        <v>49</v>
      </c>
      <c r="N951" s="143"/>
      <c r="O951" s="138"/>
      <c r="P951" s="105"/>
      <c r="Q951" s="137"/>
      <c r="R951" s="138"/>
      <c r="S951" s="105"/>
      <c r="T951" s="105">
        <v>20</v>
      </c>
      <c r="U951" s="105"/>
      <c r="V951" s="137"/>
      <c r="W951" s="138"/>
      <c r="X951" s="137"/>
      <c r="Y951" s="138"/>
      <c r="Z951" s="105"/>
      <c r="AA951" s="105"/>
      <c r="AB951" s="105"/>
      <c r="AC951" s="105"/>
      <c r="AD951" s="144">
        <v>42309</v>
      </c>
      <c r="AE951" s="108" t="s">
        <v>3184</v>
      </c>
    </row>
    <row r="952" spans="1:31" s="65" customFormat="1" ht="27" customHeight="1" x14ac:dyDescent="0.15">
      <c r="A952" s="132">
        <v>1113101057</v>
      </c>
      <c r="B952" s="130" t="s">
        <v>12270</v>
      </c>
      <c r="C952" s="107" t="s">
        <v>3432</v>
      </c>
      <c r="D952" s="108" t="s">
        <v>87</v>
      </c>
      <c r="E952" s="108" t="s">
        <v>3442</v>
      </c>
      <c r="F952" s="139" t="s">
        <v>3039</v>
      </c>
      <c r="G952" s="140" t="s">
        <v>3433</v>
      </c>
      <c r="H952" s="140" t="s">
        <v>3434</v>
      </c>
      <c r="I952" s="141"/>
      <c r="J952" s="142"/>
      <c r="K952" s="142"/>
      <c r="L952" s="142"/>
      <c r="M952" s="142"/>
      <c r="N952" s="143" t="s">
        <v>49</v>
      </c>
      <c r="O952" s="138"/>
      <c r="P952" s="105"/>
      <c r="Q952" s="137"/>
      <c r="R952" s="138"/>
      <c r="S952" s="105"/>
      <c r="T952" s="105"/>
      <c r="U952" s="105"/>
      <c r="V952" s="137"/>
      <c r="W952" s="138"/>
      <c r="X952" s="137">
        <v>20</v>
      </c>
      <c r="Y952" s="138"/>
      <c r="Z952" s="105"/>
      <c r="AA952" s="105"/>
      <c r="AB952" s="105"/>
      <c r="AC952" s="105"/>
      <c r="AD952" s="144">
        <v>42522</v>
      </c>
      <c r="AE952" s="108" t="s">
        <v>3441</v>
      </c>
    </row>
    <row r="953" spans="1:31" s="65" customFormat="1" ht="27" customHeight="1" x14ac:dyDescent="0.15">
      <c r="A953" s="105">
        <v>1113101065</v>
      </c>
      <c r="B953" s="106" t="s">
        <v>3577</v>
      </c>
      <c r="C953" s="107" t="s">
        <v>3578</v>
      </c>
      <c r="D953" s="108" t="s">
        <v>87</v>
      </c>
      <c r="E953" s="108" t="s">
        <v>3579</v>
      </c>
      <c r="F953" s="139">
        <v>3600105</v>
      </c>
      <c r="G953" s="140" t="s">
        <v>3580</v>
      </c>
      <c r="H953" s="140" t="s">
        <v>3581</v>
      </c>
      <c r="I953" s="141" t="s">
        <v>3582</v>
      </c>
      <c r="J953" s="142" t="s">
        <v>3582</v>
      </c>
      <c r="K953" s="142" t="s">
        <v>3582</v>
      </c>
      <c r="L953" s="142" t="s">
        <v>3582</v>
      </c>
      <c r="M953" s="142" t="s">
        <v>3582</v>
      </c>
      <c r="N953" s="143" t="s">
        <v>3582</v>
      </c>
      <c r="O953" s="138" t="s">
        <v>3582</v>
      </c>
      <c r="P953" s="105"/>
      <c r="Q953" s="137"/>
      <c r="R953" s="138"/>
      <c r="S953" s="105"/>
      <c r="T953" s="105"/>
      <c r="U953" s="105"/>
      <c r="V953" s="137"/>
      <c r="W953" s="138"/>
      <c r="X953" s="152"/>
      <c r="Y953" s="138"/>
      <c r="Z953" s="105"/>
      <c r="AA953" s="105">
        <v>20</v>
      </c>
      <c r="AB953" s="105"/>
      <c r="AC953" s="105"/>
      <c r="AD953" s="144">
        <v>42644</v>
      </c>
      <c r="AE953" s="108" t="s">
        <v>3649</v>
      </c>
    </row>
    <row r="954" spans="1:31" ht="27" customHeight="1" x14ac:dyDescent="0.15">
      <c r="A954" s="105">
        <v>1113101073</v>
      </c>
      <c r="B954" s="106" t="s">
        <v>7546</v>
      </c>
      <c r="C954" s="107" t="s">
        <v>7547</v>
      </c>
      <c r="D954" s="108" t="s">
        <v>87</v>
      </c>
      <c r="E954" s="108" t="s">
        <v>3639</v>
      </c>
      <c r="F954" s="139" t="s">
        <v>3640</v>
      </c>
      <c r="G954" s="140" t="s">
        <v>3641</v>
      </c>
      <c r="H954" s="140" t="s">
        <v>3642</v>
      </c>
      <c r="I954" s="141"/>
      <c r="J954" s="142"/>
      <c r="K954" s="142"/>
      <c r="L954" s="142"/>
      <c r="M954" s="142" t="s">
        <v>3643</v>
      </c>
      <c r="N954" s="143" t="s">
        <v>3643</v>
      </c>
      <c r="O954" s="138" t="s">
        <v>3643</v>
      </c>
      <c r="P954" s="105"/>
      <c r="Q954" s="137"/>
      <c r="R954" s="138"/>
      <c r="S954" s="105"/>
      <c r="T954" s="105"/>
      <c r="U954" s="105"/>
      <c r="V954" s="137"/>
      <c r="W954" s="138"/>
      <c r="X954" s="137"/>
      <c r="Y954" s="138"/>
      <c r="Z954" s="105">
        <v>20</v>
      </c>
      <c r="AA954" s="105"/>
      <c r="AB954" s="105"/>
      <c r="AC954" s="105"/>
      <c r="AD954" s="118">
        <v>42705</v>
      </c>
      <c r="AE954" s="108" t="s">
        <v>3648</v>
      </c>
    </row>
    <row r="955" spans="1:31" ht="27" customHeight="1" x14ac:dyDescent="0.15">
      <c r="A955" s="105">
        <v>1113101222</v>
      </c>
      <c r="B955" s="130" t="s">
        <v>5309</v>
      </c>
      <c r="C955" s="108" t="s">
        <v>9424</v>
      </c>
      <c r="D955" s="108" t="s">
        <v>87</v>
      </c>
      <c r="E955" s="108" t="s">
        <v>9425</v>
      </c>
      <c r="F955" s="131">
        <v>3600241</v>
      </c>
      <c r="G955" s="132" t="s">
        <v>9426</v>
      </c>
      <c r="H955" s="132" t="s">
        <v>9427</v>
      </c>
      <c r="I955" s="133"/>
      <c r="J955" s="154"/>
      <c r="K955" s="134"/>
      <c r="L955" s="134"/>
      <c r="M955" s="134" t="s">
        <v>765</v>
      </c>
      <c r="N955" s="135" t="s">
        <v>765</v>
      </c>
      <c r="O955" s="136"/>
      <c r="P955" s="105"/>
      <c r="Q955" s="137"/>
      <c r="R955" s="138"/>
      <c r="S955" s="105"/>
      <c r="T955" s="105">
        <v>10</v>
      </c>
      <c r="U955" s="105"/>
      <c r="V955" s="137"/>
      <c r="W955" s="138"/>
      <c r="X955" s="137"/>
      <c r="Y955" s="138"/>
      <c r="Z955" s="105"/>
      <c r="AA955" s="105">
        <v>10</v>
      </c>
      <c r="AB955" s="105"/>
      <c r="AC955" s="105"/>
      <c r="AD955" s="118">
        <v>43709</v>
      </c>
      <c r="AE955" s="166" t="s">
        <v>5310</v>
      </c>
    </row>
    <row r="956" spans="1:31" s="65" customFormat="1" ht="27" customHeight="1" x14ac:dyDescent="0.15">
      <c r="A956" s="105">
        <v>1113101248</v>
      </c>
      <c r="B956" s="106" t="s">
        <v>5389</v>
      </c>
      <c r="C956" s="107" t="s">
        <v>5390</v>
      </c>
      <c r="D956" s="108" t="s">
        <v>87</v>
      </c>
      <c r="E956" s="108" t="s">
        <v>5391</v>
      </c>
      <c r="F956" s="139" t="s">
        <v>5392</v>
      </c>
      <c r="G956" s="140" t="s">
        <v>5393</v>
      </c>
      <c r="H956" s="140" t="s">
        <v>5394</v>
      </c>
      <c r="I956" s="141"/>
      <c r="J956" s="142"/>
      <c r="K956" s="142"/>
      <c r="L956" s="142"/>
      <c r="M956" s="142" t="s">
        <v>765</v>
      </c>
      <c r="N956" s="143" t="s">
        <v>765</v>
      </c>
      <c r="O956" s="138" t="s">
        <v>5395</v>
      </c>
      <c r="P956" s="105"/>
      <c r="Q956" s="137"/>
      <c r="R956" s="138"/>
      <c r="S956" s="105"/>
      <c r="T956" s="105"/>
      <c r="U956" s="105"/>
      <c r="V956" s="116"/>
      <c r="W956" s="117"/>
      <c r="X956" s="137">
        <v>20</v>
      </c>
      <c r="Y956" s="138"/>
      <c r="Z956" s="105"/>
      <c r="AA956" s="105"/>
      <c r="AB956" s="105"/>
      <c r="AC956" s="105"/>
      <c r="AD956" s="144">
        <v>43770</v>
      </c>
      <c r="AE956" s="108" t="s">
        <v>5396</v>
      </c>
    </row>
    <row r="957" spans="1:31" s="65" customFormat="1" ht="27" customHeight="1" x14ac:dyDescent="0.15">
      <c r="A957" s="105">
        <v>1113101248</v>
      </c>
      <c r="B957" s="106" t="s">
        <v>5389</v>
      </c>
      <c r="C957" s="107" t="s">
        <v>5390</v>
      </c>
      <c r="D957" s="108" t="s">
        <v>87</v>
      </c>
      <c r="E957" s="108" t="s">
        <v>5391</v>
      </c>
      <c r="F957" s="139" t="s">
        <v>5392</v>
      </c>
      <c r="G957" s="140" t="s">
        <v>5393</v>
      </c>
      <c r="H957" s="140" t="s">
        <v>5394</v>
      </c>
      <c r="I957" s="141"/>
      <c r="J957" s="142"/>
      <c r="K957" s="142"/>
      <c r="L957" s="142"/>
      <c r="M957" s="142" t="s">
        <v>765</v>
      </c>
      <c r="N957" s="143" t="s">
        <v>765</v>
      </c>
      <c r="O957" s="138" t="s">
        <v>49</v>
      </c>
      <c r="P957" s="105"/>
      <c r="Q957" s="137"/>
      <c r="R957" s="138"/>
      <c r="S957" s="105"/>
      <c r="T957" s="105"/>
      <c r="U957" s="105"/>
      <c r="V957" s="116"/>
      <c r="W957" s="117"/>
      <c r="X957" s="137"/>
      <c r="Y957" s="138"/>
      <c r="Z957" s="105"/>
      <c r="AA957" s="105"/>
      <c r="AB957" s="105" t="s">
        <v>49</v>
      </c>
      <c r="AC957" s="105"/>
      <c r="AD957" s="144">
        <v>44317</v>
      </c>
      <c r="AE957" s="108" t="s">
        <v>5396</v>
      </c>
    </row>
    <row r="958" spans="1:31" s="65" customFormat="1" ht="27" customHeight="1" x14ac:dyDescent="0.15">
      <c r="A958" s="132">
        <v>1113101263</v>
      </c>
      <c r="B958" s="130" t="s">
        <v>5960</v>
      </c>
      <c r="C958" s="108" t="s">
        <v>5961</v>
      </c>
      <c r="D958" s="108" t="s">
        <v>87</v>
      </c>
      <c r="E958" s="108" t="s">
        <v>5962</v>
      </c>
      <c r="F958" s="131">
        <v>3600164</v>
      </c>
      <c r="G958" s="132" t="s">
        <v>5963</v>
      </c>
      <c r="H958" s="132" t="s">
        <v>5964</v>
      </c>
      <c r="I958" s="116"/>
      <c r="J958" s="154"/>
      <c r="K958" s="154"/>
      <c r="L958" s="154"/>
      <c r="M958" s="154" t="s">
        <v>49</v>
      </c>
      <c r="N958" s="143" t="s">
        <v>49</v>
      </c>
      <c r="O958" s="138"/>
      <c r="P958" s="105"/>
      <c r="Q958" s="137"/>
      <c r="R958" s="138"/>
      <c r="S958" s="105"/>
      <c r="T958" s="105">
        <v>20</v>
      </c>
      <c r="U958" s="105"/>
      <c r="V958" s="137"/>
      <c r="W958" s="138"/>
      <c r="X958" s="137"/>
      <c r="Y958" s="138"/>
      <c r="Z958" s="105"/>
      <c r="AA958" s="105"/>
      <c r="AB958" s="105"/>
      <c r="AC958" s="105"/>
      <c r="AD958" s="118">
        <v>43983</v>
      </c>
      <c r="AE958" s="108" t="s">
        <v>5965</v>
      </c>
    </row>
    <row r="959" spans="1:31" ht="27" customHeight="1" x14ac:dyDescent="0.15">
      <c r="A959" s="105">
        <v>1113101289</v>
      </c>
      <c r="B959" s="130" t="s">
        <v>6519</v>
      </c>
      <c r="C959" s="108" t="s">
        <v>6520</v>
      </c>
      <c r="D959" s="108" t="s">
        <v>87</v>
      </c>
      <c r="E959" s="108" t="s">
        <v>6521</v>
      </c>
      <c r="F959" s="131" t="s">
        <v>6522</v>
      </c>
      <c r="G959" s="132" t="s">
        <v>6523</v>
      </c>
      <c r="H959" s="132" t="s">
        <v>6523</v>
      </c>
      <c r="I959" s="133"/>
      <c r="J959" s="134"/>
      <c r="K959" s="135"/>
      <c r="L959" s="134"/>
      <c r="M959" s="134" t="s">
        <v>49</v>
      </c>
      <c r="N959" s="135" t="s">
        <v>49</v>
      </c>
      <c r="O959" s="136"/>
      <c r="P959" s="105"/>
      <c r="Q959" s="137"/>
      <c r="R959" s="138"/>
      <c r="S959" s="105"/>
      <c r="T959" s="105"/>
      <c r="U959" s="105"/>
      <c r="V959" s="137"/>
      <c r="W959" s="138"/>
      <c r="X959" s="137"/>
      <c r="Y959" s="138"/>
      <c r="Z959" s="105">
        <v>20</v>
      </c>
      <c r="AA959" s="105"/>
      <c r="AB959" s="105"/>
      <c r="AC959" s="105"/>
      <c r="AD959" s="118">
        <v>44228</v>
      </c>
      <c r="AE959" s="108" t="s">
        <v>6524</v>
      </c>
    </row>
    <row r="960" spans="1:31" s="65" customFormat="1" ht="27" customHeight="1" x14ac:dyDescent="0.15">
      <c r="A960" s="105">
        <v>1113101321</v>
      </c>
      <c r="B960" s="130" t="s">
        <v>7063</v>
      </c>
      <c r="C960" s="108" t="s">
        <v>7064</v>
      </c>
      <c r="D960" s="108" t="s">
        <v>87</v>
      </c>
      <c r="E960" s="108" t="s">
        <v>7065</v>
      </c>
      <c r="F960" s="131" t="s">
        <v>7066</v>
      </c>
      <c r="G960" s="132" t="s">
        <v>7067</v>
      </c>
      <c r="H960" s="132"/>
      <c r="I960" s="133"/>
      <c r="J960" s="134"/>
      <c r="K960" s="134"/>
      <c r="L960" s="134" t="s">
        <v>765</v>
      </c>
      <c r="M960" s="134" t="s">
        <v>49</v>
      </c>
      <c r="N960" s="135" t="s">
        <v>49</v>
      </c>
      <c r="O960" s="136" t="s">
        <v>49</v>
      </c>
      <c r="P960" s="105"/>
      <c r="Q960" s="137"/>
      <c r="R960" s="138"/>
      <c r="S960" s="105"/>
      <c r="T960" s="105"/>
      <c r="U960" s="105"/>
      <c r="V960" s="137"/>
      <c r="W960" s="138"/>
      <c r="X960" s="137">
        <v>20</v>
      </c>
      <c r="Y960" s="138"/>
      <c r="Z960" s="105"/>
      <c r="AA960" s="105"/>
      <c r="AB960" s="105"/>
      <c r="AC960" s="105"/>
      <c r="AD960" s="144">
        <v>44470</v>
      </c>
      <c r="AE960" s="217" t="s">
        <v>7068</v>
      </c>
    </row>
    <row r="961" spans="1:207" ht="27" customHeight="1" x14ac:dyDescent="0.15">
      <c r="A961" s="105">
        <v>1113101339</v>
      </c>
      <c r="B961" s="130" t="s">
        <v>6815</v>
      </c>
      <c r="C961" s="108" t="s">
        <v>7132</v>
      </c>
      <c r="D961" s="108" t="s">
        <v>87</v>
      </c>
      <c r="E961" s="108" t="s">
        <v>7133</v>
      </c>
      <c r="F961" s="131" t="s">
        <v>3039</v>
      </c>
      <c r="G961" s="132" t="s">
        <v>7134</v>
      </c>
      <c r="H961" s="132" t="s">
        <v>7135</v>
      </c>
      <c r="I961" s="133"/>
      <c r="J961" s="134"/>
      <c r="K961" s="134"/>
      <c r="L961" s="134"/>
      <c r="M961" s="134" t="s">
        <v>765</v>
      </c>
      <c r="N961" s="135" t="s">
        <v>765</v>
      </c>
      <c r="O961" s="136"/>
      <c r="P961" s="105"/>
      <c r="Q961" s="137"/>
      <c r="R961" s="138"/>
      <c r="S961" s="105"/>
      <c r="T961" s="105"/>
      <c r="U961" s="105"/>
      <c r="V961" s="116"/>
      <c r="W961" s="117"/>
      <c r="X961" s="116"/>
      <c r="Y961" s="138"/>
      <c r="Z961" s="105"/>
      <c r="AA961" s="105">
        <v>20</v>
      </c>
      <c r="AB961" s="105"/>
      <c r="AC961" s="105"/>
      <c r="AD961" s="144">
        <v>44531</v>
      </c>
      <c r="AE961" s="108" t="s">
        <v>7136</v>
      </c>
    </row>
    <row r="962" spans="1:207" ht="27" customHeight="1" x14ac:dyDescent="0.15">
      <c r="A962" s="105">
        <v>1113101388</v>
      </c>
      <c r="B962" s="157" t="s">
        <v>11639</v>
      </c>
      <c r="C962" s="157" t="s">
        <v>8538</v>
      </c>
      <c r="D962" s="108" t="s">
        <v>8539</v>
      </c>
      <c r="E962" s="108" t="s">
        <v>8540</v>
      </c>
      <c r="F962" s="264" t="s">
        <v>8541</v>
      </c>
      <c r="G962" s="108" t="s">
        <v>8542</v>
      </c>
      <c r="H962" s="157" t="s">
        <v>8543</v>
      </c>
      <c r="I962" s="160" t="s">
        <v>49</v>
      </c>
      <c r="J962" s="142"/>
      <c r="K962" s="142"/>
      <c r="L962" s="142"/>
      <c r="M962" s="142"/>
      <c r="N962" s="143"/>
      <c r="O962" s="138" t="s">
        <v>49</v>
      </c>
      <c r="P962" s="105"/>
      <c r="Q962" s="116"/>
      <c r="R962" s="117"/>
      <c r="S962" s="105"/>
      <c r="T962" s="105">
        <v>30</v>
      </c>
      <c r="U962" s="105"/>
      <c r="V962" s="137"/>
      <c r="W962" s="138"/>
      <c r="X962" s="116"/>
      <c r="Y962" s="117"/>
      <c r="Z962" s="105"/>
      <c r="AA962" s="105"/>
      <c r="AB962" s="105"/>
      <c r="AC962" s="105"/>
      <c r="AD962" s="144">
        <v>45139</v>
      </c>
      <c r="AE962" s="157" t="s">
        <v>8544</v>
      </c>
    </row>
    <row r="963" spans="1:207" s="65" customFormat="1" ht="27" customHeight="1" x14ac:dyDescent="0.15">
      <c r="A963" s="105">
        <v>1113101396</v>
      </c>
      <c r="B963" s="213" t="s">
        <v>8624</v>
      </c>
      <c r="C963" s="214" t="s">
        <v>8625</v>
      </c>
      <c r="D963" s="108" t="s">
        <v>87</v>
      </c>
      <c r="E963" s="108" t="s">
        <v>8626</v>
      </c>
      <c r="F963" s="131" t="s">
        <v>8627</v>
      </c>
      <c r="G963" s="152" t="s">
        <v>684</v>
      </c>
      <c r="H963" s="132" t="s">
        <v>684</v>
      </c>
      <c r="I963" s="183"/>
      <c r="J963" s="134"/>
      <c r="K963" s="134"/>
      <c r="L963" s="134"/>
      <c r="M963" s="134" t="s">
        <v>765</v>
      </c>
      <c r="N963" s="135"/>
      <c r="O963" s="136"/>
      <c r="P963" s="105"/>
      <c r="Q963" s="137"/>
      <c r="R963" s="138"/>
      <c r="S963" s="105"/>
      <c r="T963" s="105">
        <v>20</v>
      </c>
      <c r="U963" s="105"/>
      <c r="V963" s="116"/>
      <c r="W963" s="117"/>
      <c r="X963" s="137"/>
      <c r="Y963" s="138"/>
      <c r="Z963" s="105"/>
      <c r="AA963" s="105"/>
      <c r="AB963" s="105"/>
      <c r="AC963" s="105"/>
      <c r="AD963" s="144">
        <v>45170</v>
      </c>
      <c r="AE963" s="108" t="s">
        <v>8628</v>
      </c>
    </row>
    <row r="964" spans="1:207" s="65" customFormat="1" ht="27" customHeight="1" x14ac:dyDescent="0.15">
      <c r="A964" s="175">
        <v>1113101461</v>
      </c>
      <c r="B964" s="204" t="s">
        <v>11642</v>
      </c>
      <c r="C964" s="162" t="s">
        <v>9351</v>
      </c>
      <c r="D964" s="162" t="s">
        <v>87</v>
      </c>
      <c r="E964" s="162" t="s">
        <v>9352</v>
      </c>
      <c r="F964" s="268" t="s">
        <v>9353</v>
      </c>
      <c r="G964" s="203" t="s">
        <v>10557</v>
      </c>
      <c r="H964" s="203" t="s">
        <v>9354</v>
      </c>
      <c r="I964" s="133"/>
      <c r="J964" s="134"/>
      <c r="K964" s="134"/>
      <c r="L964" s="134"/>
      <c r="M964" s="134" t="s">
        <v>765</v>
      </c>
      <c r="N964" s="135" t="s">
        <v>765</v>
      </c>
      <c r="O964" s="136"/>
      <c r="P964" s="175"/>
      <c r="Q964" s="209"/>
      <c r="R964" s="210"/>
      <c r="S964" s="175"/>
      <c r="T964" s="175"/>
      <c r="U964" s="175"/>
      <c r="V964" s="209"/>
      <c r="W964" s="210"/>
      <c r="X964" s="209">
        <v>15</v>
      </c>
      <c r="Y964" s="210"/>
      <c r="Z964" s="175"/>
      <c r="AA964" s="175"/>
      <c r="AB964" s="175"/>
      <c r="AC964" s="175"/>
      <c r="AD964" s="227">
        <v>45901</v>
      </c>
      <c r="AE964" s="162" t="s">
        <v>9355</v>
      </c>
    </row>
    <row r="965" spans="1:207" s="65" customFormat="1" ht="27" customHeight="1" x14ac:dyDescent="0.15">
      <c r="A965" s="76">
        <v>1113101487</v>
      </c>
      <c r="B965" s="163" t="s">
        <v>11640</v>
      </c>
      <c r="C965" s="164" t="s">
        <v>9545</v>
      </c>
      <c r="D965" s="166" t="s">
        <v>87</v>
      </c>
      <c r="E965" s="166" t="s">
        <v>4016</v>
      </c>
      <c r="F965" s="167">
        <v>3600834</v>
      </c>
      <c r="G965" s="168" t="s">
        <v>4017</v>
      </c>
      <c r="H965" s="168" t="s">
        <v>9546</v>
      </c>
      <c r="I965" s="178"/>
      <c r="J965" s="170"/>
      <c r="K965" s="170"/>
      <c r="L965" s="170"/>
      <c r="M965" s="170" t="s">
        <v>49</v>
      </c>
      <c r="N965" s="148" t="s">
        <v>765</v>
      </c>
      <c r="O965" s="92"/>
      <c r="P965" s="76"/>
      <c r="Q965" s="70"/>
      <c r="R965" s="92"/>
      <c r="S965" s="76"/>
      <c r="T965" s="76">
        <v>20</v>
      </c>
      <c r="U965" s="76"/>
      <c r="V965" s="70"/>
      <c r="W965" s="92"/>
      <c r="X965" s="70"/>
      <c r="Y965" s="92"/>
      <c r="Z965" s="76"/>
      <c r="AA965" s="76"/>
      <c r="AB965" s="76"/>
      <c r="AC965" s="76"/>
      <c r="AD965" s="145">
        <v>45566</v>
      </c>
      <c r="AE965" s="166" t="s">
        <v>1754</v>
      </c>
    </row>
    <row r="966" spans="1:207" s="65" customFormat="1" ht="27" customHeight="1" x14ac:dyDescent="0.15">
      <c r="A966" s="105">
        <v>1113101495</v>
      </c>
      <c r="B966" s="130" t="s">
        <v>9493</v>
      </c>
      <c r="C966" s="108" t="s">
        <v>9629</v>
      </c>
      <c r="D966" s="108" t="s">
        <v>87</v>
      </c>
      <c r="E966" s="108" t="s">
        <v>9630</v>
      </c>
      <c r="F966" s="131" t="s">
        <v>9631</v>
      </c>
      <c r="G966" s="132" t="s">
        <v>9632</v>
      </c>
      <c r="H966" s="132" t="s">
        <v>9633</v>
      </c>
      <c r="I966" s="133" t="s">
        <v>765</v>
      </c>
      <c r="J966" s="134" t="s">
        <v>765</v>
      </c>
      <c r="K966" s="134" t="s">
        <v>765</v>
      </c>
      <c r="L966" s="134" t="s">
        <v>765</v>
      </c>
      <c r="M966" s="134" t="s">
        <v>765</v>
      </c>
      <c r="N966" s="135" t="s">
        <v>765</v>
      </c>
      <c r="O966" s="136" t="s">
        <v>765</v>
      </c>
      <c r="P966" s="105"/>
      <c r="Q966" s="137"/>
      <c r="R966" s="138"/>
      <c r="S966" s="105"/>
      <c r="T966" s="105"/>
      <c r="U966" s="105"/>
      <c r="V966" s="137"/>
      <c r="W966" s="138"/>
      <c r="X966" s="137"/>
      <c r="Y966" s="138"/>
      <c r="Z966" s="105"/>
      <c r="AA966" s="105">
        <v>20</v>
      </c>
      <c r="AB966" s="105"/>
      <c r="AC966" s="105"/>
      <c r="AD966" s="144">
        <v>45597</v>
      </c>
      <c r="AE966" s="108" t="s">
        <v>9634</v>
      </c>
    </row>
    <row r="967" spans="1:207" s="218" customFormat="1" ht="26.1" customHeight="1" x14ac:dyDescent="0.15">
      <c r="A967" s="105">
        <v>1113101552</v>
      </c>
      <c r="B967" s="130" t="s">
        <v>9892</v>
      </c>
      <c r="C967" s="108" t="s">
        <v>2782</v>
      </c>
      <c r="D967" s="108" t="s">
        <v>87</v>
      </c>
      <c r="E967" s="108" t="s">
        <v>2783</v>
      </c>
      <c r="F967" s="131" t="s">
        <v>9889</v>
      </c>
      <c r="G967" s="132" t="s">
        <v>9890</v>
      </c>
      <c r="H967" s="132" t="s">
        <v>9891</v>
      </c>
      <c r="I967" s="133" t="s">
        <v>765</v>
      </c>
      <c r="J967" s="134" t="s">
        <v>765</v>
      </c>
      <c r="K967" s="134" t="s">
        <v>765</v>
      </c>
      <c r="L967" s="134" t="s">
        <v>765</v>
      </c>
      <c r="M967" s="134"/>
      <c r="N967" s="135"/>
      <c r="O967" s="136" t="s">
        <v>765</v>
      </c>
      <c r="P967" s="105"/>
      <c r="Q967" s="137"/>
      <c r="R967" s="138"/>
      <c r="S967" s="105"/>
      <c r="T967" s="105">
        <v>5</v>
      </c>
      <c r="U967" s="105"/>
      <c r="V967" s="137"/>
      <c r="W967" s="138"/>
      <c r="X967" s="137"/>
      <c r="Y967" s="138"/>
      <c r="Z967" s="105"/>
      <c r="AA967" s="105"/>
      <c r="AB967" s="105"/>
      <c r="AC967" s="105"/>
      <c r="AD967" s="118">
        <v>45689</v>
      </c>
      <c r="AE967" s="108" t="s">
        <v>2785</v>
      </c>
      <c r="AF967" s="67"/>
      <c r="AG967" s="67"/>
      <c r="AH967" s="67"/>
      <c r="AI967" s="67"/>
      <c r="AJ967" s="67"/>
      <c r="AK967" s="67"/>
      <c r="AL967" s="67"/>
      <c r="AM967" s="67"/>
      <c r="AN967" s="67"/>
      <c r="AO967" s="266"/>
      <c r="AP967" s="339"/>
      <c r="AQ967" s="340"/>
      <c r="AR967" s="340"/>
      <c r="AS967" s="340"/>
      <c r="AT967" s="341"/>
      <c r="AU967" s="342"/>
      <c r="AV967" s="342"/>
      <c r="AW967" s="342"/>
      <c r="AX967" s="342"/>
      <c r="AY967" s="342"/>
      <c r="AZ967" s="342"/>
      <c r="BA967" s="342"/>
      <c r="BB967" s="342"/>
      <c r="BC967" s="342"/>
      <c r="BD967" s="266"/>
      <c r="BE967" s="266"/>
      <c r="BF967" s="266"/>
      <c r="BG967" s="266"/>
      <c r="BH967" s="266"/>
      <c r="BI967" s="266"/>
      <c r="BJ967" s="266"/>
      <c r="BK967" s="266"/>
      <c r="BL967" s="266"/>
      <c r="BM967" s="266"/>
      <c r="BN967" s="266"/>
      <c r="BO967" s="266"/>
      <c r="BP967" s="266"/>
      <c r="BQ967" s="325"/>
      <c r="BR967" s="340"/>
      <c r="BS967" s="276"/>
      <c r="BT967" s="276"/>
      <c r="BU967" s="276"/>
      <c r="BV967" s="276"/>
      <c r="BW967" s="343"/>
      <c r="BX967" s="344"/>
      <c r="BY967" s="68"/>
      <c r="BZ967" s="149"/>
      <c r="CA967" s="149"/>
      <c r="CB967" s="149"/>
      <c r="CC967" s="149"/>
      <c r="CD967" s="149"/>
      <c r="CE967" s="149"/>
      <c r="CF967" s="149"/>
      <c r="CG967" s="149"/>
      <c r="CH967" s="149"/>
      <c r="CI967" s="149"/>
      <c r="CJ967" s="149"/>
      <c r="CK967" s="149"/>
      <c r="CL967" s="149"/>
      <c r="CM967" s="65"/>
      <c r="CN967" s="149"/>
      <c r="CO967" s="65"/>
      <c r="CP967" s="65"/>
      <c r="CQ967" s="65"/>
      <c r="CR967" s="65"/>
      <c r="CS967" s="65"/>
      <c r="CT967" s="65"/>
      <c r="CU967" s="65"/>
      <c r="CV967" s="65"/>
      <c r="CW967" s="65"/>
      <c r="CX967" s="65"/>
      <c r="CY967" s="65"/>
      <c r="CZ967" s="65"/>
      <c r="DA967" s="149"/>
      <c r="DB967" s="149"/>
      <c r="DC967" s="149"/>
      <c r="DD967" s="149"/>
      <c r="DE967" s="149"/>
      <c r="DF967" s="345"/>
      <c r="DG967" s="65"/>
      <c r="DH967" s="65"/>
      <c r="DI967" s="65"/>
      <c r="DJ967" s="65"/>
      <c r="DK967" s="65"/>
      <c r="DL967" s="82"/>
      <c r="DM967" s="67"/>
      <c r="DN967" s="65"/>
      <c r="DO967" s="67"/>
      <c r="DP967" s="67"/>
      <c r="DQ967" s="67"/>
      <c r="DR967" s="67"/>
      <c r="DS967" s="67"/>
      <c r="DT967" s="67"/>
      <c r="DU967" s="67"/>
      <c r="DV967" s="67"/>
      <c r="DW967" s="67"/>
      <c r="DX967" s="67"/>
      <c r="DY967" s="67"/>
      <c r="DZ967" s="266"/>
      <c r="EA967" s="339"/>
      <c r="EB967" s="340"/>
      <c r="EC967" s="340"/>
      <c r="ED967" s="340"/>
      <c r="EE967" s="341"/>
      <c r="EF967" s="342"/>
      <c r="EG967" s="342"/>
      <c r="EH967" s="342"/>
      <c r="EI967" s="342"/>
      <c r="EJ967" s="342"/>
      <c r="EK967" s="342"/>
      <c r="EL967" s="342"/>
      <c r="EM967" s="342"/>
      <c r="EN967" s="342"/>
      <c r="EO967" s="266"/>
      <c r="EP967" s="266"/>
      <c r="EQ967" s="266"/>
      <c r="ER967" s="266"/>
      <c r="ES967" s="266"/>
      <c r="ET967" s="266"/>
      <c r="EU967" s="266"/>
      <c r="EV967" s="266"/>
      <c r="EW967" s="266"/>
      <c r="EX967" s="266"/>
      <c r="EY967" s="266"/>
      <c r="EZ967" s="266"/>
      <c r="FA967" s="266"/>
      <c r="FB967" s="325"/>
      <c r="FC967" s="340"/>
      <c r="FD967" s="276"/>
      <c r="FE967" s="276"/>
      <c r="FF967" s="276"/>
      <c r="FG967" s="276"/>
      <c r="FH967" s="343"/>
      <c r="FI967" s="344"/>
      <c r="FJ967" s="68"/>
      <c r="FK967" s="149"/>
      <c r="FL967" s="149"/>
      <c r="FM967" s="149"/>
      <c r="FN967" s="149"/>
      <c r="FO967" s="149"/>
      <c r="FP967" s="149"/>
      <c r="FQ967" s="149"/>
      <c r="FR967" s="149"/>
      <c r="FS967" s="149"/>
      <c r="FT967" s="149"/>
      <c r="FU967" s="149"/>
      <c r="FV967" s="149"/>
      <c r="FW967" s="149"/>
      <c r="FX967" s="65"/>
      <c r="FY967" s="149"/>
      <c r="FZ967" s="65"/>
      <c r="GA967" s="65"/>
      <c r="GB967" s="65"/>
      <c r="GC967" s="65"/>
      <c r="GD967" s="65"/>
      <c r="GE967" s="65"/>
      <c r="GF967" s="65"/>
      <c r="GG967" s="65"/>
      <c r="GH967" s="65"/>
      <c r="GI967" s="65"/>
      <c r="GJ967" s="65"/>
      <c r="GK967" s="65"/>
      <c r="GL967" s="149"/>
      <c r="GM967" s="149"/>
      <c r="GN967" s="149"/>
      <c r="GO967" s="149"/>
      <c r="GP967" s="149"/>
      <c r="GQ967" s="345"/>
      <c r="GR967" s="65"/>
      <c r="GS967" s="65"/>
      <c r="GT967" s="65"/>
      <c r="GU967" s="65"/>
      <c r="GV967" s="65"/>
      <c r="GW967" s="82"/>
      <c r="GX967" s="67"/>
      <c r="GY967" s="65"/>
    </row>
    <row r="968" spans="1:207" s="65" customFormat="1" ht="27" customHeight="1" x14ac:dyDescent="0.15">
      <c r="A968" s="132">
        <v>1113101578</v>
      </c>
      <c r="B968" s="108" t="s">
        <v>10433</v>
      </c>
      <c r="C968" s="108" t="s">
        <v>10434</v>
      </c>
      <c r="D968" s="108" t="s">
        <v>87</v>
      </c>
      <c r="E968" s="346" t="s">
        <v>10435</v>
      </c>
      <c r="F968" s="132" t="s">
        <v>10436</v>
      </c>
      <c r="G968" s="132" t="s">
        <v>10437</v>
      </c>
      <c r="H968" s="132" t="s">
        <v>10438</v>
      </c>
      <c r="I968" s="134"/>
      <c r="J968" s="134"/>
      <c r="K968" s="134"/>
      <c r="L968" s="134"/>
      <c r="M968" s="135"/>
      <c r="N968" s="135" t="s">
        <v>765</v>
      </c>
      <c r="O968" s="138"/>
      <c r="P968" s="137"/>
      <c r="Q968" s="116"/>
      <c r="R968" s="117"/>
      <c r="S968" s="105"/>
      <c r="T968" s="105"/>
      <c r="U968" s="137"/>
      <c r="V968" s="116"/>
      <c r="W968" s="347"/>
      <c r="X968" s="116"/>
      <c r="Y968" s="117"/>
      <c r="Z968" s="105"/>
      <c r="AA968" s="105">
        <v>20</v>
      </c>
      <c r="AB968" s="118"/>
      <c r="AC968" s="118"/>
      <c r="AD968" s="132" t="s">
        <v>10363</v>
      </c>
      <c r="AE968" s="80" t="s">
        <v>10439</v>
      </c>
    </row>
    <row r="969" spans="1:207" s="65" customFormat="1" ht="27" customHeight="1" x14ac:dyDescent="0.15">
      <c r="A969" s="105">
        <v>1113101610</v>
      </c>
      <c r="B969" s="106" t="s">
        <v>11641</v>
      </c>
      <c r="C969" s="107" t="s">
        <v>11350</v>
      </c>
      <c r="D969" s="108" t="s">
        <v>87</v>
      </c>
      <c r="E969" s="108" t="s">
        <v>11351</v>
      </c>
      <c r="F969" s="139" t="s">
        <v>11352</v>
      </c>
      <c r="G969" s="140" t="s">
        <v>11353</v>
      </c>
      <c r="H969" s="140" t="s">
        <v>11354</v>
      </c>
      <c r="I969" s="141" t="s">
        <v>765</v>
      </c>
      <c r="J969" s="142" t="s">
        <v>765</v>
      </c>
      <c r="K969" s="142" t="s">
        <v>765</v>
      </c>
      <c r="L969" s="142" t="s">
        <v>765</v>
      </c>
      <c r="M969" s="142" t="s">
        <v>765</v>
      </c>
      <c r="N969" s="143" t="s">
        <v>765</v>
      </c>
      <c r="O969" s="138" t="s">
        <v>765</v>
      </c>
      <c r="P969" s="105"/>
      <c r="Q969" s="137"/>
      <c r="R969" s="138"/>
      <c r="S969" s="105"/>
      <c r="T969" s="105">
        <v>20</v>
      </c>
      <c r="U969" s="105"/>
      <c r="V969" s="137"/>
      <c r="W969" s="138"/>
      <c r="X969" s="137"/>
      <c r="Y969" s="138"/>
      <c r="Z969" s="105"/>
      <c r="AA969" s="105"/>
      <c r="AB969" s="105"/>
      <c r="AC969" s="105"/>
      <c r="AD969" s="144">
        <v>46113</v>
      </c>
      <c r="AE969" s="108" t="s">
        <v>11355</v>
      </c>
    </row>
    <row r="970" spans="1:207" ht="27" customHeight="1" x14ac:dyDescent="0.15">
      <c r="A970" s="105">
        <v>1113101628</v>
      </c>
      <c r="B970" s="106" t="s">
        <v>5425</v>
      </c>
      <c r="C970" s="107" t="s">
        <v>11495</v>
      </c>
      <c r="D970" s="108" t="s">
        <v>87</v>
      </c>
      <c r="E970" s="108" t="s">
        <v>11496</v>
      </c>
      <c r="F970" s="139" t="s">
        <v>11497</v>
      </c>
      <c r="G970" s="140" t="s">
        <v>11498</v>
      </c>
      <c r="H970" s="140" t="s">
        <v>11499</v>
      </c>
      <c r="I970" s="141"/>
      <c r="J970" s="142" t="s">
        <v>6457</v>
      </c>
      <c r="K970" s="142" t="s">
        <v>6457</v>
      </c>
      <c r="L970" s="142" t="s">
        <v>6457</v>
      </c>
      <c r="M970" s="134" t="s">
        <v>6457</v>
      </c>
      <c r="N970" s="134" t="s">
        <v>6457</v>
      </c>
      <c r="O970" s="138" t="s">
        <v>6457</v>
      </c>
      <c r="P970" s="105"/>
      <c r="Q970" s="137"/>
      <c r="R970" s="138"/>
      <c r="S970" s="105"/>
      <c r="T970" s="105"/>
      <c r="U970" s="105"/>
      <c r="V970" s="137"/>
      <c r="W970" s="138"/>
      <c r="X970" s="137">
        <v>12</v>
      </c>
      <c r="Y970" s="138"/>
      <c r="Z970" s="105"/>
      <c r="AA970" s="105"/>
      <c r="AB970" s="105"/>
      <c r="AC970" s="105"/>
      <c r="AD970" s="155">
        <v>46143</v>
      </c>
      <c r="AE970" s="108" t="s">
        <v>11500</v>
      </c>
    </row>
    <row r="971" spans="1:207" s="65" customFormat="1" ht="27" customHeight="1" x14ac:dyDescent="0.15">
      <c r="A971" s="105">
        <v>1113200016</v>
      </c>
      <c r="B971" s="106" t="s">
        <v>1856</v>
      </c>
      <c r="C971" s="107" t="s">
        <v>1857</v>
      </c>
      <c r="D971" s="108" t="s">
        <v>1858</v>
      </c>
      <c r="E971" s="108" t="s">
        <v>1859</v>
      </c>
      <c r="F971" s="139">
        <v>3550807</v>
      </c>
      <c r="G971" s="140" t="s">
        <v>1860</v>
      </c>
      <c r="H971" s="140" t="s">
        <v>1861</v>
      </c>
      <c r="I971" s="141" t="s">
        <v>1906</v>
      </c>
      <c r="J971" s="142"/>
      <c r="K971" s="142"/>
      <c r="L971" s="142"/>
      <c r="M971" s="142"/>
      <c r="N971" s="143"/>
      <c r="O971" s="138"/>
      <c r="P971" s="105">
        <v>40</v>
      </c>
      <c r="Q971" s="137"/>
      <c r="R971" s="138">
        <v>4</v>
      </c>
      <c r="S971" s="105"/>
      <c r="T971" s="105">
        <v>40</v>
      </c>
      <c r="U971" s="105"/>
      <c r="V971" s="137"/>
      <c r="W971" s="138"/>
      <c r="X971" s="137"/>
      <c r="Y971" s="138"/>
      <c r="Z971" s="105"/>
      <c r="AA971" s="105"/>
      <c r="AB971" s="105"/>
      <c r="AC971" s="105"/>
      <c r="AD971" s="144">
        <v>41000</v>
      </c>
      <c r="AE971" s="108" t="s">
        <v>1907</v>
      </c>
    </row>
    <row r="972" spans="1:207" s="65" customFormat="1" ht="27" customHeight="1" x14ac:dyDescent="0.15">
      <c r="A972" s="105">
        <v>1113200024</v>
      </c>
      <c r="B972" s="106" t="s">
        <v>1610</v>
      </c>
      <c r="C972" s="107" t="s">
        <v>1611</v>
      </c>
      <c r="D972" s="108" t="s">
        <v>178</v>
      </c>
      <c r="E972" s="108" t="s">
        <v>1612</v>
      </c>
      <c r="F972" s="139">
        <v>3550811</v>
      </c>
      <c r="G972" s="140" t="s">
        <v>1613</v>
      </c>
      <c r="H972" s="140" t="s">
        <v>1614</v>
      </c>
      <c r="I972" s="141"/>
      <c r="J972" s="142"/>
      <c r="K972" s="142"/>
      <c r="L972" s="142"/>
      <c r="M972" s="142" t="s">
        <v>765</v>
      </c>
      <c r="N972" s="143"/>
      <c r="O972" s="138"/>
      <c r="P972" s="105">
        <v>56</v>
      </c>
      <c r="Q972" s="137" t="s">
        <v>765</v>
      </c>
      <c r="R972" s="138">
        <v>2</v>
      </c>
      <c r="S972" s="105"/>
      <c r="T972" s="105">
        <v>56</v>
      </c>
      <c r="U972" s="105"/>
      <c r="V972" s="137"/>
      <c r="W972" s="138"/>
      <c r="X972" s="137"/>
      <c r="Y972" s="138"/>
      <c r="Z972" s="105"/>
      <c r="AA972" s="105"/>
      <c r="AB972" s="105"/>
      <c r="AC972" s="105"/>
      <c r="AD972" s="144">
        <v>40940</v>
      </c>
      <c r="AE972" s="108" t="s">
        <v>1615</v>
      </c>
    </row>
    <row r="973" spans="1:207" ht="27" customHeight="1" x14ac:dyDescent="0.15">
      <c r="A973" s="105">
        <v>1113214322</v>
      </c>
      <c r="B973" s="106" t="s">
        <v>428</v>
      </c>
      <c r="C973" s="107" t="s">
        <v>532</v>
      </c>
      <c r="D973" s="108" t="s">
        <v>88</v>
      </c>
      <c r="E973" s="108" t="s">
        <v>169</v>
      </c>
      <c r="F973" s="139">
        <v>3550201</v>
      </c>
      <c r="G973" s="140" t="s">
        <v>686</v>
      </c>
      <c r="H973" s="140" t="s">
        <v>687</v>
      </c>
      <c r="I973" s="141"/>
      <c r="J973" s="142"/>
      <c r="K973" s="142"/>
      <c r="L973" s="142"/>
      <c r="M973" s="142" t="s">
        <v>302</v>
      </c>
      <c r="N973" s="143"/>
      <c r="O973" s="138"/>
      <c r="P973" s="105">
        <v>329</v>
      </c>
      <c r="Q973" s="137" t="s">
        <v>2681</v>
      </c>
      <c r="R973" s="138">
        <v>28</v>
      </c>
      <c r="S973" s="105"/>
      <c r="T973" s="105">
        <v>329</v>
      </c>
      <c r="U973" s="105"/>
      <c r="V973" s="137"/>
      <c r="W973" s="138"/>
      <c r="X973" s="137"/>
      <c r="Y973" s="138"/>
      <c r="Z973" s="105"/>
      <c r="AA973" s="105"/>
      <c r="AB973" s="105"/>
      <c r="AC973" s="105"/>
      <c r="AD973" s="144">
        <v>39173</v>
      </c>
      <c r="AE973" s="108" t="s">
        <v>6143</v>
      </c>
    </row>
    <row r="974" spans="1:207" ht="27" customHeight="1" x14ac:dyDescent="0.15">
      <c r="A974" s="105">
        <v>1113214322</v>
      </c>
      <c r="B974" s="106" t="s">
        <v>428</v>
      </c>
      <c r="C974" s="107" t="s">
        <v>532</v>
      </c>
      <c r="D974" s="108" t="s">
        <v>88</v>
      </c>
      <c r="E974" s="108" t="s">
        <v>169</v>
      </c>
      <c r="F974" s="139">
        <v>3550201</v>
      </c>
      <c r="G974" s="140" t="s">
        <v>686</v>
      </c>
      <c r="H974" s="140" t="s">
        <v>687</v>
      </c>
      <c r="I974" s="141"/>
      <c r="J974" s="142"/>
      <c r="K974" s="142"/>
      <c r="L974" s="142"/>
      <c r="M974" s="142" t="s">
        <v>49</v>
      </c>
      <c r="N974" s="143"/>
      <c r="O974" s="138"/>
      <c r="P974" s="105"/>
      <c r="Q974" s="152" t="s">
        <v>2610</v>
      </c>
      <c r="R974" s="138">
        <v>5</v>
      </c>
      <c r="S974" s="105">
        <v>60</v>
      </c>
      <c r="T974" s="105"/>
      <c r="U974" s="105"/>
      <c r="V974" s="137"/>
      <c r="W974" s="138"/>
      <c r="X974" s="137"/>
      <c r="Y974" s="138"/>
      <c r="Z974" s="105"/>
      <c r="AA974" s="105"/>
      <c r="AB974" s="105"/>
      <c r="AC974" s="105"/>
      <c r="AD974" s="144">
        <v>41000</v>
      </c>
      <c r="AE974" s="108" t="s">
        <v>6144</v>
      </c>
    </row>
    <row r="975" spans="1:207" ht="27" customHeight="1" x14ac:dyDescent="0.15">
      <c r="A975" s="150">
        <v>1113214363</v>
      </c>
      <c r="B975" s="106" t="s">
        <v>429</v>
      </c>
      <c r="C975" s="182" t="s">
        <v>8134</v>
      </c>
      <c r="D975" s="108" t="s">
        <v>799</v>
      </c>
      <c r="E975" s="108" t="s">
        <v>800</v>
      </c>
      <c r="F975" s="151">
        <v>3550225</v>
      </c>
      <c r="G975" s="132" t="s">
        <v>801</v>
      </c>
      <c r="H975" s="132" t="s">
        <v>802</v>
      </c>
      <c r="I975" s="133"/>
      <c r="J975" s="134"/>
      <c r="K975" s="134"/>
      <c r="L975" s="134"/>
      <c r="M975" s="134" t="s">
        <v>49</v>
      </c>
      <c r="N975" s="135"/>
      <c r="O975" s="136"/>
      <c r="P975" s="105">
        <v>40</v>
      </c>
      <c r="Q975" s="152" t="s">
        <v>456</v>
      </c>
      <c r="R975" s="138">
        <v>3</v>
      </c>
      <c r="S975" s="105"/>
      <c r="T975" s="105">
        <v>40</v>
      </c>
      <c r="U975" s="105"/>
      <c r="V975" s="116"/>
      <c r="W975" s="117"/>
      <c r="X975" s="116"/>
      <c r="Y975" s="138"/>
      <c r="Z975" s="105"/>
      <c r="AA975" s="105"/>
      <c r="AB975" s="105"/>
      <c r="AC975" s="105"/>
      <c r="AD975" s="118">
        <v>39722</v>
      </c>
      <c r="AE975" s="108" t="s">
        <v>2674</v>
      </c>
    </row>
    <row r="976" spans="1:207" ht="27" customHeight="1" x14ac:dyDescent="0.15">
      <c r="A976" s="105">
        <v>1113214389</v>
      </c>
      <c r="B976" s="130" t="s">
        <v>788</v>
      </c>
      <c r="C976" s="108" t="s">
        <v>803</v>
      </c>
      <c r="D976" s="108" t="s">
        <v>88</v>
      </c>
      <c r="E976" s="108" t="s">
        <v>170</v>
      </c>
      <c r="F976" s="131">
        <v>3550225</v>
      </c>
      <c r="G976" s="132" t="s">
        <v>688</v>
      </c>
      <c r="H976" s="132" t="s">
        <v>689</v>
      </c>
      <c r="I976" s="116" t="s">
        <v>2100</v>
      </c>
      <c r="J976" s="154" t="s">
        <v>2100</v>
      </c>
      <c r="K976" s="154" t="s">
        <v>2100</v>
      </c>
      <c r="L976" s="154" t="s">
        <v>2100</v>
      </c>
      <c r="M976" s="134" t="s">
        <v>269</v>
      </c>
      <c r="N976" s="143" t="s">
        <v>2100</v>
      </c>
      <c r="O976" s="138" t="s">
        <v>2170</v>
      </c>
      <c r="P976" s="105"/>
      <c r="Q976" s="137"/>
      <c r="R976" s="138"/>
      <c r="S976" s="105"/>
      <c r="T976" s="105">
        <v>30</v>
      </c>
      <c r="U976" s="105"/>
      <c r="V976" s="116"/>
      <c r="W976" s="117"/>
      <c r="X976" s="116"/>
      <c r="Y976" s="138"/>
      <c r="Z976" s="105"/>
      <c r="AA976" s="105">
        <v>10</v>
      </c>
      <c r="AB976" s="105"/>
      <c r="AC976" s="105"/>
      <c r="AD976" s="118">
        <v>39173</v>
      </c>
      <c r="AE976" s="108" t="s">
        <v>804</v>
      </c>
    </row>
    <row r="977" spans="1:31" ht="27" customHeight="1" x14ac:dyDescent="0.15">
      <c r="A977" s="105">
        <v>1113228629</v>
      </c>
      <c r="B977" s="130" t="s">
        <v>1066</v>
      </c>
      <c r="C977" s="108" t="s">
        <v>1067</v>
      </c>
      <c r="D977" s="108" t="s">
        <v>571</v>
      </c>
      <c r="E977" s="108" t="s">
        <v>1068</v>
      </c>
      <c r="F977" s="131">
        <v>3550327</v>
      </c>
      <c r="G977" s="132" t="s">
        <v>1069</v>
      </c>
      <c r="H977" s="132" t="s">
        <v>3427</v>
      </c>
      <c r="I977" s="116"/>
      <c r="J977" s="154"/>
      <c r="K977" s="154"/>
      <c r="L977" s="154"/>
      <c r="M977" s="134" t="s">
        <v>49</v>
      </c>
      <c r="N977" s="143"/>
      <c r="O977" s="138"/>
      <c r="P977" s="105"/>
      <c r="Q977" s="137"/>
      <c r="R977" s="138"/>
      <c r="S977" s="105"/>
      <c r="T977" s="105">
        <v>35</v>
      </c>
      <c r="U977" s="105"/>
      <c r="V977" s="270"/>
      <c r="W977" s="271"/>
      <c r="X977" s="137"/>
      <c r="Y977" s="138"/>
      <c r="Z977" s="105"/>
      <c r="AA977" s="105"/>
      <c r="AB977" s="105"/>
      <c r="AC977" s="105"/>
      <c r="AD977" s="118">
        <v>40452</v>
      </c>
      <c r="AE977" s="108" t="s">
        <v>1070</v>
      </c>
    </row>
    <row r="978" spans="1:31" s="65" customFormat="1" ht="27" customHeight="1" x14ac:dyDescent="0.15">
      <c r="A978" s="150">
        <v>1113242927</v>
      </c>
      <c r="B978" s="106" t="s">
        <v>431</v>
      </c>
      <c r="C978" s="107" t="s">
        <v>805</v>
      </c>
      <c r="D978" s="108" t="s">
        <v>806</v>
      </c>
      <c r="E978" s="108" t="s">
        <v>807</v>
      </c>
      <c r="F978" s="151">
        <v>3500122</v>
      </c>
      <c r="G978" s="132" t="s">
        <v>808</v>
      </c>
      <c r="H978" s="132" t="s">
        <v>809</v>
      </c>
      <c r="I978" s="133"/>
      <c r="J978" s="154"/>
      <c r="K978" s="154"/>
      <c r="L978" s="154"/>
      <c r="M978" s="154" t="s">
        <v>66</v>
      </c>
      <c r="N978" s="143" t="s">
        <v>856</v>
      </c>
      <c r="O978" s="138"/>
      <c r="P978" s="150"/>
      <c r="Q978" s="137"/>
      <c r="R978" s="138"/>
      <c r="S978" s="150"/>
      <c r="T978" s="150">
        <v>30</v>
      </c>
      <c r="U978" s="105"/>
      <c r="V978" s="137"/>
      <c r="W978" s="138"/>
      <c r="X978" s="137"/>
      <c r="Y978" s="138"/>
      <c r="Z978" s="105"/>
      <c r="AA978" s="105">
        <v>10</v>
      </c>
      <c r="AB978" s="105"/>
      <c r="AC978" s="105"/>
      <c r="AD978" s="144">
        <v>39904</v>
      </c>
      <c r="AE978" s="108" t="s">
        <v>534</v>
      </c>
    </row>
    <row r="979" spans="1:31" s="65" customFormat="1" ht="27" customHeight="1" x14ac:dyDescent="0.15">
      <c r="A979" s="150">
        <v>1113257537</v>
      </c>
      <c r="B979" s="106" t="s">
        <v>1616</v>
      </c>
      <c r="C979" s="107" t="s">
        <v>8258</v>
      </c>
      <c r="D979" s="108" t="s">
        <v>464</v>
      </c>
      <c r="E979" s="108" t="s">
        <v>1617</v>
      </c>
      <c r="F979" s="151">
        <v>3550167</v>
      </c>
      <c r="G979" s="152" t="s">
        <v>1618</v>
      </c>
      <c r="H979" s="132" t="s">
        <v>1619</v>
      </c>
      <c r="I979" s="183"/>
      <c r="J979" s="154"/>
      <c r="K979" s="154"/>
      <c r="L979" s="154"/>
      <c r="M979" s="154" t="s">
        <v>765</v>
      </c>
      <c r="N979" s="143"/>
      <c r="O979" s="138"/>
      <c r="P979" s="150">
        <v>60</v>
      </c>
      <c r="Q979" s="137" t="s">
        <v>49</v>
      </c>
      <c r="R979" s="138">
        <v>2</v>
      </c>
      <c r="S979" s="150"/>
      <c r="T979" s="150">
        <v>60</v>
      </c>
      <c r="U979" s="105"/>
      <c r="V979" s="137"/>
      <c r="W979" s="138"/>
      <c r="X979" s="137"/>
      <c r="Y979" s="138"/>
      <c r="Z979" s="105"/>
      <c r="AA979" s="348"/>
      <c r="AB979" s="105"/>
      <c r="AC979" s="105"/>
      <c r="AD979" s="144">
        <v>40940</v>
      </c>
      <c r="AE979" s="108" t="s">
        <v>11371</v>
      </c>
    </row>
    <row r="980" spans="1:31" ht="27" customHeight="1" x14ac:dyDescent="0.15">
      <c r="A980" s="277">
        <v>1113257545</v>
      </c>
      <c r="B980" s="278" t="s">
        <v>1547</v>
      </c>
      <c r="C980" s="243" t="s">
        <v>1548</v>
      </c>
      <c r="D980" s="243" t="s">
        <v>464</v>
      </c>
      <c r="E980" s="108" t="s">
        <v>1549</v>
      </c>
      <c r="F980" s="139">
        <v>3550167</v>
      </c>
      <c r="G980" s="277" t="s">
        <v>5085</v>
      </c>
      <c r="H980" s="277" t="s">
        <v>5086</v>
      </c>
      <c r="I980" s="245"/>
      <c r="J980" s="246"/>
      <c r="K980" s="246"/>
      <c r="L980" s="246"/>
      <c r="M980" s="134" t="s">
        <v>49</v>
      </c>
      <c r="N980" s="279"/>
      <c r="O980" s="247"/>
      <c r="P980" s="132">
        <v>60</v>
      </c>
      <c r="Q980" s="152" t="s">
        <v>49</v>
      </c>
      <c r="R980" s="136">
        <v>5</v>
      </c>
      <c r="S980" s="132"/>
      <c r="T980" s="132">
        <v>60</v>
      </c>
      <c r="U980" s="132"/>
      <c r="V980" s="152"/>
      <c r="W980" s="136"/>
      <c r="X980" s="152"/>
      <c r="Y980" s="136"/>
      <c r="Z980" s="277"/>
      <c r="AA980" s="136"/>
      <c r="AB980" s="132"/>
      <c r="AC980" s="132"/>
      <c r="AD980" s="250">
        <v>40878</v>
      </c>
      <c r="AE980" s="108" t="s">
        <v>1550</v>
      </c>
    </row>
    <row r="981" spans="1:31" ht="27" customHeight="1" x14ac:dyDescent="0.15">
      <c r="A981" s="150">
        <v>1113271520</v>
      </c>
      <c r="B981" s="130" t="s">
        <v>873</v>
      </c>
      <c r="C981" s="108" t="s">
        <v>891</v>
      </c>
      <c r="D981" s="108" t="s">
        <v>892</v>
      </c>
      <c r="E981" s="108" t="s">
        <v>915</v>
      </c>
      <c r="F981" s="230">
        <v>3500302</v>
      </c>
      <c r="G981" s="132" t="s">
        <v>916</v>
      </c>
      <c r="H981" s="132" t="s">
        <v>917</v>
      </c>
      <c r="I981" s="116"/>
      <c r="J981" s="154"/>
      <c r="K981" s="154"/>
      <c r="L981" s="154"/>
      <c r="M981" s="154" t="s">
        <v>950</v>
      </c>
      <c r="N981" s="143"/>
      <c r="O981" s="138"/>
      <c r="P981" s="105">
        <v>57</v>
      </c>
      <c r="Q981" s="137" t="s">
        <v>2681</v>
      </c>
      <c r="R981" s="138">
        <v>2</v>
      </c>
      <c r="S981" s="105"/>
      <c r="T981" s="105">
        <v>60</v>
      </c>
      <c r="U981" s="105"/>
      <c r="V981" s="116"/>
      <c r="W981" s="117"/>
      <c r="X981" s="116"/>
      <c r="Y981" s="138"/>
      <c r="Z981" s="105"/>
      <c r="AA981" s="105"/>
      <c r="AB981" s="105"/>
      <c r="AC981" s="105"/>
      <c r="AD981" s="118">
        <v>40269</v>
      </c>
      <c r="AE981" s="108" t="s">
        <v>996</v>
      </c>
    </row>
    <row r="982" spans="1:31" ht="27" customHeight="1" x14ac:dyDescent="0.15">
      <c r="A982" s="105">
        <v>1113285819</v>
      </c>
      <c r="B982" s="130" t="s">
        <v>1552</v>
      </c>
      <c r="C982" s="108" t="s">
        <v>1553</v>
      </c>
      <c r="D982" s="108" t="s">
        <v>1554</v>
      </c>
      <c r="E982" s="108" t="s">
        <v>1557</v>
      </c>
      <c r="F982" s="131">
        <v>3550342</v>
      </c>
      <c r="G982" s="132" t="s">
        <v>1555</v>
      </c>
      <c r="H982" s="132" t="s">
        <v>2980</v>
      </c>
      <c r="I982" s="133"/>
      <c r="J982" s="134"/>
      <c r="K982" s="134"/>
      <c r="L982" s="134"/>
      <c r="M982" s="134" t="s">
        <v>49</v>
      </c>
      <c r="N982" s="135"/>
      <c r="O982" s="136"/>
      <c r="P982" s="105"/>
      <c r="Q982" s="137"/>
      <c r="R982" s="138"/>
      <c r="S982" s="105"/>
      <c r="T982" s="105">
        <v>18</v>
      </c>
      <c r="U982" s="105"/>
      <c r="V982" s="116"/>
      <c r="W982" s="117"/>
      <c r="X982" s="133"/>
      <c r="Y982" s="138"/>
      <c r="Z982" s="105"/>
      <c r="AA982" s="132">
        <v>22</v>
      </c>
      <c r="AB982" s="132"/>
      <c r="AC982" s="132"/>
      <c r="AD982" s="118">
        <v>40878</v>
      </c>
      <c r="AE982" s="108" t="s">
        <v>1556</v>
      </c>
    </row>
    <row r="983" spans="1:31" ht="27" customHeight="1" x14ac:dyDescent="0.15">
      <c r="A983" s="105">
        <v>1113285900</v>
      </c>
      <c r="B983" s="130" t="s">
        <v>407</v>
      </c>
      <c r="C983" s="108" t="s">
        <v>463</v>
      </c>
      <c r="D983" s="108" t="s">
        <v>464</v>
      </c>
      <c r="E983" s="108" t="s">
        <v>2133</v>
      </c>
      <c r="F983" s="139">
        <v>3550137</v>
      </c>
      <c r="G983" s="132" t="s">
        <v>2134</v>
      </c>
      <c r="H983" s="132" t="s">
        <v>2135</v>
      </c>
      <c r="I983" s="133" t="s">
        <v>2136</v>
      </c>
      <c r="J983" s="134" t="s">
        <v>2136</v>
      </c>
      <c r="K983" s="134" t="s">
        <v>2136</v>
      </c>
      <c r="L983" s="134" t="s">
        <v>2136</v>
      </c>
      <c r="M983" s="134" t="s">
        <v>2136</v>
      </c>
      <c r="N983" s="135" t="s">
        <v>2136</v>
      </c>
      <c r="O983" s="136"/>
      <c r="P983" s="105"/>
      <c r="Q983" s="137"/>
      <c r="R983" s="138"/>
      <c r="S983" s="105"/>
      <c r="T983" s="105"/>
      <c r="U983" s="105"/>
      <c r="V983" s="116"/>
      <c r="W983" s="117"/>
      <c r="X983" s="133"/>
      <c r="Y983" s="138"/>
      <c r="Z983" s="105"/>
      <c r="AA983" s="132">
        <v>30</v>
      </c>
      <c r="AB983" s="132"/>
      <c r="AC983" s="132"/>
      <c r="AD983" s="118">
        <v>39600</v>
      </c>
      <c r="AE983" s="108" t="s">
        <v>2137</v>
      </c>
    </row>
    <row r="984" spans="1:31" ht="27" customHeight="1" x14ac:dyDescent="0.15">
      <c r="A984" s="105">
        <v>1113285926</v>
      </c>
      <c r="B984" s="130" t="s">
        <v>176</v>
      </c>
      <c r="C984" s="108" t="s">
        <v>177</v>
      </c>
      <c r="D984" s="108" t="s">
        <v>178</v>
      </c>
      <c r="E984" s="108" t="s">
        <v>179</v>
      </c>
      <c r="F984" s="131">
        <v>3550811</v>
      </c>
      <c r="G984" s="152" t="s">
        <v>180</v>
      </c>
      <c r="H984" s="132" t="s">
        <v>181</v>
      </c>
      <c r="I984" s="183"/>
      <c r="J984" s="134"/>
      <c r="K984" s="134"/>
      <c r="L984" s="134"/>
      <c r="M984" s="134" t="s">
        <v>133</v>
      </c>
      <c r="N984" s="135" t="s">
        <v>133</v>
      </c>
      <c r="O984" s="136"/>
      <c r="P984" s="105"/>
      <c r="Q984" s="116"/>
      <c r="R984" s="138"/>
      <c r="S984" s="105"/>
      <c r="T984" s="105"/>
      <c r="U984" s="105"/>
      <c r="V984" s="116"/>
      <c r="W984" s="117"/>
      <c r="X984" s="133"/>
      <c r="Y984" s="138"/>
      <c r="Z984" s="105"/>
      <c r="AA984" s="132">
        <v>20</v>
      </c>
      <c r="AB984" s="132"/>
      <c r="AC984" s="132"/>
      <c r="AD984" s="118">
        <v>40057</v>
      </c>
      <c r="AE984" s="108" t="s">
        <v>310</v>
      </c>
    </row>
    <row r="985" spans="1:31" s="93" customFormat="1" ht="27" customHeight="1" x14ac:dyDescent="0.15">
      <c r="A985" s="105">
        <v>1113285926</v>
      </c>
      <c r="B985" s="108" t="s">
        <v>10866</v>
      </c>
      <c r="C985" s="108" t="s">
        <v>10867</v>
      </c>
      <c r="D985" s="108" t="s">
        <v>178</v>
      </c>
      <c r="E985" s="108" t="s">
        <v>10868</v>
      </c>
      <c r="F985" s="264" t="s">
        <v>6575</v>
      </c>
      <c r="G985" s="105" t="s">
        <v>10869</v>
      </c>
      <c r="H985" s="105" t="s">
        <v>10870</v>
      </c>
      <c r="I985" s="141"/>
      <c r="J985" s="142"/>
      <c r="K985" s="142"/>
      <c r="L985" s="142"/>
      <c r="M985" s="142" t="s">
        <v>395</v>
      </c>
      <c r="N985" s="143" t="s">
        <v>396</v>
      </c>
      <c r="O985" s="138"/>
      <c r="P985" s="105"/>
      <c r="Q985" s="137"/>
      <c r="R985" s="138"/>
      <c r="S985" s="105"/>
      <c r="T985" s="105"/>
      <c r="U985" s="105"/>
      <c r="V985" s="137"/>
      <c r="W985" s="138"/>
      <c r="X985" s="137"/>
      <c r="Y985" s="138"/>
      <c r="Z985" s="105"/>
      <c r="AA985" s="105"/>
      <c r="AB985" s="105"/>
      <c r="AC985" s="105">
        <v>10</v>
      </c>
      <c r="AD985" s="155">
        <v>45962</v>
      </c>
      <c r="AE985" s="157" t="s">
        <v>10871</v>
      </c>
    </row>
    <row r="986" spans="1:31" ht="27" customHeight="1" x14ac:dyDescent="0.15">
      <c r="A986" s="105">
        <v>1113285942</v>
      </c>
      <c r="B986" s="106" t="s">
        <v>569</v>
      </c>
      <c r="C986" s="107" t="s">
        <v>570</v>
      </c>
      <c r="D986" s="108" t="s">
        <v>571</v>
      </c>
      <c r="E986" s="108" t="s">
        <v>572</v>
      </c>
      <c r="F986" s="139">
        <v>3550334</v>
      </c>
      <c r="G986" s="140" t="s">
        <v>573</v>
      </c>
      <c r="H986" s="140" t="s">
        <v>573</v>
      </c>
      <c r="I986" s="141"/>
      <c r="J986" s="142"/>
      <c r="K986" s="142"/>
      <c r="L986" s="142"/>
      <c r="M986" s="142" t="s">
        <v>133</v>
      </c>
      <c r="N986" s="143"/>
      <c r="O986" s="138"/>
      <c r="P986" s="105"/>
      <c r="Q986" s="116"/>
      <c r="R986" s="138"/>
      <c r="S986" s="105"/>
      <c r="T986" s="105"/>
      <c r="U986" s="105"/>
      <c r="V986" s="116"/>
      <c r="W986" s="138"/>
      <c r="X986" s="133"/>
      <c r="Y986" s="138"/>
      <c r="Z986" s="105"/>
      <c r="AA986" s="105">
        <v>20</v>
      </c>
      <c r="AB986" s="105"/>
      <c r="AC986" s="105"/>
      <c r="AD986" s="144">
        <v>40118</v>
      </c>
      <c r="AE986" s="108" t="s">
        <v>574</v>
      </c>
    </row>
    <row r="987" spans="1:31" ht="27" customHeight="1" x14ac:dyDescent="0.15">
      <c r="A987" s="105">
        <v>1113285983</v>
      </c>
      <c r="B987" s="106" t="s">
        <v>1538</v>
      </c>
      <c r="C987" s="107" t="s">
        <v>1539</v>
      </c>
      <c r="D987" s="108" t="s">
        <v>1540</v>
      </c>
      <c r="E987" s="108" t="s">
        <v>1541</v>
      </c>
      <c r="F987" s="139">
        <v>3500313</v>
      </c>
      <c r="G987" s="140" t="s">
        <v>1542</v>
      </c>
      <c r="H987" s="140" t="s">
        <v>1542</v>
      </c>
      <c r="I987" s="141" t="s">
        <v>49</v>
      </c>
      <c r="J987" s="142" t="s">
        <v>49</v>
      </c>
      <c r="K987" s="142" t="s">
        <v>49</v>
      </c>
      <c r="L987" s="142" t="s">
        <v>49</v>
      </c>
      <c r="M987" s="142" t="s">
        <v>49</v>
      </c>
      <c r="N987" s="143" t="s">
        <v>49</v>
      </c>
      <c r="O987" s="138" t="s">
        <v>765</v>
      </c>
      <c r="P987" s="105"/>
      <c r="Q987" s="137"/>
      <c r="R987" s="138"/>
      <c r="S987" s="105"/>
      <c r="T987" s="105"/>
      <c r="U987" s="105"/>
      <c r="V987" s="137"/>
      <c r="W987" s="138"/>
      <c r="X987" s="152"/>
      <c r="Y987" s="138"/>
      <c r="Z987" s="105"/>
      <c r="AA987" s="105">
        <v>20</v>
      </c>
      <c r="AB987" s="105"/>
      <c r="AC987" s="105"/>
      <c r="AD987" s="144">
        <v>40848</v>
      </c>
      <c r="AE987" s="108" t="s">
        <v>1543</v>
      </c>
    </row>
    <row r="988" spans="1:31" ht="27" customHeight="1" x14ac:dyDescent="0.15">
      <c r="A988" s="105">
        <v>1113286007</v>
      </c>
      <c r="B988" s="106" t="s">
        <v>1582</v>
      </c>
      <c r="C988" s="107" t="s">
        <v>1583</v>
      </c>
      <c r="D988" s="108" t="s">
        <v>1584</v>
      </c>
      <c r="E988" s="108" t="s">
        <v>1627</v>
      </c>
      <c r="F988" s="139">
        <v>3550813</v>
      </c>
      <c r="G988" s="140" t="s">
        <v>1585</v>
      </c>
      <c r="H988" s="140" t="s">
        <v>1586</v>
      </c>
      <c r="I988" s="141"/>
      <c r="J988" s="142"/>
      <c r="K988" s="142"/>
      <c r="L988" s="142"/>
      <c r="M988" s="142" t="s">
        <v>49</v>
      </c>
      <c r="N988" s="143"/>
      <c r="O988" s="138"/>
      <c r="P988" s="105"/>
      <c r="Q988" s="137"/>
      <c r="R988" s="138"/>
      <c r="S988" s="105"/>
      <c r="T988" s="105"/>
      <c r="U988" s="105"/>
      <c r="V988" s="116"/>
      <c r="W988" s="117"/>
      <c r="X988" s="152"/>
      <c r="Y988" s="138"/>
      <c r="Z988" s="105"/>
      <c r="AA988" s="116">
        <v>30</v>
      </c>
      <c r="AB988" s="137"/>
      <c r="AC988" s="137"/>
      <c r="AD988" s="144">
        <v>40909</v>
      </c>
      <c r="AE988" s="108" t="s">
        <v>1587</v>
      </c>
    </row>
    <row r="989" spans="1:31" ht="27" customHeight="1" x14ac:dyDescent="0.15">
      <c r="A989" s="105">
        <v>1113286015</v>
      </c>
      <c r="B989" s="106" t="s">
        <v>1625</v>
      </c>
      <c r="C989" s="107" t="s">
        <v>1626</v>
      </c>
      <c r="D989" s="108" t="s">
        <v>88</v>
      </c>
      <c r="E989" s="108" t="s">
        <v>1628</v>
      </c>
      <c r="F989" s="139">
        <v>3550201</v>
      </c>
      <c r="G989" s="140" t="s">
        <v>1630</v>
      </c>
      <c r="H989" s="140" t="s">
        <v>1630</v>
      </c>
      <c r="I989" s="141"/>
      <c r="J989" s="142"/>
      <c r="K989" s="142"/>
      <c r="L989" s="142"/>
      <c r="M989" s="142" t="s">
        <v>49</v>
      </c>
      <c r="N989" s="143" t="s">
        <v>1623</v>
      </c>
      <c r="O989" s="138" t="s">
        <v>765</v>
      </c>
      <c r="P989" s="105"/>
      <c r="Q989" s="137"/>
      <c r="R989" s="138"/>
      <c r="S989" s="105"/>
      <c r="T989" s="105"/>
      <c r="U989" s="105"/>
      <c r="V989" s="116"/>
      <c r="W989" s="117"/>
      <c r="X989" s="152"/>
      <c r="Y989" s="138"/>
      <c r="Z989" s="105"/>
      <c r="AA989" s="116">
        <v>20</v>
      </c>
      <c r="AB989" s="137"/>
      <c r="AC989" s="137"/>
      <c r="AD989" s="144">
        <v>40940</v>
      </c>
      <c r="AE989" s="108" t="s">
        <v>1629</v>
      </c>
    </row>
    <row r="990" spans="1:31" s="65" customFormat="1" ht="27" customHeight="1" x14ac:dyDescent="0.15">
      <c r="A990" s="105">
        <v>1113286049</v>
      </c>
      <c r="B990" s="130" t="s">
        <v>1805</v>
      </c>
      <c r="C990" s="108" t="s">
        <v>1799</v>
      </c>
      <c r="D990" s="108" t="s">
        <v>88</v>
      </c>
      <c r="E990" s="108" t="s">
        <v>1800</v>
      </c>
      <c r="F990" s="139" t="s">
        <v>1803</v>
      </c>
      <c r="G990" s="140" t="s">
        <v>1801</v>
      </c>
      <c r="H990" s="140" t="s">
        <v>1802</v>
      </c>
      <c r="I990" s="141" t="s">
        <v>49</v>
      </c>
      <c r="J990" s="142" t="s">
        <v>49</v>
      </c>
      <c r="K990" s="142" t="s">
        <v>49</v>
      </c>
      <c r="L990" s="142" t="s">
        <v>49</v>
      </c>
      <c r="M990" s="142" t="s">
        <v>49</v>
      </c>
      <c r="N990" s="143" t="s">
        <v>49</v>
      </c>
      <c r="O990" s="138" t="s">
        <v>49</v>
      </c>
      <c r="P990" s="105"/>
      <c r="Q990" s="137"/>
      <c r="R990" s="138"/>
      <c r="S990" s="105"/>
      <c r="T990" s="105"/>
      <c r="U990" s="105"/>
      <c r="V990" s="116"/>
      <c r="W990" s="117"/>
      <c r="X990" s="152"/>
      <c r="Y990" s="138"/>
      <c r="Z990" s="105"/>
      <c r="AA990" s="116">
        <v>40</v>
      </c>
      <c r="AB990" s="137"/>
      <c r="AC990" s="137"/>
      <c r="AD990" s="144">
        <v>41000</v>
      </c>
      <c r="AE990" s="108" t="s">
        <v>1804</v>
      </c>
    </row>
    <row r="991" spans="1:31" ht="27" customHeight="1" x14ac:dyDescent="0.15">
      <c r="A991" s="105">
        <v>1113286130</v>
      </c>
      <c r="B991" s="130" t="s">
        <v>2138</v>
      </c>
      <c r="C991" s="108" t="s">
        <v>2139</v>
      </c>
      <c r="D991" s="108" t="s">
        <v>571</v>
      </c>
      <c r="E991" s="108" t="s">
        <v>2140</v>
      </c>
      <c r="F991" s="131" t="s">
        <v>2141</v>
      </c>
      <c r="G991" s="132" t="s">
        <v>2142</v>
      </c>
      <c r="H991" s="132" t="s">
        <v>2143</v>
      </c>
      <c r="I991" s="141" t="s">
        <v>49</v>
      </c>
      <c r="J991" s="142" t="s">
        <v>49</v>
      </c>
      <c r="K991" s="142" t="s">
        <v>49</v>
      </c>
      <c r="L991" s="142" t="s">
        <v>49</v>
      </c>
      <c r="M991" s="142" t="s">
        <v>49</v>
      </c>
      <c r="N991" s="143" t="s">
        <v>49</v>
      </c>
      <c r="O991" s="138" t="s">
        <v>2170</v>
      </c>
      <c r="P991" s="105"/>
      <c r="Q991" s="137"/>
      <c r="R991" s="138"/>
      <c r="S991" s="105"/>
      <c r="T991" s="105">
        <v>20</v>
      </c>
      <c r="U991" s="105"/>
      <c r="V991" s="116"/>
      <c r="W991" s="117"/>
      <c r="X991" s="152"/>
      <c r="Y991" s="138"/>
      <c r="Z991" s="105"/>
      <c r="AA991" s="116"/>
      <c r="AB991" s="137"/>
      <c r="AC991" s="137"/>
      <c r="AD991" s="144">
        <v>41306</v>
      </c>
      <c r="AE991" s="108" t="s">
        <v>2144</v>
      </c>
    </row>
    <row r="992" spans="1:31" ht="27" customHeight="1" x14ac:dyDescent="0.15">
      <c r="A992" s="105">
        <v>1113286163</v>
      </c>
      <c r="B992" s="130" t="s">
        <v>1850</v>
      </c>
      <c r="C992" s="108" t="s">
        <v>2157</v>
      </c>
      <c r="D992" s="108" t="s">
        <v>892</v>
      </c>
      <c r="E992" s="108" t="s">
        <v>1185</v>
      </c>
      <c r="F992" s="151">
        <v>3500305</v>
      </c>
      <c r="G992" s="132" t="s">
        <v>1186</v>
      </c>
      <c r="H992" s="132" t="s">
        <v>1187</v>
      </c>
      <c r="I992" s="133"/>
      <c r="J992" s="154"/>
      <c r="K992" s="154"/>
      <c r="L992" s="154"/>
      <c r="M992" s="154" t="s">
        <v>49</v>
      </c>
      <c r="N992" s="143"/>
      <c r="O992" s="138"/>
      <c r="P992" s="150">
        <v>50</v>
      </c>
      <c r="Q992" s="137" t="s">
        <v>49</v>
      </c>
      <c r="R992" s="138">
        <v>4</v>
      </c>
      <c r="S992" s="150"/>
      <c r="T992" s="150">
        <v>60</v>
      </c>
      <c r="U992" s="132"/>
      <c r="V992" s="152"/>
      <c r="W992" s="136"/>
      <c r="X992" s="152"/>
      <c r="Y992" s="136"/>
      <c r="Z992" s="132"/>
      <c r="AA992" s="105"/>
      <c r="AB992" s="105"/>
      <c r="AC992" s="105"/>
      <c r="AD992" s="118">
        <v>41365</v>
      </c>
      <c r="AE992" s="108" t="s">
        <v>1188</v>
      </c>
    </row>
    <row r="993" spans="1:32" ht="27" customHeight="1" x14ac:dyDescent="0.15">
      <c r="A993" s="105">
        <v>1113286338</v>
      </c>
      <c r="B993" s="106" t="s">
        <v>3407</v>
      </c>
      <c r="C993" s="107" t="s">
        <v>8344</v>
      </c>
      <c r="D993" s="108" t="s">
        <v>88</v>
      </c>
      <c r="E993" s="108" t="s">
        <v>8345</v>
      </c>
      <c r="F993" s="139" t="s">
        <v>1803</v>
      </c>
      <c r="G993" s="140" t="s">
        <v>3409</v>
      </c>
      <c r="H993" s="140" t="s">
        <v>3409</v>
      </c>
      <c r="I993" s="141" t="s">
        <v>49</v>
      </c>
      <c r="J993" s="142" t="s">
        <v>49</v>
      </c>
      <c r="K993" s="142" t="s">
        <v>765</v>
      </c>
      <c r="L993" s="142" t="s">
        <v>765</v>
      </c>
      <c r="M993" s="142" t="s">
        <v>765</v>
      </c>
      <c r="N993" s="143" t="s">
        <v>765</v>
      </c>
      <c r="O993" s="138" t="s">
        <v>49</v>
      </c>
      <c r="P993" s="105"/>
      <c r="Q993" s="137"/>
      <c r="R993" s="138"/>
      <c r="S993" s="105"/>
      <c r="T993" s="105"/>
      <c r="U993" s="105"/>
      <c r="V993" s="116"/>
      <c r="W993" s="117"/>
      <c r="X993" s="137"/>
      <c r="Y993" s="138"/>
      <c r="Z993" s="105"/>
      <c r="AA993" s="105">
        <v>20</v>
      </c>
      <c r="AB993" s="105"/>
      <c r="AC993" s="105"/>
      <c r="AD993" s="144">
        <v>42491</v>
      </c>
      <c r="AE993" s="108" t="s">
        <v>8346</v>
      </c>
    </row>
    <row r="994" spans="1:32" ht="27" customHeight="1" x14ac:dyDescent="0.15">
      <c r="A994" s="105">
        <v>1113286338</v>
      </c>
      <c r="B994" s="106" t="s">
        <v>3407</v>
      </c>
      <c r="C994" s="107" t="s">
        <v>8344</v>
      </c>
      <c r="D994" s="108" t="s">
        <v>88</v>
      </c>
      <c r="E994" s="108" t="s">
        <v>8345</v>
      </c>
      <c r="F994" s="139" t="s">
        <v>1803</v>
      </c>
      <c r="G994" s="140" t="s">
        <v>3409</v>
      </c>
      <c r="H994" s="140" t="s">
        <v>3409</v>
      </c>
      <c r="I994" s="141" t="s">
        <v>49</v>
      </c>
      <c r="J994" s="142" t="s">
        <v>49</v>
      </c>
      <c r="K994" s="142" t="s">
        <v>765</v>
      </c>
      <c r="L994" s="142" t="s">
        <v>765</v>
      </c>
      <c r="M994" s="142" t="s">
        <v>765</v>
      </c>
      <c r="N994" s="143" t="s">
        <v>765</v>
      </c>
      <c r="O994" s="138" t="s">
        <v>49</v>
      </c>
      <c r="P994" s="105"/>
      <c r="Q994" s="137"/>
      <c r="R994" s="138"/>
      <c r="S994" s="105"/>
      <c r="T994" s="105"/>
      <c r="U994" s="105"/>
      <c r="V994" s="116"/>
      <c r="W994" s="117"/>
      <c r="X994" s="137"/>
      <c r="Y994" s="138"/>
      <c r="Z994" s="105"/>
      <c r="AA994" s="105"/>
      <c r="AB994" s="105" t="s">
        <v>10951</v>
      </c>
      <c r="AC994" s="105"/>
      <c r="AD994" s="144">
        <v>43556</v>
      </c>
      <c r="AE994" s="108" t="s">
        <v>8346</v>
      </c>
    </row>
    <row r="995" spans="1:32" ht="27" customHeight="1" x14ac:dyDescent="0.15">
      <c r="A995" s="105">
        <v>1113286338</v>
      </c>
      <c r="B995" s="130" t="s">
        <v>11800</v>
      </c>
      <c r="C995" s="108" t="s">
        <v>10801</v>
      </c>
      <c r="D995" s="108" t="s">
        <v>88</v>
      </c>
      <c r="E995" s="108" t="s">
        <v>10802</v>
      </c>
      <c r="F995" s="131" t="s">
        <v>1803</v>
      </c>
      <c r="G995" s="132" t="s">
        <v>10803</v>
      </c>
      <c r="H995" s="132" t="s">
        <v>10804</v>
      </c>
      <c r="I995" s="133" t="s">
        <v>765</v>
      </c>
      <c r="J995" s="134" t="s">
        <v>765</v>
      </c>
      <c r="K995" s="134" t="s">
        <v>765</v>
      </c>
      <c r="L995" s="134" t="s">
        <v>765</v>
      </c>
      <c r="M995" s="349" t="s">
        <v>765</v>
      </c>
      <c r="N995" s="135" t="s">
        <v>765</v>
      </c>
      <c r="O995" s="136" t="s">
        <v>765</v>
      </c>
      <c r="P995" s="105"/>
      <c r="Q995" s="137"/>
      <c r="R995" s="138"/>
      <c r="S995" s="105"/>
      <c r="T995" s="105"/>
      <c r="U995" s="105"/>
      <c r="V995" s="137"/>
      <c r="W995" s="138"/>
      <c r="X995" s="137"/>
      <c r="Y995" s="138"/>
      <c r="Z995" s="105"/>
      <c r="AA995" s="105"/>
      <c r="AB995" s="105"/>
      <c r="AC995" s="105">
        <v>10</v>
      </c>
      <c r="AD995" s="118">
        <v>45931</v>
      </c>
      <c r="AE995" s="217" t="s">
        <v>10805</v>
      </c>
    </row>
    <row r="996" spans="1:32" s="65" customFormat="1" ht="27" customHeight="1" x14ac:dyDescent="0.15">
      <c r="A996" s="105">
        <v>1113286353</v>
      </c>
      <c r="B996" s="130" t="s">
        <v>3006</v>
      </c>
      <c r="C996" s="108" t="s">
        <v>3670</v>
      </c>
      <c r="D996" s="108" t="s">
        <v>3408</v>
      </c>
      <c r="E996" s="108" t="s">
        <v>3671</v>
      </c>
      <c r="F996" s="131" t="s">
        <v>3672</v>
      </c>
      <c r="G996" s="132" t="s">
        <v>3673</v>
      </c>
      <c r="H996" s="132" t="s">
        <v>3674</v>
      </c>
      <c r="I996" s="133"/>
      <c r="J996" s="134" t="s">
        <v>765</v>
      </c>
      <c r="K996" s="134" t="s">
        <v>765</v>
      </c>
      <c r="L996" s="134" t="s">
        <v>765</v>
      </c>
      <c r="M996" s="134" t="s">
        <v>3675</v>
      </c>
      <c r="N996" s="135" t="s">
        <v>765</v>
      </c>
      <c r="O996" s="136" t="s">
        <v>765</v>
      </c>
      <c r="P996" s="105"/>
      <c r="Q996" s="137"/>
      <c r="R996" s="138"/>
      <c r="S996" s="105"/>
      <c r="T996" s="105"/>
      <c r="U996" s="105"/>
      <c r="V996" s="137"/>
      <c r="W996" s="138"/>
      <c r="X996" s="137"/>
      <c r="Y996" s="138"/>
      <c r="Z996" s="105"/>
      <c r="AA996" s="105">
        <v>20</v>
      </c>
      <c r="AB996" s="105"/>
      <c r="AC996" s="105"/>
      <c r="AD996" s="155">
        <v>42736</v>
      </c>
      <c r="AE996" s="108" t="s">
        <v>3676</v>
      </c>
      <c r="AF996" s="67"/>
    </row>
    <row r="997" spans="1:32" ht="27" customHeight="1" x14ac:dyDescent="0.15">
      <c r="A997" s="105">
        <v>1113286387</v>
      </c>
      <c r="B997" s="106" t="s">
        <v>3910</v>
      </c>
      <c r="C997" s="107" t="s">
        <v>3911</v>
      </c>
      <c r="D997" s="108" t="s">
        <v>806</v>
      </c>
      <c r="E997" s="108" t="s">
        <v>3912</v>
      </c>
      <c r="F997" s="139">
        <v>3500165</v>
      </c>
      <c r="G997" s="140" t="s">
        <v>3913</v>
      </c>
      <c r="H997" s="140" t="s">
        <v>3914</v>
      </c>
      <c r="I997" s="141" t="s">
        <v>765</v>
      </c>
      <c r="J997" s="142" t="s">
        <v>765</v>
      </c>
      <c r="K997" s="142" t="s">
        <v>765</v>
      </c>
      <c r="L997" s="142" t="s">
        <v>765</v>
      </c>
      <c r="M997" s="142" t="s">
        <v>765</v>
      </c>
      <c r="N997" s="143" t="s">
        <v>765</v>
      </c>
      <c r="O997" s="138" t="s">
        <v>3908</v>
      </c>
      <c r="P997" s="105"/>
      <c r="Q997" s="137"/>
      <c r="R997" s="138"/>
      <c r="S997" s="105"/>
      <c r="T997" s="105"/>
      <c r="U997" s="105"/>
      <c r="V997" s="116"/>
      <c r="W997" s="117"/>
      <c r="X997" s="116"/>
      <c r="Y997" s="138"/>
      <c r="Z997" s="105"/>
      <c r="AA997" s="105">
        <v>20</v>
      </c>
      <c r="AB997" s="105"/>
      <c r="AC997" s="105"/>
      <c r="AD997" s="144">
        <v>42887</v>
      </c>
      <c r="AE997" s="108" t="s">
        <v>3915</v>
      </c>
    </row>
    <row r="998" spans="1:32" ht="27" customHeight="1" x14ac:dyDescent="0.15">
      <c r="A998" s="105">
        <v>1113286270</v>
      </c>
      <c r="B998" s="106" t="s">
        <v>2563</v>
      </c>
      <c r="C998" s="107" t="s">
        <v>2539</v>
      </c>
      <c r="D998" s="108" t="s">
        <v>88</v>
      </c>
      <c r="E998" s="108" t="s">
        <v>2540</v>
      </c>
      <c r="F998" s="139" t="s">
        <v>2541</v>
      </c>
      <c r="G998" s="140" t="s">
        <v>2542</v>
      </c>
      <c r="H998" s="140" t="s">
        <v>2543</v>
      </c>
      <c r="I998" s="141"/>
      <c r="J998" s="142"/>
      <c r="K998" s="142"/>
      <c r="L998" s="142"/>
      <c r="M998" s="142" t="s">
        <v>49</v>
      </c>
      <c r="N998" s="143" t="s">
        <v>49</v>
      </c>
      <c r="O998" s="138"/>
      <c r="P998" s="105"/>
      <c r="Q998" s="137"/>
      <c r="R998" s="138"/>
      <c r="S998" s="105"/>
      <c r="T998" s="105">
        <v>6</v>
      </c>
      <c r="U998" s="105"/>
      <c r="V998" s="137"/>
      <c r="W998" s="138"/>
      <c r="X998" s="137"/>
      <c r="Y998" s="138"/>
      <c r="Z998" s="105"/>
      <c r="AA998" s="105">
        <v>14</v>
      </c>
      <c r="AB998" s="105"/>
      <c r="AC998" s="105"/>
      <c r="AD998" s="144">
        <v>41852</v>
      </c>
      <c r="AE998" s="108" t="s">
        <v>2544</v>
      </c>
    </row>
    <row r="999" spans="1:32" ht="27" customHeight="1" x14ac:dyDescent="0.15">
      <c r="A999" s="105">
        <v>1113286445</v>
      </c>
      <c r="B999" s="130" t="s">
        <v>4336</v>
      </c>
      <c r="C999" s="108" t="s">
        <v>4337</v>
      </c>
      <c r="D999" s="108" t="s">
        <v>571</v>
      </c>
      <c r="E999" s="108" t="s">
        <v>4338</v>
      </c>
      <c r="F999" s="139" t="s">
        <v>4339</v>
      </c>
      <c r="G999" s="140" t="s">
        <v>4340</v>
      </c>
      <c r="H999" s="140" t="s">
        <v>4341</v>
      </c>
      <c r="I999" s="141" t="s">
        <v>49</v>
      </c>
      <c r="J999" s="142" t="s">
        <v>49</v>
      </c>
      <c r="K999" s="142" t="s">
        <v>49</v>
      </c>
      <c r="L999" s="142" t="s">
        <v>49</v>
      </c>
      <c r="M999" s="142" t="s">
        <v>49</v>
      </c>
      <c r="N999" s="143" t="s">
        <v>49</v>
      </c>
      <c r="O999" s="138" t="s">
        <v>49</v>
      </c>
      <c r="P999" s="105"/>
      <c r="Q999" s="137"/>
      <c r="R999" s="138"/>
      <c r="S999" s="105"/>
      <c r="T999" s="105"/>
      <c r="U999" s="105"/>
      <c r="V999" s="116"/>
      <c r="W999" s="117"/>
      <c r="X999" s="152"/>
      <c r="Y999" s="138"/>
      <c r="Z999" s="105"/>
      <c r="AA999" s="116">
        <v>20</v>
      </c>
      <c r="AB999" s="137"/>
      <c r="AC999" s="137"/>
      <c r="AD999" s="144">
        <v>43191</v>
      </c>
      <c r="AE999" s="108" t="s">
        <v>4342</v>
      </c>
    </row>
    <row r="1000" spans="1:32" s="65" customFormat="1" ht="27" customHeight="1" x14ac:dyDescent="0.15">
      <c r="A1000" s="105">
        <v>1113286460</v>
      </c>
      <c r="B1000" s="130" t="s">
        <v>176</v>
      </c>
      <c r="C1000" s="108" t="s">
        <v>1844</v>
      </c>
      <c r="D1000" s="108" t="s">
        <v>178</v>
      </c>
      <c r="E1000" s="108" t="s">
        <v>4631</v>
      </c>
      <c r="F1000" s="131">
        <v>3550811</v>
      </c>
      <c r="G1000" s="152" t="s">
        <v>4632</v>
      </c>
      <c r="H1000" s="132" t="s">
        <v>4633</v>
      </c>
      <c r="I1000" s="183"/>
      <c r="J1000" s="134"/>
      <c r="K1000" s="134"/>
      <c r="L1000" s="134"/>
      <c r="M1000" s="134" t="s">
        <v>49</v>
      </c>
      <c r="N1000" s="135" t="s">
        <v>49</v>
      </c>
      <c r="O1000" s="136"/>
      <c r="P1000" s="105"/>
      <c r="Q1000" s="116"/>
      <c r="R1000" s="138"/>
      <c r="S1000" s="105"/>
      <c r="T1000" s="105"/>
      <c r="U1000" s="105"/>
      <c r="V1000" s="116"/>
      <c r="W1000" s="117"/>
      <c r="X1000" s="133"/>
      <c r="Y1000" s="138"/>
      <c r="Z1000" s="105"/>
      <c r="AA1000" s="132">
        <v>20</v>
      </c>
      <c r="AB1000" s="132"/>
      <c r="AC1000" s="132"/>
      <c r="AD1000" s="118">
        <v>43344</v>
      </c>
      <c r="AE1000" s="108" t="s">
        <v>4634</v>
      </c>
    </row>
    <row r="1001" spans="1:32" ht="27" customHeight="1" x14ac:dyDescent="0.15">
      <c r="A1001" s="105">
        <v>1113286460</v>
      </c>
      <c r="B1001" s="130" t="s">
        <v>176</v>
      </c>
      <c r="C1001" s="108" t="s">
        <v>5402</v>
      </c>
      <c r="D1001" s="108" t="s">
        <v>178</v>
      </c>
      <c r="E1001" s="108" t="s">
        <v>4631</v>
      </c>
      <c r="F1001" s="131">
        <v>3550811</v>
      </c>
      <c r="G1001" s="152" t="s">
        <v>5403</v>
      </c>
      <c r="H1001" s="132" t="s">
        <v>5404</v>
      </c>
      <c r="I1001" s="183"/>
      <c r="J1001" s="134"/>
      <c r="K1001" s="134"/>
      <c r="L1001" s="134"/>
      <c r="M1001" s="134" t="s">
        <v>5405</v>
      </c>
      <c r="N1001" s="135" t="s">
        <v>5405</v>
      </c>
      <c r="O1001" s="136"/>
      <c r="P1001" s="105"/>
      <c r="Q1001" s="116"/>
      <c r="R1001" s="138"/>
      <c r="S1001" s="105"/>
      <c r="T1001" s="105"/>
      <c r="U1001" s="105"/>
      <c r="V1001" s="116"/>
      <c r="W1001" s="117"/>
      <c r="X1001" s="133"/>
      <c r="Y1001" s="138"/>
      <c r="Z1001" s="105"/>
      <c r="AA1001" s="132"/>
      <c r="AB1001" s="132" t="s">
        <v>5405</v>
      </c>
      <c r="AC1001" s="132"/>
      <c r="AD1001" s="144">
        <v>43770</v>
      </c>
      <c r="AE1001" s="108" t="s">
        <v>4634</v>
      </c>
    </row>
    <row r="1002" spans="1:32" ht="27" customHeight="1" x14ac:dyDescent="0.15">
      <c r="A1002" s="105">
        <v>1113286486</v>
      </c>
      <c r="B1002" s="130" t="s">
        <v>6451</v>
      </c>
      <c r="C1002" s="108" t="s">
        <v>12016</v>
      </c>
      <c r="D1002" s="108" t="s">
        <v>6452</v>
      </c>
      <c r="E1002" s="108" t="s">
        <v>6453</v>
      </c>
      <c r="F1002" s="131" t="s">
        <v>6454</v>
      </c>
      <c r="G1002" s="132" t="s">
        <v>6455</v>
      </c>
      <c r="H1002" s="132" t="s">
        <v>6456</v>
      </c>
      <c r="I1002" s="133" t="s">
        <v>6457</v>
      </c>
      <c r="J1002" s="134" t="s">
        <v>6457</v>
      </c>
      <c r="K1002" s="134" t="s">
        <v>6457</v>
      </c>
      <c r="L1002" s="134" t="s">
        <v>6457</v>
      </c>
      <c r="M1002" s="134"/>
      <c r="N1002" s="135"/>
      <c r="O1002" s="136"/>
      <c r="P1002" s="132"/>
      <c r="Q1002" s="152"/>
      <c r="R1002" s="136"/>
      <c r="S1002" s="132"/>
      <c r="T1002" s="132">
        <v>40</v>
      </c>
      <c r="U1002" s="132"/>
      <c r="V1002" s="152"/>
      <c r="W1002" s="136"/>
      <c r="X1002" s="152"/>
      <c r="Y1002" s="136"/>
      <c r="Z1002" s="132"/>
      <c r="AA1002" s="105"/>
      <c r="AB1002" s="105"/>
      <c r="AC1002" s="105"/>
      <c r="AD1002" s="118">
        <v>44197</v>
      </c>
      <c r="AE1002" s="108" t="s">
        <v>6458</v>
      </c>
    </row>
    <row r="1003" spans="1:32" ht="27" customHeight="1" x14ac:dyDescent="0.15">
      <c r="A1003" s="105">
        <v>1113286494</v>
      </c>
      <c r="B1003" s="106" t="s">
        <v>6573</v>
      </c>
      <c r="C1003" s="107" t="s">
        <v>1755</v>
      </c>
      <c r="D1003" s="108" t="s">
        <v>178</v>
      </c>
      <c r="E1003" s="108" t="s">
        <v>6574</v>
      </c>
      <c r="F1003" s="139" t="s">
        <v>6575</v>
      </c>
      <c r="G1003" s="140" t="s">
        <v>1756</v>
      </c>
      <c r="H1003" s="140" t="s">
        <v>1756</v>
      </c>
      <c r="I1003" s="141" t="s">
        <v>49</v>
      </c>
      <c r="J1003" s="142" t="s">
        <v>49</v>
      </c>
      <c r="K1003" s="142" t="s">
        <v>49</v>
      </c>
      <c r="L1003" s="142" t="s">
        <v>49</v>
      </c>
      <c r="M1003" s="142" t="s">
        <v>49</v>
      </c>
      <c r="N1003" s="143" t="s">
        <v>49</v>
      </c>
      <c r="O1003" s="138" t="s">
        <v>49</v>
      </c>
      <c r="P1003" s="105"/>
      <c r="Q1003" s="137"/>
      <c r="R1003" s="138"/>
      <c r="S1003" s="105"/>
      <c r="T1003" s="105">
        <v>30</v>
      </c>
      <c r="U1003" s="105"/>
      <c r="V1003" s="137"/>
      <c r="W1003" s="138"/>
      <c r="X1003" s="152"/>
      <c r="Y1003" s="138"/>
      <c r="Z1003" s="105"/>
      <c r="AA1003" s="105"/>
      <c r="AB1003" s="105"/>
      <c r="AC1003" s="105"/>
      <c r="AD1003" s="144">
        <v>44287</v>
      </c>
      <c r="AE1003" s="108" t="s">
        <v>6576</v>
      </c>
    </row>
    <row r="1004" spans="1:32" ht="27" customHeight="1" x14ac:dyDescent="0.15">
      <c r="A1004" s="105">
        <v>1113286551</v>
      </c>
      <c r="B1004" s="157" t="s">
        <v>7970</v>
      </c>
      <c r="C1004" s="157" t="s">
        <v>7971</v>
      </c>
      <c r="D1004" s="108" t="s">
        <v>571</v>
      </c>
      <c r="E1004" s="108" t="s">
        <v>7972</v>
      </c>
      <c r="F1004" s="264" t="s">
        <v>7973</v>
      </c>
      <c r="G1004" s="157" t="s">
        <v>7974</v>
      </c>
      <c r="H1004" s="157" t="s">
        <v>7975</v>
      </c>
      <c r="I1004" s="160"/>
      <c r="J1004" s="142"/>
      <c r="K1004" s="142"/>
      <c r="L1004" s="142"/>
      <c r="M1004" s="142" t="s">
        <v>765</v>
      </c>
      <c r="N1004" s="143" t="s">
        <v>765</v>
      </c>
      <c r="O1004" s="138"/>
      <c r="P1004" s="105"/>
      <c r="Q1004" s="116"/>
      <c r="R1004" s="117"/>
      <c r="S1004" s="105"/>
      <c r="T1004" s="105"/>
      <c r="U1004" s="105"/>
      <c r="V1004" s="137"/>
      <c r="W1004" s="138"/>
      <c r="X1004" s="116"/>
      <c r="Y1004" s="117"/>
      <c r="Z1004" s="105">
        <v>20</v>
      </c>
      <c r="AA1004" s="105"/>
      <c r="AB1004" s="105"/>
      <c r="AC1004" s="105"/>
      <c r="AD1004" s="144">
        <v>44866</v>
      </c>
      <c r="AE1004" s="157" t="s">
        <v>7976</v>
      </c>
    </row>
    <row r="1005" spans="1:32" s="93" customFormat="1" ht="27.6" customHeight="1" x14ac:dyDescent="0.15">
      <c r="A1005" s="76">
        <v>1113286577</v>
      </c>
      <c r="B1005" s="147" t="s">
        <v>8724</v>
      </c>
      <c r="C1005" s="147" t="s">
        <v>8725</v>
      </c>
      <c r="D1005" s="166" t="s">
        <v>8726</v>
      </c>
      <c r="E1005" s="166" t="s">
        <v>8727</v>
      </c>
      <c r="F1005" s="328" t="s">
        <v>8728</v>
      </c>
      <c r="G1005" s="76" t="s">
        <v>8729</v>
      </c>
      <c r="H1005" s="76" t="s">
        <v>8730</v>
      </c>
      <c r="I1005" s="178"/>
      <c r="J1005" s="170"/>
      <c r="K1005" s="170"/>
      <c r="L1005" s="170"/>
      <c r="M1005" s="170" t="s">
        <v>49</v>
      </c>
      <c r="N1005" s="148" t="s">
        <v>49</v>
      </c>
      <c r="O1005" s="92"/>
      <c r="P1005" s="76"/>
      <c r="Q1005" s="70"/>
      <c r="R1005" s="92"/>
      <c r="S1005" s="76"/>
      <c r="T1005" s="76"/>
      <c r="U1005" s="76"/>
      <c r="V1005" s="70"/>
      <c r="W1005" s="92"/>
      <c r="X1005" s="70"/>
      <c r="Y1005" s="92"/>
      <c r="Z1005" s="76"/>
      <c r="AA1005" s="76">
        <v>20</v>
      </c>
      <c r="AB1005" s="76"/>
      <c r="AC1005" s="76"/>
      <c r="AD1005" s="146">
        <v>45200</v>
      </c>
      <c r="AE1005" s="147" t="s">
        <v>8731</v>
      </c>
    </row>
    <row r="1006" spans="1:32" ht="27" customHeight="1" x14ac:dyDescent="0.15">
      <c r="A1006" s="105">
        <v>1113286619</v>
      </c>
      <c r="B1006" s="130" t="s">
        <v>11644</v>
      </c>
      <c r="C1006" s="108" t="s">
        <v>9370</v>
      </c>
      <c r="D1006" s="108" t="s">
        <v>571</v>
      </c>
      <c r="E1006" s="108" t="s">
        <v>9371</v>
      </c>
      <c r="F1006" s="131" t="s">
        <v>7973</v>
      </c>
      <c r="G1006" s="132" t="s">
        <v>10570</v>
      </c>
      <c r="H1006" s="132" t="s">
        <v>10571</v>
      </c>
      <c r="I1006" s="133" t="s">
        <v>765</v>
      </c>
      <c r="J1006" s="134" t="s">
        <v>765</v>
      </c>
      <c r="K1006" s="134" t="s">
        <v>765</v>
      </c>
      <c r="L1006" s="134" t="s">
        <v>765</v>
      </c>
      <c r="M1006" s="134" t="s">
        <v>765</v>
      </c>
      <c r="N1006" s="135" t="s">
        <v>765</v>
      </c>
      <c r="O1006" s="136" t="s">
        <v>765</v>
      </c>
      <c r="P1006" s="105"/>
      <c r="Q1006" s="137"/>
      <c r="R1006" s="138"/>
      <c r="S1006" s="105"/>
      <c r="T1006" s="105"/>
      <c r="U1006" s="105"/>
      <c r="V1006" s="137"/>
      <c r="W1006" s="138"/>
      <c r="X1006" s="137"/>
      <c r="Y1006" s="138"/>
      <c r="Z1006" s="105"/>
      <c r="AA1006" s="105">
        <v>20</v>
      </c>
      <c r="AB1006" s="105"/>
      <c r="AC1006" s="105"/>
      <c r="AD1006" s="118">
        <v>45474</v>
      </c>
      <c r="AE1006" s="108" t="s">
        <v>9372</v>
      </c>
    </row>
    <row r="1007" spans="1:32" ht="27" customHeight="1" x14ac:dyDescent="0.15">
      <c r="A1007" s="105">
        <v>1113286627</v>
      </c>
      <c r="B1007" s="106" t="s">
        <v>10158</v>
      </c>
      <c r="C1007" s="107" t="s">
        <v>7747</v>
      </c>
      <c r="D1007" s="108" t="s">
        <v>1554</v>
      </c>
      <c r="E1007" s="108" t="s">
        <v>7748</v>
      </c>
      <c r="F1007" s="139" t="s">
        <v>7749</v>
      </c>
      <c r="G1007" s="140" t="s">
        <v>7750</v>
      </c>
      <c r="H1007" s="140" t="s">
        <v>7751</v>
      </c>
      <c r="I1007" s="141" t="s">
        <v>765</v>
      </c>
      <c r="J1007" s="142"/>
      <c r="K1007" s="142" t="s">
        <v>765</v>
      </c>
      <c r="L1007" s="142" t="s">
        <v>765</v>
      </c>
      <c r="M1007" s="142" t="s">
        <v>765</v>
      </c>
      <c r="N1007" s="143" t="s">
        <v>765</v>
      </c>
      <c r="O1007" s="138"/>
      <c r="P1007" s="105"/>
      <c r="Q1007" s="137"/>
      <c r="R1007" s="138"/>
      <c r="S1007" s="105"/>
      <c r="T1007" s="105"/>
      <c r="U1007" s="105"/>
      <c r="V1007" s="137"/>
      <c r="W1007" s="117"/>
      <c r="X1007" s="152"/>
      <c r="Y1007" s="138"/>
      <c r="Z1007" s="105"/>
      <c r="AA1007" s="137">
        <v>20</v>
      </c>
      <c r="AB1007" s="137"/>
      <c r="AC1007" s="137"/>
      <c r="AD1007" s="144">
        <v>45748</v>
      </c>
      <c r="AE1007" s="108" t="s">
        <v>7752</v>
      </c>
    </row>
    <row r="1008" spans="1:32" s="65" customFormat="1" ht="27" customHeight="1" x14ac:dyDescent="0.15">
      <c r="A1008" s="175">
        <v>1113286635</v>
      </c>
      <c r="B1008" s="162" t="s">
        <v>11643</v>
      </c>
      <c r="C1008" s="162" t="s">
        <v>10861</v>
      </c>
      <c r="D1008" s="162" t="s">
        <v>464</v>
      </c>
      <c r="E1008" s="162" t="s">
        <v>10862</v>
      </c>
      <c r="F1008" s="309" t="s">
        <v>10863</v>
      </c>
      <c r="G1008" s="175" t="s">
        <v>10864</v>
      </c>
      <c r="H1008" s="175" t="s">
        <v>10864</v>
      </c>
      <c r="I1008" s="221"/>
      <c r="J1008" s="222"/>
      <c r="K1008" s="222"/>
      <c r="L1008" s="222"/>
      <c r="M1008" s="222" t="s">
        <v>765</v>
      </c>
      <c r="N1008" s="208" t="s">
        <v>765</v>
      </c>
      <c r="O1008" s="210"/>
      <c r="P1008" s="175"/>
      <c r="Q1008" s="209"/>
      <c r="R1008" s="210"/>
      <c r="S1008" s="175"/>
      <c r="T1008" s="175">
        <v>14</v>
      </c>
      <c r="U1008" s="175"/>
      <c r="V1008" s="209">
        <v>6</v>
      </c>
      <c r="W1008" s="210"/>
      <c r="X1008" s="209"/>
      <c r="Y1008" s="210"/>
      <c r="Z1008" s="175"/>
      <c r="AA1008" s="175"/>
      <c r="AB1008" s="175"/>
      <c r="AC1008" s="175"/>
      <c r="AD1008" s="211">
        <v>45962</v>
      </c>
      <c r="AE1008" s="308"/>
    </row>
    <row r="1009" spans="1:31" s="65" customFormat="1" ht="27" customHeight="1" x14ac:dyDescent="0.15">
      <c r="A1009" s="105">
        <v>1113286643</v>
      </c>
      <c r="B1009" s="130" t="s">
        <v>11129</v>
      </c>
      <c r="C1009" s="329" t="s">
        <v>11130</v>
      </c>
      <c r="D1009" s="108" t="s">
        <v>4126</v>
      </c>
      <c r="E1009" s="108" t="s">
        <v>11131</v>
      </c>
      <c r="F1009" s="131" t="s">
        <v>11132</v>
      </c>
      <c r="G1009" s="228" t="s">
        <v>11133</v>
      </c>
      <c r="H1009" s="228" t="s">
        <v>11134</v>
      </c>
      <c r="I1009" s="133"/>
      <c r="J1009" s="134"/>
      <c r="K1009" s="134"/>
      <c r="L1009" s="134"/>
      <c r="M1009" s="134" t="s">
        <v>765</v>
      </c>
      <c r="N1009" s="135" t="s">
        <v>765</v>
      </c>
      <c r="O1009" s="136"/>
      <c r="P1009" s="105"/>
      <c r="Q1009" s="137"/>
      <c r="R1009" s="138"/>
      <c r="S1009" s="105"/>
      <c r="T1009" s="105"/>
      <c r="U1009" s="105"/>
      <c r="V1009" s="137"/>
      <c r="W1009" s="138"/>
      <c r="X1009" s="137"/>
      <c r="Y1009" s="138"/>
      <c r="Z1009" s="105"/>
      <c r="AA1009" s="105">
        <v>20</v>
      </c>
      <c r="AB1009" s="105"/>
      <c r="AC1009" s="105"/>
      <c r="AD1009" s="118">
        <v>46054</v>
      </c>
      <c r="AE1009" s="108" t="s">
        <v>11135</v>
      </c>
    </row>
    <row r="1010" spans="1:31" s="65" customFormat="1" ht="27" customHeight="1" x14ac:dyDescent="0.15">
      <c r="A1010" s="94">
        <v>1113300774</v>
      </c>
      <c r="B1010" s="350" t="s">
        <v>11244</v>
      </c>
      <c r="C1010" s="351" t="s">
        <v>11245</v>
      </c>
      <c r="D1010" s="352" t="s">
        <v>89</v>
      </c>
      <c r="E1010" s="352" t="s">
        <v>11246</v>
      </c>
      <c r="F1010" s="353" t="s">
        <v>1924</v>
      </c>
      <c r="G1010" s="354" t="s">
        <v>11247</v>
      </c>
      <c r="H1010" s="354" t="s">
        <v>11248</v>
      </c>
      <c r="I1010" s="354" t="s">
        <v>10951</v>
      </c>
      <c r="J1010" s="354" t="s">
        <v>10951</v>
      </c>
      <c r="K1010" s="354" t="s">
        <v>10951</v>
      </c>
      <c r="L1010" s="354" t="s">
        <v>10951</v>
      </c>
      <c r="M1010" s="354" t="s">
        <v>10951</v>
      </c>
      <c r="N1010" s="354" t="s">
        <v>10951</v>
      </c>
      <c r="O1010" s="354" t="s">
        <v>10951</v>
      </c>
      <c r="P1010" s="94"/>
      <c r="Q1010" s="94"/>
      <c r="R1010" s="94"/>
      <c r="S1010" s="94"/>
      <c r="T1010" s="94"/>
      <c r="U1010" s="94"/>
      <c r="V1010" s="94"/>
      <c r="W1010" s="94"/>
      <c r="X1010" s="94"/>
      <c r="Y1010" s="94"/>
      <c r="Z1010" s="94"/>
      <c r="AA1010" s="94"/>
      <c r="AB1010" s="94"/>
      <c r="AC1010" s="94">
        <v>10</v>
      </c>
      <c r="AD1010" s="355">
        <v>46082</v>
      </c>
      <c r="AE1010" s="352" t="s">
        <v>11249</v>
      </c>
    </row>
    <row r="1011" spans="1:31" ht="27" customHeight="1" x14ac:dyDescent="0.15">
      <c r="A1011" s="150">
        <v>1113300063</v>
      </c>
      <c r="B1011" s="130" t="s">
        <v>1105</v>
      </c>
      <c r="C1011" s="108" t="s">
        <v>1162</v>
      </c>
      <c r="D1011" s="108" t="s">
        <v>1163</v>
      </c>
      <c r="E1011" s="108" t="s">
        <v>1164</v>
      </c>
      <c r="F1011" s="151">
        <v>3550008</v>
      </c>
      <c r="G1011" s="132" t="s">
        <v>1165</v>
      </c>
      <c r="H1011" s="132" t="s">
        <v>1166</v>
      </c>
      <c r="I1011" s="141"/>
      <c r="J1011" s="142"/>
      <c r="K1011" s="142"/>
      <c r="L1011" s="142"/>
      <c r="M1011" s="142" t="s">
        <v>49</v>
      </c>
      <c r="N1011" s="143"/>
      <c r="O1011" s="138"/>
      <c r="P1011" s="105">
        <v>50</v>
      </c>
      <c r="Q1011" s="137" t="s">
        <v>49</v>
      </c>
      <c r="R1011" s="138">
        <v>2</v>
      </c>
      <c r="S1011" s="105"/>
      <c r="T1011" s="105">
        <v>50</v>
      </c>
      <c r="U1011" s="105"/>
      <c r="V1011" s="116"/>
      <c r="W1011" s="117"/>
      <c r="X1011" s="152"/>
      <c r="Y1011" s="138"/>
      <c r="Z1011" s="105"/>
      <c r="AA1011" s="116"/>
      <c r="AB1011" s="137"/>
      <c r="AC1011" s="137"/>
      <c r="AD1011" s="144">
        <v>40634</v>
      </c>
      <c r="AE1011" s="108" t="s">
        <v>11370</v>
      </c>
    </row>
    <row r="1012" spans="1:31" ht="27" customHeight="1" x14ac:dyDescent="0.15">
      <c r="A1012" s="105">
        <v>1113300089</v>
      </c>
      <c r="B1012" s="106" t="s">
        <v>1338</v>
      </c>
      <c r="C1012" s="107" t="s">
        <v>1339</v>
      </c>
      <c r="D1012" s="157" t="s">
        <v>1163</v>
      </c>
      <c r="E1012" s="108" t="s">
        <v>1336</v>
      </c>
      <c r="F1012" s="139">
        <v>3550065</v>
      </c>
      <c r="G1012" s="140" t="s">
        <v>2390</v>
      </c>
      <c r="H1012" s="140" t="s">
        <v>1337</v>
      </c>
      <c r="I1012" s="141"/>
      <c r="J1012" s="142"/>
      <c r="K1012" s="142"/>
      <c r="L1012" s="142"/>
      <c r="M1012" s="142" t="s">
        <v>49</v>
      </c>
      <c r="N1012" s="143"/>
      <c r="O1012" s="138"/>
      <c r="P1012" s="105">
        <v>220</v>
      </c>
      <c r="Q1012" s="137" t="s">
        <v>49</v>
      </c>
      <c r="R1012" s="138">
        <v>3</v>
      </c>
      <c r="S1012" s="105"/>
      <c r="T1012" s="105">
        <v>220</v>
      </c>
      <c r="U1012" s="105"/>
      <c r="V1012" s="116"/>
      <c r="W1012" s="117"/>
      <c r="X1012" s="117"/>
      <c r="Y1012" s="138"/>
      <c r="Z1012" s="105"/>
      <c r="AA1012" s="105"/>
      <c r="AB1012" s="105"/>
      <c r="AC1012" s="105"/>
      <c r="AD1012" s="144">
        <v>40634</v>
      </c>
      <c r="AE1012" s="108" t="s">
        <v>1340</v>
      </c>
    </row>
    <row r="1013" spans="1:31" ht="27" customHeight="1" x14ac:dyDescent="0.15">
      <c r="A1013" s="105">
        <v>1113300097</v>
      </c>
      <c r="B1013" s="130" t="s">
        <v>479</v>
      </c>
      <c r="C1013" s="108" t="s">
        <v>1809</v>
      </c>
      <c r="D1013" s="108" t="s">
        <v>89</v>
      </c>
      <c r="E1013" s="108" t="s">
        <v>1810</v>
      </c>
      <c r="F1013" s="131">
        <v>3550036</v>
      </c>
      <c r="G1013" s="132" t="s">
        <v>1811</v>
      </c>
      <c r="H1013" s="132" t="s">
        <v>1812</v>
      </c>
      <c r="I1013" s="133"/>
      <c r="J1013" s="134"/>
      <c r="K1013" s="134"/>
      <c r="L1013" s="134"/>
      <c r="M1013" s="134" t="s">
        <v>49</v>
      </c>
      <c r="N1013" s="135"/>
      <c r="O1013" s="136"/>
      <c r="P1013" s="105"/>
      <c r="Q1013" s="137"/>
      <c r="R1013" s="138"/>
      <c r="S1013" s="105"/>
      <c r="T1013" s="105">
        <v>6</v>
      </c>
      <c r="U1013" s="105"/>
      <c r="V1013" s="116"/>
      <c r="W1013" s="117"/>
      <c r="X1013" s="137"/>
      <c r="Y1013" s="138"/>
      <c r="Z1013" s="105"/>
      <c r="AA1013" s="116">
        <v>20</v>
      </c>
      <c r="AB1013" s="137"/>
      <c r="AC1013" s="137"/>
      <c r="AD1013" s="118">
        <v>41000</v>
      </c>
      <c r="AE1013" s="108" t="s">
        <v>1813</v>
      </c>
    </row>
    <row r="1014" spans="1:31" ht="27" customHeight="1" x14ac:dyDescent="0.15">
      <c r="A1014" s="105">
        <v>1113300105</v>
      </c>
      <c r="B1014" s="130" t="s">
        <v>478</v>
      </c>
      <c r="C1014" s="108" t="s">
        <v>584</v>
      </c>
      <c r="D1014" s="108" t="s">
        <v>89</v>
      </c>
      <c r="E1014" s="108" t="s">
        <v>3707</v>
      </c>
      <c r="F1014" s="131">
        <v>3550008</v>
      </c>
      <c r="G1014" s="152" t="s">
        <v>690</v>
      </c>
      <c r="H1014" s="132" t="s">
        <v>691</v>
      </c>
      <c r="I1014" s="133"/>
      <c r="J1014" s="134"/>
      <c r="K1014" s="134"/>
      <c r="L1014" s="134"/>
      <c r="M1014" s="134" t="s">
        <v>4931</v>
      </c>
      <c r="N1014" s="135" t="s">
        <v>4931</v>
      </c>
      <c r="O1014" s="136"/>
      <c r="P1014" s="105">
        <v>40</v>
      </c>
      <c r="Q1014" s="137" t="s">
        <v>456</v>
      </c>
      <c r="R1014" s="138">
        <v>4</v>
      </c>
      <c r="S1014" s="132"/>
      <c r="T1014" s="105">
        <v>85</v>
      </c>
      <c r="U1014" s="132"/>
      <c r="V1014" s="133"/>
      <c r="W1014" s="242"/>
      <c r="X1014" s="137"/>
      <c r="Y1014" s="136"/>
      <c r="Z1014" s="132"/>
      <c r="AA1014" s="137"/>
      <c r="AB1014" s="137"/>
      <c r="AC1014" s="137"/>
      <c r="AD1014" s="155">
        <v>39539</v>
      </c>
      <c r="AE1014" s="108" t="s">
        <v>810</v>
      </c>
    </row>
    <row r="1015" spans="1:31" s="65" customFormat="1" ht="27" customHeight="1" x14ac:dyDescent="0.15">
      <c r="A1015" s="105">
        <v>1113300147</v>
      </c>
      <c r="B1015" s="130" t="s">
        <v>857</v>
      </c>
      <c r="C1015" s="108" t="s">
        <v>858</v>
      </c>
      <c r="D1015" s="108" t="s">
        <v>89</v>
      </c>
      <c r="E1015" s="108" t="s">
        <v>859</v>
      </c>
      <c r="F1015" s="264">
        <v>3550008</v>
      </c>
      <c r="G1015" s="137" t="s">
        <v>860</v>
      </c>
      <c r="H1015" s="105" t="s">
        <v>861</v>
      </c>
      <c r="I1015" s="181" t="s">
        <v>49</v>
      </c>
      <c r="J1015" s="154" t="s">
        <v>49</v>
      </c>
      <c r="K1015" s="154" t="s">
        <v>49</v>
      </c>
      <c r="L1015" s="154" t="s">
        <v>49</v>
      </c>
      <c r="M1015" s="154" t="s">
        <v>49</v>
      </c>
      <c r="N1015" s="143" t="s">
        <v>49</v>
      </c>
      <c r="O1015" s="138" t="s">
        <v>49</v>
      </c>
      <c r="P1015" s="132"/>
      <c r="Q1015" s="133"/>
      <c r="R1015" s="136"/>
      <c r="S1015" s="132"/>
      <c r="T1015" s="132">
        <v>20</v>
      </c>
      <c r="U1015" s="105"/>
      <c r="V1015" s="116"/>
      <c r="W1015" s="117"/>
      <c r="X1015" s="152"/>
      <c r="Y1015" s="136"/>
      <c r="Z1015" s="132"/>
      <c r="AA1015" s="152"/>
      <c r="AB1015" s="152"/>
      <c r="AC1015" s="152"/>
      <c r="AD1015" s="239">
        <v>40210</v>
      </c>
      <c r="AE1015" s="157" t="s">
        <v>862</v>
      </c>
    </row>
    <row r="1016" spans="1:31" s="65" customFormat="1" ht="27" customHeight="1" x14ac:dyDescent="0.15">
      <c r="A1016" s="105">
        <v>1113300170</v>
      </c>
      <c r="B1016" s="130" t="s">
        <v>479</v>
      </c>
      <c r="C1016" s="108" t="s">
        <v>506</v>
      </c>
      <c r="D1016" s="108" t="s">
        <v>89</v>
      </c>
      <c r="E1016" s="108" t="s">
        <v>1526</v>
      </c>
      <c r="F1016" s="131">
        <v>3550073</v>
      </c>
      <c r="G1016" s="152" t="s">
        <v>692</v>
      </c>
      <c r="H1016" s="132" t="s">
        <v>693</v>
      </c>
      <c r="I1016" s="183"/>
      <c r="J1016" s="134" t="s">
        <v>298</v>
      </c>
      <c r="K1016" s="134"/>
      <c r="L1016" s="134"/>
      <c r="M1016" s="134" t="s">
        <v>298</v>
      </c>
      <c r="N1016" s="135"/>
      <c r="O1016" s="136"/>
      <c r="P1016" s="105"/>
      <c r="Q1016" s="116"/>
      <c r="R1016" s="138"/>
      <c r="S1016" s="105"/>
      <c r="T1016" s="105"/>
      <c r="U1016" s="105"/>
      <c r="V1016" s="116"/>
      <c r="W1016" s="117"/>
      <c r="X1016" s="137"/>
      <c r="Y1016" s="138"/>
      <c r="Z1016" s="105"/>
      <c r="AA1016" s="137">
        <v>40</v>
      </c>
      <c r="AB1016" s="137"/>
      <c r="AC1016" s="137"/>
      <c r="AD1016" s="118">
        <v>38991</v>
      </c>
      <c r="AE1016" s="108" t="s">
        <v>216</v>
      </c>
    </row>
    <row r="1017" spans="1:31" s="65" customFormat="1" ht="27" customHeight="1" x14ac:dyDescent="0.15">
      <c r="A1017" s="105">
        <v>1113300204</v>
      </c>
      <c r="B1017" s="130" t="s">
        <v>430</v>
      </c>
      <c r="C1017" s="108" t="s">
        <v>522</v>
      </c>
      <c r="D1017" s="108" t="s">
        <v>89</v>
      </c>
      <c r="E1017" s="108" t="s">
        <v>185</v>
      </c>
      <c r="F1017" s="131">
        <v>3550005</v>
      </c>
      <c r="G1017" s="132" t="s">
        <v>694</v>
      </c>
      <c r="H1017" s="132" t="s">
        <v>695</v>
      </c>
      <c r="I1017" s="133"/>
      <c r="J1017" s="134"/>
      <c r="K1017" s="134"/>
      <c r="L1017" s="134"/>
      <c r="M1017" s="134" t="s">
        <v>811</v>
      </c>
      <c r="N1017" s="135"/>
      <c r="O1017" s="136"/>
      <c r="P1017" s="105"/>
      <c r="Q1017" s="137"/>
      <c r="R1017" s="138"/>
      <c r="S1017" s="105"/>
      <c r="T1017" s="105">
        <v>20</v>
      </c>
      <c r="U1017" s="105"/>
      <c r="V1017" s="137"/>
      <c r="W1017" s="138"/>
      <c r="X1017" s="137"/>
      <c r="Y1017" s="138"/>
      <c r="Z1017" s="105"/>
      <c r="AA1017" s="105"/>
      <c r="AB1017" s="105"/>
      <c r="AC1017" s="105"/>
      <c r="AD1017" s="118">
        <v>39173</v>
      </c>
      <c r="AE1017" s="108" t="s">
        <v>1593</v>
      </c>
    </row>
    <row r="1018" spans="1:31" s="65" customFormat="1" ht="27" customHeight="1" x14ac:dyDescent="0.15">
      <c r="A1018" s="105">
        <v>1113300212</v>
      </c>
      <c r="B1018" s="130" t="s">
        <v>408</v>
      </c>
      <c r="C1018" s="108" t="s">
        <v>523</v>
      </c>
      <c r="D1018" s="108" t="s">
        <v>89</v>
      </c>
      <c r="E1018" s="108" t="s">
        <v>183</v>
      </c>
      <c r="F1018" s="131">
        <v>3550019</v>
      </c>
      <c r="G1018" s="152" t="s">
        <v>696</v>
      </c>
      <c r="H1018" s="152" t="s">
        <v>2238</v>
      </c>
      <c r="I1018" s="133"/>
      <c r="J1018" s="134"/>
      <c r="K1018" s="134"/>
      <c r="L1018" s="134"/>
      <c r="M1018" s="134" t="s">
        <v>301</v>
      </c>
      <c r="N1018" s="135"/>
      <c r="O1018" s="136"/>
      <c r="P1018" s="105"/>
      <c r="Q1018" s="137"/>
      <c r="R1018" s="138"/>
      <c r="S1018" s="105"/>
      <c r="T1018" s="105">
        <v>10</v>
      </c>
      <c r="U1018" s="105"/>
      <c r="V1018" s="116"/>
      <c r="W1018" s="138"/>
      <c r="X1018" s="137"/>
      <c r="Y1018" s="138"/>
      <c r="Z1018" s="105"/>
      <c r="AA1018" s="137">
        <v>35</v>
      </c>
      <c r="AB1018" s="137"/>
      <c r="AC1018" s="137"/>
      <c r="AD1018" s="118">
        <v>39173</v>
      </c>
      <c r="AE1018" s="108" t="s">
        <v>1592</v>
      </c>
    </row>
    <row r="1019" spans="1:31" s="65" customFormat="1" ht="27" customHeight="1" x14ac:dyDescent="0.15">
      <c r="A1019" s="105">
        <v>1113300238</v>
      </c>
      <c r="B1019" s="130" t="s">
        <v>409</v>
      </c>
      <c r="C1019" s="108" t="s">
        <v>4849</v>
      </c>
      <c r="D1019" s="108" t="s">
        <v>89</v>
      </c>
      <c r="E1019" s="108" t="s">
        <v>4850</v>
      </c>
      <c r="F1019" s="131" t="s">
        <v>4851</v>
      </c>
      <c r="G1019" s="132" t="s">
        <v>4852</v>
      </c>
      <c r="H1019" s="132" t="s">
        <v>4853</v>
      </c>
      <c r="I1019" s="133"/>
      <c r="J1019" s="134"/>
      <c r="K1019" s="134"/>
      <c r="L1019" s="134"/>
      <c r="M1019" s="134"/>
      <c r="N1019" s="135" t="s">
        <v>4854</v>
      </c>
      <c r="O1019" s="136"/>
      <c r="P1019" s="105"/>
      <c r="Q1019" s="137"/>
      <c r="R1019" s="138"/>
      <c r="S1019" s="105"/>
      <c r="T1019" s="105"/>
      <c r="U1019" s="105"/>
      <c r="V1019" s="137"/>
      <c r="W1019" s="138"/>
      <c r="X1019" s="137"/>
      <c r="Y1019" s="138"/>
      <c r="Z1019" s="105"/>
      <c r="AA1019" s="105">
        <v>30</v>
      </c>
      <c r="AB1019" s="105"/>
      <c r="AC1019" s="105"/>
      <c r="AD1019" s="118">
        <v>39356</v>
      </c>
      <c r="AE1019" s="108" t="s">
        <v>471</v>
      </c>
    </row>
    <row r="1020" spans="1:31" s="65" customFormat="1" ht="27" customHeight="1" x14ac:dyDescent="0.15">
      <c r="A1020" s="105">
        <v>1113300261</v>
      </c>
      <c r="B1020" s="106" t="s">
        <v>1385</v>
      </c>
      <c r="C1020" s="107" t="s">
        <v>746</v>
      </c>
      <c r="D1020" s="108" t="s">
        <v>89</v>
      </c>
      <c r="E1020" s="108" t="s">
        <v>812</v>
      </c>
      <c r="F1020" s="139">
        <v>3550013</v>
      </c>
      <c r="G1020" s="140" t="s">
        <v>4603</v>
      </c>
      <c r="H1020" s="140" t="s">
        <v>4603</v>
      </c>
      <c r="I1020" s="141" t="s">
        <v>49</v>
      </c>
      <c r="J1020" s="142"/>
      <c r="K1020" s="142" t="s">
        <v>49</v>
      </c>
      <c r="L1020" s="142" t="s">
        <v>49</v>
      </c>
      <c r="M1020" s="142" t="s">
        <v>49</v>
      </c>
      <c r="N1020" s="143" t="s">
        <v>49</v>
      </c>
      <c r="O1020" s="138"/>
      <c r="P1020" s="105"/>
      <c r="Q1020" s="137"/>
      <c r="R1020" s="138"/>
      <c r="S1020" s="105"/>
      <c r="T1020" s="105"/>
      <c r="U1020" s="105"/>
      <c r="V1020" s="137">
        <v>10</v>
      </c>
      <c r="W1020" s="138"/>
      <c r="X1020" s="137">
        <v>20</v>
      </c>
      <c r="Y1020" s="138"/>
      <c r="Z1020" s="105"/>
      <c r="AA1020" s="105"/>
      <c r="AB1020" s="105"/>
      <c r="AC1020" s="105"/>
      <c r="AD1020" s="144">
        <v>39904</v>
      </c>
      <c r="AE1020" s="108" t="s">
        <v>64</v>
      </c>
    </row>
    <row r="1021" spans="1:31" s="65" customFormat="1" ht="27" customHeight="1" x14ac:dyDescent="0.15">
      <c r="A1021" s="105">
        <v>1113300295</v>
      </c>
      <c r="B1021" s="106" t="s">
        <v>1653</v>
      </c>
      <c r="C1021" s="107" t="s">
        <v>1654</v>
      </c>
      <c r="D1021" s="108" t="s">
        <v>89</v>
      </c>
      <c r="E1021" s="108" t="s">
        <v>1655</v>
      </c>
      <c r="F1021" s="139">
        <v>3550008</v>
      </c>
      <c r="G1021" s="140" t="s">
        <v>1656</v>
      </c>
      <c r="H1021" s="140" t="s">
        <v>1657</v>
      </c>
      <c r="I1021" s="141"/>
      <c r="J1021" s="142"/>
      <c r="K1021" s="142"/>
      <c r="L1021" s="142"/>
      <c r="M1021" s="142"/>
      <c r="N1021" s="143" t="s">
        <v>49</v>
      </c>
      <c r="O1021" s="138"/>
      <c r="P1021" s="105"/>
      <c r="Q1021" s="137"/>
      <c r="R1021" s="138"/>
      <c r="S1021" s="105"/>
      <c r="T1021" s="105"/>
      <c r="U1021" s="105"/>
      <c r="V1021" s="137">
        <v>20</v>
      </c>
      <c r="W1021" s="138">
        <v>16</v>
      </c>
      <c r="X1021" s="137"/>
      <c r="Y1021" s="138"/>
      <c r="Z1021" s="105"/>
      <c r="AA1021" s="105"/>
      <c r="AB1021" s="105"/>
      <c r="AC1021" s="105"/>
      <c r="AD1021" s="144">
        <v>40969</v>
      </c>
      <c r="AE1021" s="108" t="s">
        <v>1658</v>
      </c>
    </row>
    <row r="1022" spans="1:31" s="65" customFormat="1" ht="27" customHeight="1" x14ac:dyDescent="0.15">
      <c r="A1022" s="105">
        <v>1113300311</v>
      </c>
      <c r="B1022" s="130" t="s">
        <v>3748</v>
      </c>
      <c r="C1022" s="108" t="s">
        <v>1819</v>
      </c>
      <c r="D1022" s="108" t="s">
        <v>89</v>
      </c>
      <c r="E1022" s="108" t="s">
        <v>1923</v>
      </c>
      <c r="F1022" s="139" t="s">
        <v>1924</v>
      </c>
      <c r="G1022" s="140" t="s">
        <v>1925</v>
      </c>
      <c r="H1022" s="140" t="s">
        <v>1820</v>
      </c>
      <c r="I1022" s="141"/>
      <c r="J1022" s="142"/>
      <c r="K1022" s="142" t="s">
        <v>1920</v>
      </c>
      <c r="L1022" s="142"/>
      <c r="M1022" s="142" t="s">
        <v>1920</v>
      </c>
      <c r="N1022" s="143" t="s">
        <v>49</v>
      </c>
      <c r="O1022" s="138"/>
      <c r="P1022" s="105"/>
      <c r="Q1022" s="137"/>
      <c r="R1022" s="138"/>
      <c r="S1022" s="105"/>
      <c r="T1022" s="105"/>
      <c r="U1022" s="105"/>
      <c r="V1022" s="137"/>
      <c r="W1022" s="138"/>
      <c r="X1022" s="137">
        <v>10</v>
      </c>
      <c r="Y1022" s="138"/>
      <c r="Z1022" s="105"/>
      <c r="AA1022" s="105">
        <v>10</v>
      </c>
      <c r="AB1022" s="105"/>
      <c r="AC1022" s="105"/>
      <c r="AD1022" s="144">
        <v>41000</v>
      </c>
      <c r="AE1022" s="108" t="s">
        <v>1926</v>
      </c>
    </row>
    <row r="1023" spans="1:31" s="65" customFormat="1" ht="27" customHeight="1" x14ac:dyDescent="0.15">
      <c r="A1023" s="105">
        <v>1113300436</v>
      </c>
      <c r="B1023" s="130" t="s">
        <v>1552</v>
      </c>
      <c r="C1023" s="108" t="s">
        <v>5397</v>
      </c>
      <c r="D1023" s="108" t="s">
        <v>89</v>
      </c>
      <c r="E1023" s="108" t="s">
        <v>2813</v>
      </c>
      <c r="F1023" s="139" t="s">
        <v>5398</v>
      </c>
      <c r="G1023" s="140" t="s">
        <v>5399</v>
      </c>
      <c r="H1023" s="140" t="s">
        <v>5400</v>
      </c>
      <c r="I1023" s="116" t="s">
        <v>5401</v>
      </c>
      <c r="J1023" s="154" t="s">
        <v>5401</v>
      </c>
      <c r="K1023" s="154" t="s">
        <v>5401</v>
      </c>
      <c r="L1023" s="154" t="s">
        <v>5401</v>
      </c>
      <c r="M1023" s="154" t="s">
        <v>5401</v>
      </c>
      <c r="N1023" s="143" t="s">
        <v>5401</v>
      </c>
      <c r="O1023" s="138"/>
      <c r="P1023" s="105"/>
      <c r="Q1023" s="137"/>
      <c r="R1023" s="138"/>
      <c r="S1023" s="105"/>
      <c r="T1023" s="105">
        <v>28</v>
      </c>
      <c r="U1023" s="105"/>
      <c r="V1023" s="137"/>
      <c r="W1023" s="138"/>
      <c r="X1023" s="137"/>
      <c r="Y1023" s="138"/>
      <c r="Z1023" s="105"/>
      <c r="AA1023" s="105">
        <v>13</v>
      </c>
      <c r="AB1023" s="105"/>
      <c r="AC1023" s="105"/>
      <c r="AD1023" s="144">
        <v>42095</v>
      </c>
      <c r="AE1023" s="108" t="s">
        <v>2814</v>
      </c>
    </row>
    <row r="1024" spans="1:31" ht="27" customHeight="1" x14ac:dyDescent="0.15">
      <c r="A1024" s="105">
        <v>1113300493</v>
      </c>
      <c r="B1024" s="130" t="s">
        <v>3747</v>
      </c>
      <c r="C1024" s="108" t="s">
        <v>3749</v>
      </c>
      <c r="D1024" s="108" t="s">
        <v>89</v>
      </c>
      <c r="E1024" s="108" t="s">
        <v>3750</v>
      </c>
      <c r="F1024" s="131">
        <v>3550005</v>
      </c>
      <c r="G1024" s="132" t="s">
        <v>3751</v>
      </c>
      <c r="H1024" s="132" t="s">
        <v>3752</v>
      </c>
      <c r="I1024" s="133"/>
      <c r="J1024" s="134"/>
      <c r="K1024" s="134"/>
      <c r="L1024" s="134"/>
      <c r="M1024" s="134" t="s">
        <v>49</v>
      </c>
      <c r="N1024" s="135" t="s">
        <v>3753</v>
      </c>
      <c r="O1024" s="136"/>
      <c r="P1024" s="105"/>
      <c r="Q1024" s="137"/>
      <c r="R1024" s="138"/>
      <c r="S1024" s="105"/>
      <c r="T1024" s="105">
        <v>20</v>
      </c>
      <c r="U1024" s="105"/>
      <c r="V1024" s="137"/>
      <c r="W1024" s="138"/>
      <c r="X1024" s="137"/>
      <c r="Y1024" s="138"/>
      <c r="Z1024" s="105"/>
      <c r="AA1024" s="105"/>
      <c r="AB1024" s="105"/>
      <c r="AC1024" s="105"/>
      <c r="AD1024" s="118">
        <v>42826</v>
      </c>
      <c r="AE1024" s="108" t="s">
        <v>3754</v>
      </c>
    </row>
    <row r="1025" spans="1:157" s="65" customFormat="1" ht="27" customHeight="1" x14ac:dyDescent="0.15">
      <c r="A1025" s="105">
        <v>1113300501</v>
      </c>
      <c r="B1025" s="130" t="s">
        <v>4164</v>
      </c>
      <c r="C1025" s="108" t="s">
        <v>4165</v>
      </c>
      <c r="D1025" s="108" t="s">
        <v>89</v>
      </c>
      <c r="E1025" s="108" t="s">
        <v>4166</v>
      </c>
      <c r="F1025" s="131">
        <v>3550017</v>
      </c>
      <c r="G1025" s="132" t="s">
        <v>4167</v>
      </c>
      <c r="H1025" s="132" t="s">
        <v>4168</v>
      </c>
      <c r="I1025" s="133" t="s">
        <v>4169</v>
      </c>
      <c r="J1025" s="134" t="s">
        <v>4169</v>
      </c>
      <c r="K1025" s="134" t="s">
        <v>4169</v>
      </c>
      <c r="L1025" s="134" t="s">
        <v>4169</v>
      </c>
      <c r="M1025" s="134" t="s">
        <v>4169</v>
      </c>
      <c r="N1025" s="135" t="s">
        <v>4169</v>
      </c>
      <c r="O1025" s="136" t="s">
        <v>4169</v>
      </c>
      <c r="P1025" s="105"/>
      <c r="Q1025" s="137"/>
      <c r="R1025" s="138"/>
      <c r="S1025" s="105"/>
      <c r="T1025" s="105">
        <v>20</v>
      </c>
      <c r="U1025" s="105"/>
      <c r="V1025" s="137"/>
      <c r="W1025" s="138"/>
      <c r="X1025" s="137"/>
      <c r="Y1025" s="138"/>
      <c r="Z1025" s="105"/>
      <c r="AA1025" s="105"/>
      <c r="AB1025" s="105"/>
      <c r="AC1025" s="105"/>
      <c r="AD1025" s="118">
        <v>43070</v>
      </c>
      <c r="AE1025" s="108" t="s">
        <v>4184</v>
      </c>
    </row>
    <row r="1026" spans="1:157" ht="27" customHeight="1" x14ac:dyDescent="0.15">
      <c r="A1026" s="150">
        <v>1113300543</v>
      </c>
      <c r="B1026" s="106" t="s">
        <v>4585</v>
      </c>
      <c r="C1026" s="107" t="s">
        <v>2948</v>
      </c>
      <c r="D1026" s="108" t="s">
        <v>89</v>
      </c>
      <c r="E1026" s="108" t="s">
        <v>4586</v>
      </c>
      <c r="F1026" s="151" t="s">
        <v>2949</v>
      </c>
      <c r="G1026" s="132" t="s">
        <v>2950</v>
      </c>
      <c r="H1026" s="132" t="s">
        <v>3679</v>
      </c>
      <c r="I1026" s="133"/>
      <c r="J1026" s="134"/>
      <c r="K1026" s="134"/>
      <c r="L1026" s="134"/>
      <c r="M1026" s="134" t="s">
        <v>49</v>
      </c>
      <c r="N1026" s="135" t="s">
        <v>49</v>
      </c>
      <c r="O1026" s="136"/>
      <c r="P1026" s="105"/>
      <c r="Q1026" s="152"/>
      <c r="R1026" s="138"/>
      <c r="S1026" s="132"/>
      <c r="T1026" s="105">
        <v>20</v>
      </c>
      <c r="U1026" s="132"/>
      <c r="V1026" s="133"/>
      <c r="W1026" s="242"/>
      <c r="X1026" s="133"/>
      <c r="Y1026" s="136"/>
      <c r="Z1026" s="132"/>
      <c r="AA1026" s="132"/>
      <c r="AB1026" s="132"/>
      <c r="AC1026" s="132"/>
      <c r="AD1026" s="118">
        <v>43313</v>
      </c>
      <c r="AE1026" s="108" t="s">
        <v>2951</v>
      </c>
    </row>
    <row r="1027" spans="1:157" s="65" customFormat="1" ht="27" customHeight="1" x14ac:dyDescent="0.15">
      <c r="A1027" s="105">
        <v>1113300576</v>
      </c>
      <c r="B1027" s="130" t="s">
        <v>4599</v>
      </c>
      <c r="C1027" s="108" t="s">
        <v>4600</v>
      </c>
      <c r="D1027" s="108" t="s">
        <v>89</v>
      </c>
      <c r="E1027" s="108" t="s">
        <v>4601</v>
      </c>
      <c r="F1027" s="131" t="s">
        <v>4602</v>
      </c>
      <c r="G1027" s="132" t="s">
        <v>4603</v>
      </c>
      <c r="H1027" s="132" t="s">
        <v>4603</v>
      </c>
      <c r="I1027" s="133" t="s">
        <v>4598</v>
      </c>
      <c r="J1027" s="134"/>
      <c r="K1027" s="134" t="s">
        <v>4598</v>
      </c>
      <c r="L1027" s="134" t="s">
        <v>4598</v>
      </c>
      <c r="M1027" s="134" t="s">
        <v>4598</v>
      </c>
      <c r="N1027" s="135" t="s">
        <v>4598</v>
      </c>
      <c r="O1027" s="136" t="s">
        <v>4598</v>
      </c>
      <c r="P1027" s="105"/>
      <c r="Q1027" s="137"/>
      <c r="R1027" s="138"/>
      <c r="S1027" s="105"/>
      <c r="T1027" s="105"/>
      <c r="U1027" s="105"/>
      <c r="V1027" s="137"/>
      <c r="W1027" s="138"/>
      <c r="X1027" s="137"/>
      <c r="Y1027" s="138"/>
      <c r="Z1027" s="105"/>
      <c r="AA1027" s="105"/>
      <c r="AB1027" s="105" t="s">
        <v>4598</v>
      </c>
      <c r="AC1027" s="105"/>
      <c r="AD1027" s="118">
        <v>43313</v>
      </c>
      <c r="AE1027" s="108" t="s">
        <v>4604</v>
      </c>
      <c r="AU1027" s="229"/>
      <c r="AV1027" s="229"/>
      <c r="AW1027" s="229"/>
      <c r="AX1027" s="229"/>
      <c r="AY1027" s="229"/>
      <c r="AZ1027" s="229"/>
      <c r="BA1027" s="229"/>
      <c r="BB1027" s="229"/>
      <c r="BC1027" s="229"/>
      <c r="BD1027" s="229"/>
      <c r="BE1027" s="229"/>
      <c r="BF1027" s="229"/>
      <c r="BG1027" s="229"/>
      <c r="BH1027" s="229"/>
      <c r="BI1027" s="229"/>
      <c r="BJ1027" s="229"/>
      <c r="BK1027" s="229"/>
      <c r="BL1027" s="229"/>
      <c r="BM1027" s="229"/>
      <c r="BN1027" s="229"/>
      <c r="BO1027" s="229"/>
      <c r="BP1027" s="229"/>
      <c r="BQ1027" s="229"/>
      <c r="BR1027" s="229"/>
      <c r="BS1027" s="229"/>
      <c r="BT1027" s="229"/>
      <c r="BU1027" s="229"/>
      <c r="BV1027" s="229"/>
      <c r="BW1027" s="229"/>
      <c r="BX1027" s="229"/>
      <c r="BY1027" s="229"/>
      <c r="BZ1027" s="229"/>
      <c r="CA1027" s="229"/>
      <c r="CB1027" s="229"/>
      <c r="CC1027" s="229"/>
      <c r="CD1027" s="229"/>
      <c r="CE1027" s="229"/>
      <c r="CF1027" s="229"/>
      <c r="CG1027" s="229"/>
      <c r="CH1027" s="229"/>
      <c r="CI1027" s="229"/>
      <c r="CJ1027" s="229"/>
      <c r="CK1027" s="229"/>
      <c r="CL1027" s="229"/>
      <c r="CM1027" s="229"/>
      <c r="CN1027" s="229"/>
      <c r="CO1027" s="229"/>
      <c r="CP1027" s="229"/>
      <c r="CQ1027" s="229"/>
      <c r="CR1027" s="229"/>
      <c r="CS1027" s="229"/>
      <c r="CT1027" s="229"/>
      <c r="CU1027" s="229"/>
      <c r="CV1027" s="229"/>
      <c r="CW1027" s="229"/>
      <c r="CX1027" s="229"/>
      <c r="CY1027" s="229"/>
      <c r="CZ1027" s="229"/>
      <c r="DA1027" s="229"/>
      <c r="DB1027" s="229"/>
      <c r="DC1027" s="229"/>
      <c r="DD1027" s="229"/>
      <c r="DE1027" s="229"/>
      <c r="DF1027" s="229"/>
      <c r="DG1027" s="229"/>
      <c r="DH1027" s="229"/>
      <c r="DI1027" s="229"/>
      <c r="DJ1027" s="229"/>
      <c r="DK1027" s="229"/>
      <c r="DL1027" s="229"/>
      <c r="DM1027" s="229"/>
      <c r="DN1027" s="229"/>
      <c r="DO1027" s="229"/>
      <c r="DP1027" s="229"/>
      <c r="DQ1027" s="229"/>
      <c r="DR1027" s="229"/>
      <c r="DS1027" s="229"/>
      <c r="DT1027" s="229"/>
      <c r="DU1027" s="229"/>
      <c r="DV1027" s="229"/>
      <c r="DW1027" s="229"/>
      <c r="DX1027" s="229"/>
      <c r="DY1027" s="229"/>
      <c r="DZ1027" s="229"/>
      <c r="EA1027" s="229"/>
      <c r="EB1027" s="229"/>
      <c r="EC1027" s="229"/>
      <c r="ED1027" s="229"/>
      <c r="EE1027" s="229"/>
      <c r="EF1027" s="229"/>
      <c r="EG1027" s="229"/>
      <c r="EH1027" s="229"/>
      <c r="EI1027" s="229"/>
      <c r="EJ1027" s="229"/>
      <c r="EK1027" s="229"/>
      <c r="EL1027" s="229"/>
      <c r="EM1027" s="229"/>
      <c r="EN1027" s="229"/>
      <c r="EO1027" s="229"/>
      <c r="EP1027" s="229"/>
      <c r="EQ1027" s="229"/>
      <c r="ER1027" s="229"/>
      <c r="ES1027" s="229"/>
      <c r="ET1027" s="229"/>
      <c r="EU1027" s="229"/>
      <c r="EV1027" s="229"/>
      <c r="EW1027" s="229"/>
      <c r="EX1027" s="229"/>
      <c r="EY1027" s="229"/>
      <c r="EZ1027" s="229"/>
      <c r="FA1027" s="229"/>
    </row>
    <row r="1028" spans="1:157" s="65" customFormat="1" ht="27" customHeight="1" x14ac:dyDescent="0.15">
      <c r="A1028" s="150">
        <v>1113300584</v>
      </c>
      <c r="B1028" s="106" t="s">
        <v>4621</v>
      </c>
      <c r="C1028" s="107" t="s">
        <v>4622</v>
      </c>
      <c r="D1028" s="108" t="s">
        <v>89</v>
      </c>
      <c r="E1028" s="108" t="s">
        <v>4623</v>
      </c>
      <c r="F1028" s="151" t="s">
        <v>4624</v>
      </c>
      <c r="G1028" s="132" t="s">
        <v>4625</v>
      </c>
      <c r="H1028" s="132" t="s">
        <v>4625</v>
      </c>
      <c r="I1028" s="133"/>
      <c r="J1028" s="134"/>
      <c r="K1028" s="134"/>
      <c r="L1028" s="134"/>
      <c r="M1028" s="134" t="s">
        <v>49</v>
      </c>
      <c r="N1028" s="135" t="s">
        <v>49</v>
      </c>
      <c r="O1028" s="136"/>
      <c r="P1028" s="105"/>
      <c r="Q1028" s="152"/>
      <c r="R1028" s="138"/>
      <c r="S1028" s="132"/>
      <c r="T1028" s="105">
        <v>10</v>
      </c>
      <c r="U1028" s="132"/>
      <c r="V1028" s="133"/>
      <c r="W1028" s="242"/>
      <c r="X1028" s="133"/>
      <c r="Y1028" s="136"/>
      <c r="Z1028" s="132"/>
      <c r="AA1028" s="132">
        <v>10</v>
      </c>
      <c r="AB1028" s="132"/>
      <c r="AC1028" s="132"/>
      <c r="AD1028" s="118">
        <v>43344</v>
      </c>
      <c r="AE1028" s="108" t="s">
        <v>4626</v>
      </c>
    </row>
    <row r="1029" spans="1:157" ht="27" customHeight="1" x14ac:dyDescent="0.15">
      <c r="A1029" s="105">
        <v>1113300600</v>
      </c>
      <c r="B1029" s="130" t="s">
        <v>4994</v>
      </c>
      <c r="C1029" s="108" t="s">
        <v>11801</v>
      </c>
      <c r="D1029" s="108" t="s">
        <v>89</v>
      </c>
      <c r="E1029" s="108" t="s">
        <v>4995</v>
      </c>
      <c r="F1029" s="131" t="s">
        <v>4996</v>
      </c>
      <c r="G1029" s="132" t="s">
        <v>4997</v>
      </c>
      <c r="H1029" s="132" t="s">
        <v>4998</v>
      </c>
      <c r="I1029" s="133"/>
      <c r="J1029" s="134"/>
      <c r="K1029" s="134"/>
      <c r="L1029" s="134"/>
      <c r="M1029" s="134" t="s">
        <v>49</v>
      </c>
      <c r="N1029" s="134" t="s">
        <v>49</v>
      </c>
      <c r="O1029" s="134"/>
      <c r="P1029" s="105"/>
      <c r="Q1029" s="137"/>
      <c r="R1029" s="138"/>
      <c r="S1029" s="105"/>
      <c r="T1029" s="105"/>
      <c r="U1029" s="105"/>
      <c r="V1029" s="137"/>
      <c r="W1029" s="138"/>
      <c r="X1029" s="137"/>
      <c r="Y1029" s="138"/>
      <c r="Z1029" s="105"/>
      <c r="AA1029" s="105">
        <v>20</v>
      </c>
      <c r="AB1029" s="105"/>
      <c r="AC1029" s="105"/>
      <c r="AD1029" s="118">
        <v>43556</v>
      </c>
      <c r="AE1029" s="108" t="s">
        <v>4999</v>
      </c>
    </row>
    <row r="1030" spans="1:157" s="65" customFormat="1" ht="27" customHeight="1" x14ac:dyDescent="0.15">
      <c r="A1030" s="150">
        <v>1113300626</v>
      </c>
      <c r="B1030" s="130" t="s">
        <v>5413</v>
      </c>
      <c r="C1030" s="107" t="s">
        <v>5414</v>
      </c>
      <c r="D1030" s="108" t="s">
        <v>89</v>
      </c>
      <c r="E1030" s="108" t="s">
        <v>5415</v>
      </c>
      <c r="F1030" s="139" t="s">
        <v>5416</v>
      </c>
      <c r="G1030" s="152" t="s">
        <v>5417</v>
      </c>
      <c r="H1030" s="132" t="s">
        <v>5418</v>
      </c>
      <c r="I1030" s="141"/>
      <c r="J1030" s="154"/>
      <c r="K1030" s="154"/>
      <c r="L1030" s="154"/>
      <c r="M1030" s="142" t="s">
        <v>5411</v>
      </c>
      <c r="N1030" s="135" t="s">
        <v>5411</v>
      </c>
      <c r="O1030" s="138"/>
      <c r="P1030" s="105"/>
      <c r="Q1030" s="137"/>
      <c r="R1030" s="138"/>
      <c r="S1030" s="105"/>
      <c r="T1030" s="105">
        <v>6</v>
      </c>
      <c r="U1030" s="105"/>
      <c r="V1030" s="137"/>
      <c r="W1030" s="138"/>
      <c r="X1030" s="137"/>
      <c r="Y1030" s="138"/>
      <c r="Z1030" s="105"/>
      <c r="AA1030" s="105">
        <v>14</v>
      </c>
      <c r="AB1030" s="105"/>
      <c r="AC1030" s="105"/>
      <c r="AD1030" s="144">
        <v>43770</v>
      </c>
      <c r="AE1030" s="108" t="s">
        <v>5419</v>
      </c>
    </row>
    <row r="1031" spans="1:157" s="65" customFormat="1" ht="27" customHeight="1" x14ac:dyDescent="0.15">
      <c r="A1031" s="105">
        <v>1113000689</v>
      </c>
      <c r="B1031" s="106" t="s">
        <v>12017</v>
      </c>
      <c r="C1031" s="107" t="s">
        <v>2729</v>
      </c>
      <c r="D1031" s="108" t="s">
        <v>5678</v>
      </c>
      <c r="E1031" s="108" t="s">
        <v>11460</v>
      </c>
      <c r="F1031" s="139" t="s">
        <v>10882</v>
      </c>
      <c r="G1031" s="140" t="s">
        <v>11461</v>
      </c>
      <c r="H1031" s="140"/>
      <c r="I1031" s="141" t="s">
        <v>6457</v>
      </c>
      <c r="J1031" s="142" t="s">
        <v>6457</v>
      </c>
      <c r="K1031" s="142" t="s">
        <v>6457</v>
      </c>
      <c r="L1031" s="142" t="s">
        <v>6457</v>
      </c>
      <c r="M1031" s="142" t="s">
        <v>6457</v>
      </c>
      <c r="N1031" s="143" t="s">
        <v>6457</v>
      </c>
      <c r="O1031" s="138" t="s">
        <v>6457</v>
      </c>
      <c r="P1031" s="105"/>
      <c r="Q1031" s="137"/>
      <c r="R1031" s="138"/>
      <c r="S1031" s="105"/>
      <c r="T1031" s="105">
        <v>20</v>
      </c>
      <c r="U1031" s="105"/>
      <c r="V1031" s="137"/>
      <c r="W1031" s="138"/>
      <c r="X1031" s="137"/>
      <c r="Y1031" s="138"/>
      <c r="Z1031" s="105"/>
      <c r="AA1031" s="105">
        <v>20</v>
      </c>
      <c r="AB1031" s="105"/>
      <c r="AC1031" s="105"/>
      <c r="AD1031" s="144">
        <v>46143</v>
      </c>
      <c r="AE1031" s="108" t="s">
        <v>11462</v>
      </c>
    </row>
    <row r="1032" spans="1:157" s="65" customFormat="1" ht="27" customHeight="1" x14ac:dyDescent="0.15">
      <c r="A1032" s="105">
        <v>1113300691</v>
      </c>
      <c r="B1032" s="106" t="s">
        <v>8868</v>
      </c>
      <c r="C1032" s="107" t="s">
        <v>8869</v>
      </c>
      <c r="D1032" s="108" t="s">
        <v>10366</v>
      </c>
      <c r="E1032" s="108" t="s">
        <v>8870</v>
      </c>
      <c r="F1032" s="139" t="s">
        <v>8871</v>
      </c>
      <c r="G1032" s="140" t="s">
        <v>8872</v>
      </c>
      <c r="H1032" s="140" t="s">
        <v>8873</v>
      </c>
      <c r="I1032" s="141" t="s">
        <v>765</v>
      </c>
      <c r="J1032" s="142" t="s">
        <v>765</v>
      </c>
      <c r="K1032" s="142" t="s">
        <v>765</v>
      </c>
      <c r="L1032" s="142" t="s">
        <v>765</v>
      </c>
      <c r="M1032" s="142" t="s">
        <v>765</v>
      </c>
      <c r="N1032" s="143" t="s">
        <v>765</v>
      </c>
      <c r="O1032" s="138" t="s">
        <v>765</v>
      </c>
      <c r="P1032" s="105"/>
      <c r="Q1032" s="137"/>
      <c r="R1032" s="138"/>
      <c r="S1032" s="105"/>
      <c r="T1032" s="105">
        <v>20</v>
      </c>
      <c r="U1032" s="105"/>
      <c r="V1032" s="137"/>
      <c r="W1032" s="138"/>
      <c r="X1032" s="137"/>
      <c r="Y1032" s="138"/>
      <c r="Z1032" s="105"/>
      <c r="AA1032" s="105"/>
      <c r="AB1032" s="105"/>
      <c r="AC1032" s="105"/>
      <c r="AD1032" s="118">
        <v>45261</v>
      </c>
      <c r="AE1032" s="108" t="s">
        <v>8874</v>
      </c>
    </row>
    <row r="1033" spans="1:157" ht="27" customHeight="1" x14ac:dyDescent="0.15">
      <c r="A1033" s="105">
        <v>1113300709</v>
      </c>
      <c r="B1033" s="130" t="s">
        <v>11646</v>
      </c>
      <c r="C1033" s="108" t="s">
        <v>9438</v>
      </c>
      <c r="D1033" s="108" t="s">
        <v>89</v>
      </c>
      <c r="E1033" s="108" t="s">
        <v>9439</v>
      </c>
      <c r="F1033" s="131" t="s">
        <v>9440</v>
      </c>
      <c r="G1033" s="132" t="s">
        <v>9441</v>
      </c>
      <c r="H1033" s="132" t="s">
        <v>9442</v>
      </c>
      <c r="I1033" s="133"/>
      <c r="J1033" s="134"/>
      <c r="K1033" s="134"/>
      <c r="L1033" s="134"/>
      <c r="M1033" s="134" t="s">
        <v>49</v>
      </c>
      <c r="N1033" s="135" t="s">
        <v>49</v>
      </c>
      <c r="O1033" s="136"/>
      <c r="P1033" s="105"/>
      <c r="Q1033" s="137"/>
      <c r="R1033" s="138"/>
      <c r="S1033" s="105"/>
      <c r="T1033" s="105"/>
      <c r="U1033" s="105"/>
      <c r="V1033" s="270"/>
      <c r="W1033" s="271"/>
      <c r="X1033" s="152">
        <v>10</v>
      </c>
      <c r="Y1033" s="138"/>
      <c r="Z1033" s="105"/>
      <c r="AA1033" s="105">
        <v>20</v>
      </c>
      <c r="AB1033" s="105"/>
      <c r="AC1033" s="105"/>
      <c r="AD1033" s="118">
        <v>45505</v>
      </c>
      <c r="AE1033" s="108" t="s">
        <v>9443</v>
      </c>
    </row>
    <row r="1034" spans="1:157" ht="27" customHeight="1" x14ac:dyDescent="0.15">
      <c r="A1034" s="105">
        <v>1113300741</v>
      </c>
      <c r="B1034" s="130" t="s">
        <v>11647</v>
      </c>
      <c r="C1034" s="108" t="s">
        <v>10365</v>
      </c>
      <c r="D1034" s="108" t="s">
        <v>10366</v>
      </c>
      <c r="E1034" s="108" t="s">
        <v>10367</v>
      </c>
      <c r="F1034" s="131" t="s">
        <v>10368</v>
      </c>
      <c r="G1034" s="132" t="s">
        <v>10369</v>
      </c>
      <c r="H1034" s="132" t="s">
        <v>10370</v>
      </c>
      <c r="I1034" s="133" t="s">
        <v>765</v>
      </c>
      <c r="J1034" s="134" t="s">
        <v>765</v>
      </c>
      <c r="K1034" s="134" t="s">
        <v>765</v>
      </c>
      <c r="L1034" s="134" t="s">
        <v>765</v>
      </c>
      <c r="M1034" s="134" t="s">
        <v>765</v>
      </c>
      <c r="N1034" s="135" t="s">
        <v>765</v>
      </c>
      <c r="O1034" s="136" t="s">
        <v>765</v>
      </c>
      <c r="P1034" s="105"/>
      <c r="Q1034" s="116"/>
      <c r="R1034" s="138"/>
      <c r="S1034" s="105"/>
      <c r="T1034" s="105">
        <v>20</v>
      </c>
      <c r="U1034" s="105"/>
      <c r="V1034" s="116"/>
      <c r="W1034" s="138"/>
      <c r="X1034" s="116"/>
      <c r="Y1034" s="138"/>
      <c r="Z1034" s="105"/>
      <c r="AA1034" s="105"/>
      <c r="AB1034" s="105"/>
      <c r="AC1034" s="105"/>
      <c r="AD1034" s="132" t="s">
        <v>10363</v>
      </c>
      <c r="AE1034" s="108" t="s">
        <v>10371</v>
      </c>
    </row>
    <row r="1035" spans="1:157" ht="27" customHeight="1" x14ac:dyDescent="0.15">
      <c r="A1035" s="132">
        <v>1113666661</v>
      </c>
      <c r="B1035" s="130" t="s">
        <v>1818</v>
      </c>
      <c r="C1035" s="108" t="s">
        <v>1817</v>
      </c>
      <c r="D1035" s="108" t="s">
        <v>91</v>
      </c>
      <c r="E1035" s="108" t="s">
        <v>7516</v>
      </c>
      <c r="F1035" s="139" t="s">
        <v>4333</v>
      </c>
      <c r="G1035" s="140" t="s">
        <v>4334</v>
      </c>
      <c r="H1035" s="140" t="s">
        <v>4335</v>
      </c>
      <c r="I1035" s="141"/>
      <c r="J1035" s="142"/>
      <c r="K1035" s="142"/>
      <c r="L1035" s="142"/>
      <c r="M1035" s="142" t="s">
        <v>6457</v>
      </c>
      <c r="N1035" s="143"/>
      <c r="O1035" s="138"/>
      <c r="P1035" s="105"/>
      <c r="Q1035" s="137"/>
      <c r="R1035" s="138"/>
      <c r="S1035" s="105"/>
      <c r="T1035" s="105">
        <v>25</v>
      </c>
      <c r="U1035" s="105"/>
      <c r="V1035" s="137"/>
      <c r="W1035" s="138"/>
      <c r="X1035" s="137"/>
      <c r="Y1035" s="138"/>
      <c r="Z1035" s="105"/>
      <c r="AA1035" s="105"/>
      <c r="AB1035" s="105"/>
      <c r="AC1035" s="105"/>
      <c r="AD1035" s="144">
        <v>41000</v>
      </c>
      <c r="AE1035" s="108" t="s">
        <v>1922</v>
      </c>
    </row>
    <row r="1036" spans="1:157" ht="27" customHeight="1" x14ac:dyDescent="0.15">
      <c r="A1036" s="105">
        <v>1113666695</v>
      </c>
      <c r="B1036" s="106" t="s">
        <v>3785</v>
      </c>
      <c r="C1036" s="107" t="s">
        <v>5749</v>
      </c>
      <c r="D1036" s="108" t="s">
        <v>91</v>
      </c>
      <c r="E1036" s="108" t="s">
        <v>5881</v>
      </c>
      <c r="F1036" s="139">
        <v>3470003</v>
      </c>
      <c r="G1036" s="140" t="s">
        <v>5882</v>
      </c>
      <c r="H1036" s="140" t="s">
        <v>5883</v>
      </c>
      <c r="I1036" s="141"/>
      <c r="J1036" s="142"/>
      <c r="K1036" s="142"/>
      <c r="L1036" s="142"/>
      <c r="M1036" s="142" t="s">
        <v>765</v>
      </c>
      <c r="N1036" s="143"/>
      <c r="O1036" s="138"/>
      <c r="P1036" s="105"/>
      <c r="Q1036" s="137"/>
      <c r="R1036" s="138"/>
      <c r="S1036" s="105"/>
      <c r="T1036" s="105">
        <v>28</v>
      </c>
      <c r="U1036" s="105"/>
      <c r="V1036" s="116"/>
      <c r="W1036" s="117"/>
      <c r="X1036" s="116"/>
      <c r="Y1036" s="138"/>
      <c r="Z1036" s="105"/>
      <c r="AA1036" s="105"/>
      <c r="AB1036" s="105"/>
      <c r="AC1036" s="105"/>
      <c r="AD1036" s="144">
        <v>39903</v>
      </c>
      <c r="AE1036" s="108" t="s">
        <v>221</v>
      </c>
    </row>
    <row r="1037" spans="1:157" ht="27" customHeight="1" x14ac:dyDescent="0.15">
      <c r="A1037" s="356">
        <v>1113700031</v>
      </c>
      <c r="B1037" s="161" t="s">
        <v>876</v>
      </c>
      <c r="C1037" s="263" t="s">
        <v>924</v>
      </c>
      <c r="D1037" s="108" t="s">
        <v>925</v>
      </c>
      <c r="E1037" s="108" t="s">
        <v>926</v>
      </c>
      <c r="F1037" s="230">
        <v>3610026</v>
      </c>
      <c r="G1037" s="132" t="s">
        <v>927</v>
      </c>
      <c r="H1037" s="132" t="s">
        <v>928</v>
      </c>
      <c r="I1037" s="116" t="s">
        <v>49</v>
      </c>
      <c r="J1037" s="154" t="s">
        <v>49</v>
      </c>
      <c r="K1037" s="154" t="s">
        <v>49</v>
      </c>
      <c r="L1037" s="154" t="s">
        <v>49</v>
      </c>
      <c r="M1037" s="154" t="s">
        <v>977</v>
      </c>
      <c r="N1037" s="143" t="s">
        <v>977</v>
      </c>
      <c r="O1037" s="138" t="s">
        <v>2170</v>
      </c>
      <c r="P1037" s="105"/>
      <c r="Q1037" s="137"/>
      <c r="R1037" s="138"/>
      <c r="S1037" s="105"/>
      <c r="T1037" s="105">
        <v>33</v>
      </c>
      <c r="U1037" s="105"/>
      <c r="V1037" s="116"/>
      <c r="W1037" s="117"/>
      <c r="X1037" s="116"/>
      <c r="Y1037" s="138"/>
      <c r="Z1037" s="105"/>
      <c r="AA1037" s="105"/>
      <c r="AB1037" s="105"/>
      <c r="AC1037" s="105"/>
      <c r="AD1037" s="118">
        <v>40269</v>
      </c>
      <c r="AE1037" s="108" t="s">
        <v>981</v>
      </c>
    </row>
    <row r="1038" spans="1:157" ht="27" customHeight="1" x14ac:dyDescent="0.15">
      <c r="A1038" s="150">
        <v>1113700056</v>
      </c>
      <c r="B1038" s="106" t="s">
        <v>1513</v>
      </c>
      <c r="C1038" s="107" t="s">
        <v>1514</v>
      </c>
      <c r="D1038" s="108" t="s">
        <v>90</v>
      </c>
      <c r="E1038" s="108" t="s">
        <v>1515</v>
      </c>
      <c r="F1038" s="230">
        <v>3610011</v>
      </c>
      <c r="G1038" s="132" t="s">
        <v>1516</v>
      </c>
      <c r="H1038" s="132" t="s">
        <v>1517</v>
      </c>
      <c r="I1038" s="116"/>
      <c r="J1038" s="154"/>
      <c r="K1038" s="154"/>
      <c r="L1038" s="154"/>
      <c r="M1038" s="154" t="s">
        <v>49</v>
      </c>
      <c r="N1038" s="143"/>
      <c r="O1038" s="138"/>
      <c r="P1038" s="105">
        <v>50</v>
      </c>
      <c r="Q1038" s="152" t="s">
        <v>2610</v>
      </c>
      <c r="R1038" s="138">
        <v>2</v>
      </c>
      <c r="S1038" s="105"/>
      <c r="T1038" s="105">
        <v>50</v>
      </c>
      <c r="U1038" s="105"/>
      <c r="V1038" s="116"/>
      <c r="W1038" s="117"/>
      <c r="X1038" s="116"/>
      <c r="Y1038" s="138"/>
      <c r="Z1038" s="105"/>
      <c r="AA1038" s="105"/>
      <c r="AB1038" s="105"/>
      <c r="AC1038" s="105"/>
      <c r="AD1038" s="118">
        <v>40817</v>
      </c>
      <c r="AE1038" s="108" t="s">
        <v>1518</v>
      </c>
    </row>
    <row r="1039" spans="1:157" ht="27" customHeight="1" x14ac:dyDescent="0.15">
      <c r="A1039" s="132">
        <v>1113700064</v>
      </c>
      <c r="B1039" s="130" t="s">
        <v>1672</v>
      </c>
      <c r="C1039" s="108" t="s">
        <v>1673</v>
      </c>
      <c r="D1039" s="108" t="s">
        <v>90</v>
      </c>
      <c r="E1039" s="108" t="s">
        <v>1674</v>
      </c>
      <c r="F1039" s="131">
        <v>3610011</v>
      </c>
      <c r="G1039" s="132" t="s">
        <v>1675</v>
      </c>
      <c r="H1039" s="132" t="s">
        <v>1676</v>
      </c>
      <c r="I1039" s="133"/>
      <c r="J1039" s="134"/>
      <c r="K1039" s="134"/>
      <c r="L1039" s="134"/>
      <c r="M1039" s="134" t="s">
        <v>49</v>
      </c>
      <c r="N1039" s="135"/>
      <c r="O1039" s="136"/>
      <c r="P1039" s="105">
        <v>40</v>
      </c>
      <c r="Q1039" s="152" t="s">
        <v>2610</v>
      </c>
      <c r="R1039" s="138"/>
      <c r="S1039" s="105"/>
      <c r="T1039" s="105">
        <v>60</v>
      </c>
      <c r="U1039" s="105"/>
      <c r="V1039" s="116"/>
      <c r="W1039" s="117"/>
      <c r="X1039" s="116"/>
      <c r="Y1039" s="138"/>
      <c r="Z1039" s="105"/>
      <c r="AA1039" s="105"/>
      <c r="AB1039" s="105"/>
      <c r="AC1039" s="105"/>
      <c r="AD1039" s="118">
        <v>40969</v>
      </c>
      <c r="AE1039" s="108" t="s">
        <v>1677</v>
      </c>
    </row>
    <row r="1040" spans="1:157" ht="27" customHeight="1" x14ac:dyDescent="0.15">
      <c r="A1040" s="132">
        <v>1113700106</v>
      </c>
      <c r="B1040" s="130" t="s">
        <v>480</v>
      </c>
      <c r="C1040" s="108" t="s">
        <v>527</v>
      </c>
      <c r="D1040" s="108" t="s">
        <v>90</v>
      </c>
      <c r="E1040" s="108" t="s">
        <v>186</v>
      </c>
      <c r="F1040" s="131">
        <v>3610007</v>
      </c>
      <c r="G1040" s="132" t="s">
        <v>697</v>
      </c>
      <c r="H1040" s="132" t="s">
        <v>698</v>
      </c>
      <c r="I1040" s="133"/>
      <c r="J1040" s="134"/>
      <c r="K1040" s="134"/>
      <c r="L1040" s="134"/>
      <c r="M1040" s="134" t="s">
        <v>49</v>
      </c>
      <c r="N1040" s="135"/>
      <c r="O1040" s="136"/>
      <c r="P1040" s="105"/>
      <c r="Q1040" s="137"/>
      <c r="R1040" s="138"/>
      <c r="S1040" s="105"/>
      <c r="T1040" s="105">
        <v>20</v>
      </c>
      <c r="U1040" s="105"/>
      <c r="V1040" s="116"/>
      <c r="W1040" s="117"/>
      <c r="X1040" s="116"/>
      <c r="Y1040" s="138"/>
      <c r="Z1040" s="105"/>
      <c r="AA1040" s="105"/>
      <c r="AB1040" s="105"/>
      <c r="AC1040" s="105"/>
      <c r="AD1040" s="118">
        <v>39173</v>
      </c>
      <c r="AE1040" s="108" t="s">
        <v>813</v>
      </c>
    </row>
    <row r="1041" spans="1:207" ht="27" customHeight="1" x14ac:dyDescent="0.15">
      <c r="A1041" s="105">
        <v>1113700114</v>
      </c>
      <c r="B1041" s="130" t="s">
        <v>410</v>
      </c>
      <c r="C1041" s="108" t="s">
        <v>592</v>
      </c>
      <c r="D1041" s="108" t="s">
        <v>90</v>
      </c>
      <c r="E1041" s="108" t="s">
        <v>184</v>
      </c>
      <c r="F1041" s="131">
        <v>3610005</v>
      </c>
      <c r="G1041" s="132" t="s">
        <v>699</v>
      </c>
      <c r="H1041" s="132" t="s">
        <v>700</v>
      </c>
      <c r="I1041" s="116" t="s">
        <v>49</v>
      </c>
      <c r="J1041" s="154" t="s">
        <v>49</v>
      </c>
      <c r="K1041" s="154" t="s">
        <v>49</v>
      </c>
      <c r="L1041" s="154" t="s">
        <v>49</v>
      </c>
      <c r="M1041" s="154" t="s">
        <v>49</v>
      </c>
      <c r="N1041" s="143" t="s">
        <v>49</v>
      </c>
      <c r="O1041" s="138" t="s">
        <v>49</v>
      </c>
      <c r="P1041" s="132"/>
      <c r="Q1041" s="133"/>
      <c r="R1041" s="136"/>
      <c r="S1041" s="132"/>
      <c r="T1041" s="132"/>
      <c r="U1041" s="132"/>
      <c r="V1041" s="133"/>
      <c r="W1041" s="138"/>
      <c r="X1041" s="133"/>
      <c r="Y1041" s="136"/>
      <c r="Z1041" s="132"/>
      <c r="AA1041" s="105">
        <v>20</v>
      </c>
      <c r="AB1041" s="105"/>
      <c r="AC1041" s="105"/>
      <c r="AD1041" s="155">
        <v>39539</v>
      </c>
      <c r="AE1041" s="108" t="s">
        <v>1508</v>
      </c>
    </row>
    <row r="1042" spans="1:207" ht="27" customHeight="1" x14ac:dyDescent="0.15">
      <c r="A1042" s="105">
        <v>1113700122</v>
      </c>
      <c r="B1042" s="106" t="s">
        <v>432</v>
      </c>
      <c r="C1042" s="107" t="s">
        <v>814</v>
      </c>
      <c r="D1042" s="108" t="s">
        <v>90</v>
      </c>
      <c r="E1042" s="108" t="s">
        <v>815</v>
      </c>
      <c r="F1042" s="139">
        <v>3610038</v>
      </c>
      <c r="G1042" s="140" t="s">
        <v>816</v>
      </c>
      <c r="H1042" s="140" t="s">
        <v>817</v>
      </c>
      <c r="I1042" s="141"/>
      <c r="J1042" s="142"/>
      <c r="K1042" s="142"/>
      <c r="L1042" s="142"/>
      <c r="M1042" s="142" t="s">
        <v>49</v>
      </c>
      <c r="N1042" s="143" t="s">
        <v>49</v>
      </c>
      <c r="O1042" s="138"/>
      <c r="P1042" s="105"/>
      <c r="Q1042" s="116"/>
      <c r="R1042" s="138"/>
      <c r="S1042" s="105"/>
      <c r="T1042" s="105"/>
      <c r="U1042" s="105"/>
      <c r="V1042" s="116">
        <v>6</v>
      </c>
      <c r="W1042" s="138"/>
      <c r="X1042" s="116"/>
      <c r="Y1042" s="138"/>
      <c r="Z1042" s="105"/>
      <c r="AA1042" s="105">
        <v>30</v>
      </c>
      <c r="AB1042" s="105"/>
      <c r="AC1042" s="105"/>
      <c r="AD1042" s="144">
        <v>39904</v>
      </c>
      <c r="AE1042" s="108" t="s">
        <v>481</v>
      </c>
    </row>
    <row r="1043" spans="1:207" ht="27" customHeight="1" x14ac:dyDescent="0.15">
      <c r="A1043" s="105">
        <v>1113700122</v>
      </c>
      <c r="B1043" s="106" t="s">
        <v>432</v>
      </c>
      <c r="C1043" s="107" t="s">
        <v>814</v>
      </c>
      <c r="D1043" s="108" t="s">
        <v>90</v>
      </c>
      <c r="E1043" s="108" t="s">
        <v>815</v>
      </c>
      <c r="F1043" s="139">
        <v>3610038</v>
      </c>
      <c r="G1043" s="140" t="s">
        <v>816</v>
      </c>
      <c r="H1043" s="140" t="s">
        <v>817</v>
      </c>
      <c r="I1043" s="141"/>
      <c r="J1043" s="142"/>
      <c r="K1043" s="142"/>
      <c r="L1043" s="142"/>
      <c r="M1043" s="142" t="s">
        <v>49</v>
      </c>
      <c r="N1043" s="143" t="s">
        <v>49</v>
      </c>
      <c r="O1043" s="138"/>
      <c r="P1043" s="105"/>
      <c r="Q1043" s="116"/>
      <c r="R1043" s="138"/>
      <c r="S1043" s="105"/>
      <c r="T1043" s="105"/>
      <c r="U1043" s="105"/>
      <c r="V1043" s="116"/>
      <c r="W1043" s="138"/>
      <c r="X1043" s="116"/>
      <c r="Y1043" s="138"/>
      <c r="Z1043" s="105"/>
      <c r="AA1043" s="105"/>
      <c r="AB1043" s="105"/>
      <c r="AC1043" s="105">
        <v>10</v>
      </c>
      <c r="AD1043" s="118">
        <v>45931</v>
      </c>
      <c r="AE1043" s="108" t="s">
        <v>481</v>
      </c>
    </row>
    <row r="1044" spans="1:207" ht="27" customHeight="1" x14ac:dyDescent="0.15">
      <c r="A1044" s="105">
        <v>1113700130</v>
      </c>
      <c r="B1044" s="106" t="s">
        <v>411</v>
      </c>
      <c r="C1044" s="107" t="s">
        <v>450</v>
      </c>
      <c r="D1044" s="108" t="s">
        <v>90</v>
      </c>
      <c r="E1044" s="108" t="s">
        <v>818</v>
      </c>
      <c r="F1044" s="139">
        <v>3610031</v>
      </c>
      <c r="G1044" s="140" t="s">
        <v>4540</v>
      </c>
      <c r="H1044" s="140" t="s">
        <v>4541</v>
      </c>
      <c r="I1044" s="141" t="s">
        <v>49</v>
      </c>
      <c r="J1044" s="142" t="s">
        <v>49</v>
      </c>
      <c r="K1044" s="142" t="s">
        <v>49</v>
      </c>
      <c r="L1044" s="142" t="s">
        <v>49</v>
      </c>
      <c r="M1044" s="142" t="s">
        <v>49</v>
      </c>
      <c r="N1044" s="143" t="s">
        <v>49</v>
      </c>
      <c r="O1044" s="138" t="s">
        <v>49</v>
      </c>
      <c r="P1044" s="105"/>
      <c r="Q1044" s="116"/>
      <c r="R1044" s="138"/>
      <c r="S1044" s="105"/>
      <c r="T1044" s="105"/>
      <c r="U1044" s="105"/>
      <c r="V1044" s="137"/>
      <c r="W1044" s="138"/>
      <c r="X1044" s="137"/>
      <c r="Y1044" s="138"/>
      <c r="Z1044" s="105"/>
      <c r="AA1044" s="105">
        <v>20</v>
      </c>
      <c r="AB1044" s="105"/>
      <c r="AC1044" s="105"/>
      <c r="AD1044" s="144">
        <v>39904</v>
      </c>
      <c r="AE1044" s="108" t="s">
        <v>453</v>
      </c>
    </row>
    <row r="1045" spans="1:207" ht="27" customHeight="1" x14ac:dyDescent="0.15">
      <c r="A1045" s="105">
        <v>1113700148</v>
      </c>
      <c r="B1045" s="106" t="s">
        <v>3975</v>
      </c>
      <c r="C1045" s="107" t="s">
        <v>3976</v>
      </c>
      <c r="D1045" s="108" t="s">
        <v>90</v>
      </c>
      <c r="E1045" s="108" t="s">
        <v>8226</v>
      </c>
      <c r="F1045" s="139">
        <v>3610084</v>
      </c>
      <c r="G1045" s="140" t="s">
        <v>8227</v>
      </c>
      <c r="H1045" s="140" t="s">
        <v>8227</v>
      </c>
      <c r="I1045" s="141" t="s">
        <v>49</v>
      </c>
      <c r="J1045" s="142" t="s">
        <v>49</v>
      </c>
      <c r="K1045" s="142" t="s">
        <v>49</v>
      </c>
      <c r="L1045" s="142" t="s">
        <v>49</v>
      </c>
      <c r="M1045" s="142" t="s">
        <v>49</v>
      </c>
      <c r="N1045" s="143" t="s">
        <v>49</v>
      </c>
      <c r="O1045" s="138" t="s">
        <v>49</v>
      </c>
      <c r="P1045" s="105"/>
      <c r="Q1045" s="137"/>
      <c r="R1045" s="138"/>
      <c r="S1045" s="105"/>
      <c r="T1045" s="105"/>
      <c r="U1045" s="105"/>
      <c r="V1045" s="137"/>
      <c r="W1045" s="138"/>
      <c r="X1045" s="137"/>
      <c r="Y1045" s="138"/>
      <c r="Z1045" s="105"/>
      <c r="AA1045" s="105">
        <v>30</v>
      </c>
      <c r="AB1045" s="105"/>
      <c r="AC1045" s="105"/>
      <c r="AD1045" s="144">
        <v>39904</v>
      </c>
      <c r="AE1045" s="108" t="s">
        <v>61</v>
      </c>
    </row>
    <row r="1046" spans="1:207" ht="27" customHeight="1" x14ac:dyDescent="0.15">
      <c r="A1046" s="105">
        <v>1113700213</v>
      </c>
      <c r="B1046" s="106" t="s">
        <v>1462</v>
      </c>
      <c r="C1046" s="107" t="s">
        <v>1463</v>
      </c>
      <c r="D1046" s="108" t="s">
        <v>90</v>
      </c>
      <c r="E1046" s="108" t="s">
        <v>1464</v>
      </c>
      <c r="F1046" s="139">
        <v>3610007</v>
      </c>
      <c r="G1046" s="140" t="s">
        <v>1465</v>
      </c>
      <c r="H1046" s="140" t="s">
        <v>1465</v>
      </c>
      <c r="I1046" s="141"/>
      <c r="J1046" s="142"/>
      <c r="K1046" s="142"/>
      <c r="L1046" s="142"/>
      <c r="M1046" s="142" t="s">
        <v>49</v>
      </c>
      <c r="N1046" s="143" t="s">
        <v>49</v>
      </c>
      <c r="O1046" s="138"/>
      <c r="P1046" s="105"/>
      <c r="Q1046" s="137"/>
      <c r="R1046" s="138"/>
      <c r="S1046" s="105"/>
      <c r="T1046" s="105"/>
      <c r="U1046" s="105"/>
      <c r="V1046" s="137"/>
      <c r="W1046" s="138"/>
      <c r="X1046" s="137">
        <v>6</v>
      </c>
      <c r="Y1046" s="138"/>
      <c r="Z1046" s="105"/>
      <c r="AA1046" s="105">
        <v>14</v>
      </c>
      <c r="AB1046" s="105"/>
      <c r="AC1046" s="105"/>
      <c r="AD1046" s="144">
        <v>40756</v>
      </c>
      <c r="AE1046" s="108" t="s">
        <v>1466</v>
      </c>
    </row>
    <row r="1047" spans="1:207" s="65" customFormat="1" ht="27" customHeight="1" x14ac:dyDescent="0.15">
      <c r="A1047" s="105">
        <v>1113700247</v>
      </c>
      <c r="B1047" s="106" t="s">
        <v>2074</v>
      </c>
      <c r="C1047" s="107" t="s">
        <v>533</v>
      </c>
      <c r="D1047" s="108" t="s">
        <v>90</v>
      </c>
      <c r="E1047" s="108" t="s">
        <v>2075</v>
      </c>
      <c r="F1047" s="139" t="s">
        <v>2076</v>
      </c>
      <c r="G1047" s="140" t="s">
        <v>2077</v>
      </c>
      <c r="H1047" s="140" t="s">
        <v>2078</v>
      </c>
      <c r="I1047" s="141"/>
      <c r="J1047" s="142"/>
      <c r="K1047" s="142"/>
      <c r="L1047" s="142"/>
      <c r="M1047" s="142" t="s">
        <v>2079</v>
      </c>
      <c r="N1047" s="143"/>
      <c r="O1047" s="138"/>
      <c r="P1047" s="105"/>
      <c r="Q1047" s="137"/>
      <c r="R1047" s="138"/>
      <c r="S1047" s="105"/>
      <c r="T1047" s="105">
        <v>28</v>
      </c>
      <c r="U1047" s="105"/>
      <c r="V1047" s="116"/>
      <c r="W1047" s="117"/>
      <c r="X1047" s="116"/>
      <c r="Y1047" s="138"/>
      <c r="Z1047" s="105"/>
      <c r="AA1047" s="105"/>
      <c r="AB1047" s="105"/>
      <c r="AC1047" s="105"/>
      <c r="AD1047" s="144">
        <v>41061</v>
      </c>
      <c r="AE1047" s="108" t="s">
        <v>2080</v>
      </c>
    </row>
    <row r="1048" spans="1:207" s="65" customFormat="1" ht="27" customHeight="1" x14ac:dyDescent="0.15">
      <c r="A1048" s="105">
        <v>1113700296</v>
      </c>
      <c r="B1048" s="106" t="s">
        <v>2528</v>
      </c>
      <c r="C1048" s="107" t="s">
        <v>2522</v>
      </c>
      <c r="D1048" s="108" t="s">
        <v>90</v>
      </c>
      <c r="E1048" s="108" t="s">
        <v>2523</v>
      </c>
      <c r="F1048" s="139" t="s">
        <v>2524</v>
      </c>
      <c r="G1048" s="140" t="s">
        <v>2525</v>
      </c>
      <c r="H1048" s="140" t="s">
        <v>2526</v>
      </c>
      <c r="I1048" s="141" t="s">
        <v>49</v>
      </c>
      <c r="J1048" s="142" t="s">
        <v>49</v>
      </c>
      <c r="K1048" s="142" t="s">
        <v>49</v>
      </c>
      <c r="L1048" s="142" t="s">
        <v>49</v>
      </c>
      <c r="M1048" s="142" t="s">
        <v>49</v>
      </c>
      <c r="N1048" s="143" t="s">
        <v>49</v>
      </c>
      <c r="O1048" s="138" t="s">
        <v>49</v>
      </c>
      <c r="P1048" s="105"/>
      <c r="Q1048" s="137"/>
      <c r="R1048" s="138"/>
      <c r="S1048" s="105"/>
      <c r="T1048" s="105"/>
      <c r="U1048" s="105"/>
      <c r="V1048" s="137"/>
      <c r="W1048" s="138"/>
      <c r="X1048" s="137"/>
      <c r="Y1048" s="138"/>
      <c r="Z1048" s="105">
        <v>20</v>
      </c>
      <c r="AA1048" s="105"/>
      <c r="AB1048" s="105"/>
      <c r="AC1048" s="105"/>
      <c r="AD1048" s="144">
        <v>41821</v>
      </c>
      <c r="AE1048" s="108" t="s">
        <v>2527</v>
      </c>
    </row>
    <row r="1049" spans="1:207" ht="27" customHeight="1" x14ac:dyDescent="0.15">
      <c r="A1049" s="105">
        <v>1113700320</v>
      </c>
      <c r="B1049" s="106" t="s">
        <v>3201</v>
      </c>
      <c r="C1049" s="107" t="s">
        <v>3202</v>
      </c>
      <c r="D1049" s="108" t="s">
        <v>90</v>
      </c>
      <c r="E1049" s="108" t="s">
        <v>3203</v>
      </c>
      <c r="F1049" s="139" t="s">
        <v>3204</v>
      </c>
      <c r="G1049" s="140" t="s">
        <v>3205</v>
      </c>
      <c r="H1049" s="140" t="s">
        <v>3206</v>
      </c>
      <c r="I1049" s="141" t="s">
        <v>7948</v>
      </c>
      <c r="J1049" s="142"/>
      <c r="K1049" s="142"/>
      <c r="L1049" s="142" t="s">
        <v>49</v>
      </c>
      <c r="M1049" s="142" t="s">
        <v>49</v>
      </c>
      <c r="N1049" s="143" t="s">
        <v>49</v>
      </c>
      <c r="O1049" s="138" t="s">
        <v>49</v>
      </c>
      <c r="P1049" s="105"/>
      <c r="Q1049" s="137"/>
      <c r="R1049" s="138"/>
      <c r="S1049" s="105"/>
      <c r="T1049" s="105"/>
      <c r="U1049" s="105"/>
      <c r="V1049" s="137"/>
      <c r="W1049" s="138"/>
      <c r="X1049" s="137"/>
      <c r="Y1049" s="138"/>
      <c r="Z1049" s="105">
        <v>20</v>
      </c>
      <c r="AA1049" s="105">
        <v>10</v>
      </c>
      <c r="AB1049" s="105"/>
      <c r="AC1049" s="105"/>
      <c r="AD1049" s="144">
        <v>42339</v>
      </c>
      <c r="AE1049" s="108" t="s">
        <v>7949</v>
      </c>
    </row>
    <row r="1050" spans="1:207" ht="27" customHeight="1" x14ac:dyDescent="0.15">
      <c r="A1050" s="105">
        <v>1113700346</v>
      </c>
      <c r="B1050" s="130" t="s">
        <v>9356</v>
      </c>
      <c r="C1050" s="108" t="s">
        <v>3977</v>
      </c>
      <c r="D1050" s="108" t="s">
        <v>90</v>
      </c>
      <c r="E1050" s="108" t="s">
        <v>9357</v>
      </c>
      <c r="F1050" s="131" t="s">
        <v>3978</v>
      </c>
      <c r="G1050" s="132" t="s">
        <v>3979</v>
      </c>
      <c r="H1050" s="132" t="s">
        <v>9358</v>
      </c>
      <c r="I1050" s="134" t="s">
        <v>49</v>
      </c>
      <c r="J1050" s="134" t="s">
        <v>49</v>
      </c>
      <c r="K1050" s="134" t="s">
        <v>49</v>
      </c>
      <c r="L1050" s="134"/>
      <c r="M1050" s="134" t="s">
        <v>49</v>
      </c>
      <c r="N1050" s="135" t="s">
        <v>49</v>
      </c>
      <c r="O1050" s="134" t="s">
        <v>49</v>
      </c>
      <c r="P1050" s="105"/>
      <c r="Q1050" s="137"/>
      <c r="R1050" s="138"/>
      <c r="S1050" s="105"/>
      <c r="T1050" s="105">
        <v>30</v>
      </c>
      <c r="U1050" s="105"/>
      <c r="V1050" s="270"/>
      <c r="W1050" s="271"/>
      <c r="X1050" s="152"/>
      <c r="Y1050" s="138"/>
      <c r="Z1050" s="105"/>
      <c r="AA1050" s="105"/>
      <c r="AB1050" s="105"/>
      <c r="AC1050" s="105"/>
      <c r="AD1050" s="118">
        <v>42917</v>
      </c>
      <c r="AE1050" s="108" t="s">
        <v>3980</v>
      </c>
    </row>
    <row r="1051" spans="1:207" s="65" customFormat="1" ht="27" customHeight="1" x14ac:dyDescent="0.15">
      <c r="A1051" s="150">
        <v>1113700361</v>
      </c>
      <c r="B1051" s="130" t="s">
        <v>4315</v>
      </c>
      <c r="C1051" s="107" t="s">
        <v>4316</v>
      </c>
      <c r="D1051" s="108" t="s">
        <v>90</v>
      </c>
      <c r="E1051" s="108" t="s">
        <v>4317</v>
      </c>
      <c r="F1051" s="139" t="s">
        <v>2231</v>
      </c>
      <c r="G1051" s="152" t="s">
        <v>4318</v>
      </c>
      <c r="H1051" s="132" t="s">
        <v>4319</v>
      </c>
      <c r="I1051" s="142" t="s">
        <v>49</v>
      </c>
      <c r="J1051" s="142" t="s">
        <v>49</v>
      </c>
      <c r="K1051" s="142" t="s">
        <v>49</v>
      </c>
      <c r="L1051" s="142" t="s">
        <v>49</v>
      </c>
      <c r="M1051" s="142" t="s">
        <v>49</v>
      </c>
      <c r="N1051" s="142" t="s">
        <v>49</v>
      </c>
      <c r="O1051" s="154"/>
      <c r="P1051" s="105"/>
      <c r="Q1051" s="137"/>
      <c r="R1051" s="138"/>
      <c r="S1051" s="105"/>
      <c r="T1051" s="105">
        <v>20</v>
      </c>
      <c r="U1051" s="105"/>
      <c r="V1051" s="137"/>
      <c r="W1051" s="138"/>
      <c r="X1051" s="137"/>
      <c r="Y1051" s="138"/>
      <c r="Z1051" s="105"/>
      <c r="AA1051" s="105">
        <v>20</v>
      </c>
      <c r="AB1051" s="105"/>
      <c r="AC1051" s="105"/>
      <c r="AD1051" s="144">
        <v>43191</v>
      </c>
      <c r="AE1051" s="108" t="s">
        <v>4320</v>
      </c>
    </row>
    <row r="1052" spans="1:207" ht="27" customHeight="1" x14ac:dyDescent="0.15">
      <c r="A1052" s="105">
        <v>1113700379</v>
      </c>
      <c r="B1052" s="106" t="s">
        <v>4482</v>
      </c>
      <c r="C1052" s="107" t="s">
        <v>4483</v>
      </c>
      <c r="D1052" s="108" t="s">
        <v>90</v>
      </c>
      <c r="E1052" s="108" t="s">
        <v>4484</v>
      </c>
      <c r="F1052" s="139" t="s">
        <v>4485</v>
      </c>
      <c r="G1052" s="140" t="s">
        <v>4486</v>
      </c>
      <c r="H1052" s="140" t="s">
        <v>4487</v>
      </c>
      <c r="I1052" s="141" t="s">
        <v>4481</v>
      </c>
      <c r="J1052" s="142" t="s">
        <v>4481</v>
      </c>
      <c r="K1052" s="142" t="s">
        <v>4481</v>
      </c>
      <c r="L1052" s="142" t="s">
        <v>4481</v>
      </c>
      <c r="M1052" s="142" t="s">
        <v>4481</v>
      </c>
      <c r="N1052" s="177" t="s">
        <v>4481</v>
      </c>
      <c r="O1052" s="176" t="s">
        <v>4481</v>
      </c>
      <c r="P1052" s="105"/>
      <c r="Q1052" s="137"/>
      <c r="R1052" s="138"/>
      <c r="S1052" s="105"/>
      <c r="T1052" s="105">
        <v>20</v>
      </c>
      <c r="U1052" s="105"/>
      <c r="V1052" s="137"/>
      <c r="W1052" s="138"/>
      <c r="X1052" s="137"/>
      <c r="Y1052" s="138"/>
      <c r="Z1052" s="105"/>
      <c r="AA1052" s="105"/>
      <c r="AB1052" s="105"/>
      <c r="AC1052" s="105"/>
      <c r="AD1052" s="144">
        <v>43252</v>
      </c>
      <c r="AE1052" s="108" t="s">
        <v>4488</v>
      </c>
    </row>
    <row r="1053" spans="1:207" s="65" customFormat="1" ht="27" customHeight="1" x14ac:dyDescent="0.15">
      <c r="A1053" s="105">
        <v>1113700429</v>
      </c>
      <c r="B1053" s="106" t="s">
        <v>6645</v>
      </c>
      <c r="C1053" s="107" t="s">
        <v>6646</v>
      </c>
      <c r="D1053" s="108" t="s">
        <v>90</v>
      </c>
      <c r="E1053" s="108" t="s">
        <v>6647</v>
      </c>
      <c r="F1053" s="139" t="s">
        <v>6304</v>
      </c>
      <c r="G1053" s="140" t="s">
        <v>6648</v>
      </c>
      <c r="H1053" s="140"/>
      <c r="I1053" s="141" t="s">
        <v>765</v>
      </c>
      <c r="J1053" s="142" t="s">
        <v>765</v>
      </c>
      <c r="K1053" s="142" t="s">
        <v>765</v>
      </c>
      <c r="L1053" s="142" t="s">
        <v>765</v>
      </c>
      <c r="M1053" s="142" t="s">
        <v>765</v>
      </c>
      <c r="N1053" s="143" t="s">
        <v>765</v>
      </c>
      <c r="O1053" s="138" t="s">
        <v>765</v>
      </c>
      <c r="P1053" s="105"/>
      <c r="Q1053" s="137"/>
      <c r="R1053" s="138">
        <v>3</v>
      </c>
      <c r="S1053" s="105"/>
      <c r="T1053" s="105">
        <v>25</v>
      </c>
      <c r="U1053" s="105"/>
      <c r="V1053" s="137"/>
      <c r="W1053" s="138"/>
      <c r="X1053" s="137"/>
      <c r="Y1053" s="138"/>
      <c r="Z1053" s="105"/>
      <c r="AA1053" s="105"/>
      <c r="AB1053" s="105"/>
      <c r="AC1053" s="105"/>
      <c r="AD1053" s="118">
        <v>44287</v>
      </c>
      <c r="AE1053" s="108" t="s">
        <v>6649</v>
      </c>
    </row>
    <row r="1054" spans="1:207" s="218" customFormat="1" ht="27" customHeight="1" x14ac:dyDescent="0.15">
      <c r="A1054" s="132">
        <v>1113700445</v>
      </c>
      <c r="B1054" s="130" t="s">
        <v>7876</v>
      </c>
      <c r="C1054" s="108" t="s">
        <v>7877</v>
      </c>
      <c r="D1054" s="108" t="s">
        <v>90</v>
      </c>
      <c r="E1054" s="108" t="s">
        <v>1964</v>
      </c>
      <c r="F1054" s="139" t="s">
        <v>7878</v>
      </c>
      <c r="G1054" s="140" t="s">
        <v>7879</v>
      </c>
      <c r="H1054" s="140" t="s">
        <v>7880</v>
      </c>
      <c r="I1054" s="141" t="s">
        <v>765</v>
      </c>
      <c r="J1054" s="142" t="s">
        <v>765</v>
      </c>
      <c r="K1054" s="142" t="s">
        <v>765</v>
      </c>
      <c r="L1054" s="142" t="s">
        <v>765</v>
      </c>
      <c r="M1054" s="142" t="s">
        <v>765</v>
      </c>
      <c r="N1054" s="143" t="s">
        <v>765</v>
      </c>
      <c r="O1054" s="138"/>
      <c r="P1054" s="105"/>
      <c r="Q1054" s="137"/>
      <c r="R1054" s="138"/>
      <c r="S1054" s="105"/>
      <c r="T1054" s="105">
        <v>20</v>
      </c>
      <c r="U1054" s="105"/>
      <c r="V1054" s="137"/>
      <c r="W1054" s="138"/>
      <c r="X1054" s="137"/>
      <c r="Y1054" s="138"/>
      <c r="Z1054" s="105"/>
      <c r="AA1054" s="105">
        <v>18</v>
      </c>
      <c r="AB1054" s="105"/>
      <c r="AC1054" s="105"/>
      <c r="AD1054" s="155">
        <v>44835</v>
      </c>
      <c r="AE1054" s="108" t="s">
        <v>1965</v>
      </c>
    </row>
    <row r="1055" spans="1:207" s="218" customFormat="1" ht="26.1" customHeight="1" x14ac:dyDescent="0.15">
      <c r="A1055" s="105">
        <v>1113700460</v>
      </c>
      <c r="B1055" s="106" t="s">
        <v>11650</v>
      </c>
      <c r="C1055" s="107" t="s">
        <v>8389</v>
      </c>
      <c r="D1055" s="108" t="s">
        <v>8390</v>
      </c>
      <c r="E1055" s="108" t="s">
        <v>8391</v>
      </c>
      <c r="F1055" s="131" t="s">
        <v>8392</v>
      </c>
      <c r="G1055" s="132" t="s">
        <v>8393</v>
      </c>
      <c r="H1055" s="132" t="s">
        <v>8394</v>
      </c>
      <c r="I1055" s="133"/>
      <c r="J1055" s="134"/>
      <c r="K1055" s="134"/>
      <c r="L1055" s="134"/>
      <c r="M1055" s="134" t="s">
        <v>49</v>
      </c>
      <c r="N1055" s="134" t="s">
        <v>49</v>
      </c>
      <c r="O1055" s="136"/>
      <c r="P1055" s="105"/>
      <c r="Q1055" s="137"/>
      <c r="R1055" s="138"/>
      <c r="S1055" s="105"/>
      <c r="T1055" s="105"/>
      <c r="U1055" s="105"/>
      <c r="V1055" s="137"/>
      <c r="W1055" s="138"/>
      <c r="X1055" s="137"/>
      <c r="Y1055" s="138"/>
      <c r="Z1055" s="105"/>
      <c r="AA1055" s="105">
        <v>20</v>
      </c>
      <c r="AB1055" s="105"/>
      <c r="AC1055" s="105"/>
      <c r="AD1055" s="155">
        <v>45078</v>
      </c>
      <c r="AE1055" s="108" t="s">
        <v>8395</v>
      </c>
      <c r="AF1055" s="67"/>
      <c r="AG1055" s="67"/>
      <c r="AH1055" s="67"/>
      <c r="AI1055" s="67"/>
      <c r="AJ1055" s="67"/>
      <c r="AK1055" s="67"/>
      <c r="AL1055" s="67"/>
      <c r="AM1055" s="67"/>
      <c r="AN1055" s="67"/>
      <c r="AO1055" s="266"/>
      <c r="AP1055" s="339"/>
      <c r="AQ1055" s="340"/>
      <c r="AR1055" s="340"/>
      <c r="AS1055" s="340"/>
      <c r="AT1055" s="341"/>
      <c r="AU1055" s="342"/>
      <c r="AV1055" s="342"/>
      <c r="AW1055" s="342"/>
      <c r="AX1055" s="342"/>
      <c r="AY1055" s="342"/>
      <c r="AZ1055" s="342"/>
      <c r="BA1055" s="342"/>
      <c r="BB1055" s="342"/>
      <c r="BC1055" s="342"/>
      <c r="BD1055" s="266"/>
      <c r="BE1055" s="266"/>
      <c r="BF1055" s="266"/>
      <c r="BG1055" s="266"/>
      <c r="BH1055" s="266"/>
      <c r="BI1055" s="266"/>
      <c r="BJ1055" s="266"/>
      <c r="BK1055" s="266"/>
      <c r="BL1055" s="266"/>
      <c r="BM1055" s="266"/>
      <c r="BN1055" s="266"/>
      <c r="BO1055" s="266"/>
      <c r="BP1055" s="266"/>
      <c r="BQ1055" s="325"/>
      <c r="BR1055" s="340"/>
      <c r="BS1055" s="276"/>
      <c r="BT1055" s="276"/>
      <c r="BU1055" s="276"/>
      <c r="BV1055" s="276"/>
      <c r="BW1055" s="343"/>
      <c r="BX1055" s="344"/>
      <c r="BY1055" s="68"/>
      <c r="BZ1055" s="149"/>
      <c r="CA1055" s="149"/>
      <c r="CB1055" s="149"/>
      <c r="CC1055" s="149"/>
      <c r="CD1055" s="149"/>
      <c r="CE1055" s="149"/>
      <c r="CF1055" s="149"/>
      <c r="CG1055" s="149"/>
      <c r="CH1055" s="149"/>
      <c r="CI1055" s="149"/>
      <c r="CJ1055" s="149"/>
      <c r="CK1055" s="149"/>
      <c r="CL1055" s="149"/>
      <c r="CM1055" s="65"/>
      <c r="CN1055" s="149"/>
      <c r="CO1055" s="65"/>
      <c r="CP1055" s="65"/>
      <c r="CQ1055" s="65"/>
      <c r="CR1055" s="65"/>
      <c r="CS1055" s="65"/>
      <c r="CT1055" s="65"/>
      <c r="CU1055" s="65"/>
      <c r="CV1055" s="65"/>
      <c r="CW1055" s="65"/>
      <c r="CX1055" s="65"/>
      <c r="CY1055" s="65"/>
      <c r="CZ1055" s="65"/>
      <c r="DA1055" s="149"/>
      <c r="DB1055" s="149"/>
      <c r="DC1055" s="149"/>
      <c r="DD1055" s="149"/>
      <c r="DE1055" s="149"/>
      <c r="DF1055" s="345"/>
      <c r="DG1055" s="65"/>
      <c r="DH1055" s="65"/>
      <c r="DI1055" s="65"/>
      <c r="DJ1055" s="65"/>
      <c r="DK1055" s="65"/>
      <c r="DL1055" s="82"/>
      <c r="DM1055" s="67"/>
      <c r="DN1055" s="65"/>
      <c r="DO1055" s="67"/>
      <c r="DP1055" s="67"/>
      <c r="DQ1055" s="67"/>
      <c r="DR1055" s="67"/>
      <c r="DS1055" s="67"/>
      <c r="DT1055" s="67"/>
      <c r="DU1055" s="67"/>
      <c r="DV1055" s="67"/>
      <c r="DW1055" s="67"/>
      <c r="DX1055" s="67"/>
      <c r="DY1055" s="67"/>
      <c r="DZ1055" s="266"/>
      <c r="EA1055" s="339"/>
      <c r="EB1055" s="340"/>
      <c r="EC1055" s="340"/>
      <c r="ED1055" s="340"/>
      <c r="EE1055" s="341"/>
      <c r="EF1055" s="342"/>
      <c r="EG1055" s="342"/>
      <c r="EH1055" s="342"/>
      <c r="EI1055" s="342"/>
      <c r="EJ1055" s="342"/>
      <c r="EK1055" s="342"/>
      <c r="EL1055" s="342"/>
      <c r="EM1055" s="342"/>
      <c r="EN1055" s="342"/>
      <c r="EO1055" s="266"/>
      <c r="EP1055" s="266"/>
      <c r="EQ1055" s="266"/>
      <c r="ER1055" s="266"/>
      <c r="ES1055" s="266"/>
      <c r="ET1055" s="266"/>
      <c r="EU1055" s="266"/>
      <c r="EV1055" s="266"/>
      <c r="EW1055" s="266"/>
      <c r="EX1055" s="266"/>
      <c r="EY1055" s="266"/>
      <c r="EZ1055" s="266"/>
      <c r="FA1055" s="266"/>
      <c r="FB1055" s="325"/>
      <c r="FC1055" s="340"/>
      <c r="FD1055" s="276"/>
      <c r="FE1055" s="276"/>
      <c r="FF1055" s="276"/>
      <c r="FG1055" s="276"/>
      <c r="FH1055" s="343"/>
      <c r="FI1055" s="344"/>
      <c r="FJ1055" s="68"/>
      <c r="FK1055" s="149"/>
      <c r="FL1055" s="149"/>
      <c r="FM1055" s="149"/>
      <c r="FN1055" s="149"/>
      <c r="FO1055" s="149"/>
      <c r="FP1055" s="149"/>
      <c r="FQ1055" s="149"/>
      <c r="FR1055" s="149"/>
      <c r="FS1055" s="149"/>
      <c r="FT1055" s="149"/>
      <c r="FU1055" s="149"/>
      <c r="FV1055" s="149"/>
      <c r="FW1055" s="149"/>
      <c r="FX1055" s="65"/>
      <c r="FY1055" s="149"/>
      <c r="FZ1055" s="65"/>
      <c r="GA1055" s="65"/>
      <c r="GB1055" s="65"/>
      <c r="GC1055" s="65"/>
      <c r="GD1055" s="65"/>
      <c r="GE1055" s="65"/>
      <c r="GF1055" s="65"/>
      <c r="GG1055" s="65"/>
      <c r="GH1055" s="65"/>
      <c r="GI1055" s="65"/>
      <c r="GJ1055" s="65"/>
      <c r="GK1055" s="65"/>
      <c r="GL1055" s="149"/>
      <c r="GM1055" s="149"/>
      <c r="GN1055" s="149"/>
      <c r="GO1055" s="149"/>
      <c r="GP1055" s="149"/>
      <c r="GQ1055" s="345"/>
      <c r="GR1055" s="65"/>
      <c r="GS1055" s="65"/>
      <c r="GT1055" s="65"/>
      <c r="GU1055" s="65"/>
      <c r="GV1055" s="65"/>
      <c r="GW1055" s="82"/>
      <c r="GX1055" s="67"/>
      <c r="GY1055" s="65"/>
    </row>
    <row r="1056" spans="1:207" ht="27" customHeight="1" x14ac:dyDescent="0.15">
      <c r="A1056" s="105">
        <v>1113700486</v>
      </c>
      <c r="B1056" s="106" t="s">
        <v>9134</v>
      </c>
      <c r="C1056" s="107" t="s">
        <v>9135</v>
      </c>
      <c r="D1056" s="108" t="s">
        <v>90</v>
      </c>
      <c r="E1056" s="108" t="s">
        <v>9136</v>
      </c>
      <c r="F1056" s="139" t="s">
        <v>9137</v>
      </c>
      <c r="G1056" s="140" t="s">
        <v>9138</v>
      </c>
      <c r="H1056" s="140" t="s">
        <v>9139</v>
      </c>
      <c r="I1056" s="116" t="s">
        <v>49</v>
      </c>
      <c r="J1056" s="154" t="s">
        <v>49</v>
      </c>
      <c r="K1056" s="154" t="s">
        <v>49</v>
      </c>
      <c r="L1056" s="154" t="s">
        <v>49</v>
      </c>
      <c r="M1056" s="154" t="s">
        <v>49</v>
      </c>
      <c r="N1056" s="143" t="s">
        <v>49</v>
      </c>
      <c r="O1056" s="138" t="s">
        <v>49</v>
      </c>
      <c r="P1056" s="105"/>
      <c r="Q1056" s="137"/>
      <c r="R1056" s="138"/>
      <c r="S1056" s="105"/>
      <c r="T1056" s="105"/>
      <c r="U1056" s="105"/>
      <c r="V1056" s="133">
        <v>12</v>
      </c>
      <c r="W1056" s="138"/>
      <c r="X1056" s="133">
        <v>12</v>
      </c>
      <c r="Y1056" s="138"/>
      <c r="Z1056" s="105"/>
      <c r="AA1056" s="105">
        <v>15</v>
      </c>
      <c r="AB1056" s="105"/>
      <c r="AC1056" s="105"/>
      <c r="AD1056" s="144">
        <v>45383</v>
      </c>
      <c r="AE1056" s="108" t="s">
        <v>9140</v>
      </c>
    </row>
    <row r="1057" spans="1:207" ht="27" customHeight="1" x14ac:dyDescent="0.15">
      <c r="A1057" s="132">
        <v>1113700528</v>
      </c>
      <c r="B1057" s="108" t="s">
        <v>11648</v>
      </c>
      <c r="C1057" s="108" t="s">
        <v>10446</v>
      </c>
      <c r="D1057" s="108" t="s">
        <v>90</v>
      </c>
      <c r="E1057" s="346" t="s">
        <v>10447</v>
      </c>
      <c r="F1057" s="132" t="s">
        <v>10448</v>
      </c>
      <c r="G1057" s="132" t="s">
        <v>10449</v>
      </c>
      <c r="H1057" s="132"/>
      <c r="I1057" s="133" t="s">
        <v>765</v>
      </c>
      <c r="J1057" s="134" t="s">
        <v>765</v>
      </c>
      <c r="K1057" s="134" t="s">
        <v>765</v>
      </c>
      <c r="L1057" s="134" t="s">
        <v>765</v>
      </c>
      <c r="M1057" s="134" t="s">
        <v>765</v>
      </c>
      <c r="N1057" s="135" t="s">
        <v>765</v>
      </c>
      <c r="O1057" s="136" t="s">
        <v>765</v>
      </c>
      <c r="P1057" s="137"/>
      <c r="Q1057" s="116"/>
      <c r="R1057" s="117"/>
      <c r="S1057" s="105"/>
      <c r="T1057" s="105"/>
      <c r="U1057" s="137"/>
      <c r="V1057" s="116"/>
      <c r="W1057" s="347"/>
      <c r="X1057" s="116"/>
      <c r="Y1057" s="117"/>
      <c r="Z1057" s="105"/>
      <c r="AA1057" s="105">
        <v>20</v>
      </c>
      <c r="AB1057" s="118"/>
      <c r="AC1057" s="118"/>
      <c r="AD1057" s="132" t="s">
        <v>10363</v>
      </c>
      <c r="AE1057" s="80" t="s">
        <v>10450</v>
      </c>
    </row>
    <row r="1058" spans="1:207" s="65" customFormat="1" ht="27" customHeight="1" x14ac:dyDescent="0.15">
      <c r="A1058" s="105">
        <v>1113700569</v>
      </c>
      <c r="B1058" s="106" t="s">
        <v>8906</v>
      </c>
      <c r="C1058" s="107" t="s">
        <v>11238</v>
      </c>
      <c r="D1058" s="108" t="s">
        <v>90</v>
      </c>
      <c r="E1058" s="108" t="s">
        <v>11239</v>
      </c>
      <c r="F1058" s="139" t="s">
        <v>11240</v>
      </c>
      <c r="G1058" s="140" t="s">
        <v>11241</v>
      </c>
      <c r="H1058" s="140" t="s">
        <v>11242</v>
      </c>
      <c r="I1058" s="141" t="s">
        <v>49</v>
      </c>
      <c r="J1058" s="142" t="s">
        <v>49</v>
      </c>
      <c r="K1058" s="142" t="s">
        <v>49</v>
      </c>
      <c r="L1058" s="142" t="s">
        <v>49</v>
      </c>
      <c r="M1058" s="142" t="s">
        <v>765</v>
      </c>
      <c r="N1058" s="143" t="s">
        <v>765</v>
      </c>
      <c r="O1058" s="138" t="s">
        <v>49</v>
      </c>
      <c r="P1058" s="105"/>
      <c r="Q1058" s="137"/>
      <c r="R1058" s="138"/>
      <c r="S1058" s="105"/>
      <c r="T1058" s="105">
        <v>20</v>
      </c>
      <c r="U1058" s="105"/>
      <c r="V1058" s="137"/>
      <c r="W1058" s="138"/>
      <c r="X1058" s="137"/>
      <c r="Y1058" s="138"/>
      <c r="Z1058" s="105"/>
      <c r="AA1058" s="105"/>
      <c r="AB1058" s="105"/>
      <c r="AC1058" s="105"/>
      <c r="AD1058" s="144">
        <v>46082</v>
      </c>
      <c r="AE1058" s="108" t="s">
        <v>11243</v>
      </c>
    </row>
    <row r="1059" spans="1:207" s="65" customFormat="1" ht="27" customHeight="1" x14ac:dyDescent="0.15">
      <c r="A1059" s="105">
        <v>1113700577</v>
      </c>
      <c r="B1059" s="106" t="s">
        <v>11331</v>
      </c>
      <c r="C1059" s="107" t="s">
        <v>11332</v>
      </c>
      <c r="D1059" s="108" t="s">
        <v>90</v>
      </c>
      <c r="E1059" s="108" t="s">
        <v>11333</v>
      </c>
      <c r="F1059" s="139" t="s">
        <v>11334</v>
      </c>
      <c r="G1059" s="140" t="s">
        <v>11335</v>
      </c>
      <c r="H1059" s="140" t="s">
        <v>11336</v>
      </c>
      <c r="I1059" s="141"/>
      <c r="J1059" s="142"/>
      <c r="K1059" s="142"/>
      <c r="L1059" s="142"/>
      <c r="M1059" s="142" t="s">
        <v>49</v>
      </c>
      <c r="N1059" s="143"/>
      <c r="O1059" s="138"/>
      <c r="P1059" s="105"/>
      <c r="Q1059" s="137"/>
      <c r="R1059" s="138"/>
      <c r="S1059" s="105"/>
      <c r="T1059" s="105">
        <v>20</v>
      </c>
      <c r="U1059" s="105"/>
      <c r="V1059" s="137"/>
      <c r="W1059" s="138"/>
      <c r="X1059" s="137"/>
      <c r="Y1059" s="138"/>
      <c r="Z1059" s="105"/>
      <c r="AA1059" s="105"/>
      <c r="AB1059" s="105"/>
      <c r="AC1059" s="105"/>
      <c r="AD1059" s="144">
        <v>46113</v>
      </c>
      <c r="AE1059" s="108" t="s">
        <v>11337</v>
      </c>
    </row>
    <row r="1060" spans="1:207" ht="27" customHeight="1" x14ac:dyDescent="0.15">
      <c r="A1060" s="105">
        <v>1113700585</v>
      </c>
      <c r="B1060" s="106" t="s">
        <v>12161</v>
      </c>
      <c r="C1060" s="107" t="s">
        <v>12162</v>
      </c>
      <c r="D1060" s="108" t="s">
        <v>90</v>
      </c>
      <c r="E1060" s="108" t="s">
        <v>12163</v>
      </c>
      <c r="F1060" s="139" t="s">
        <v>2076</v>
      </c>
      <c r="G1060" s="140" t="s">
        <v>12164</v>
      </c>
      <c r="H1060" s="140" t="s">
        <v>12165</v>
      </c>
      <c r="I1060" s="116" t="s">
        <v>49</v>
      </c>
      <c r="J1060" s="154" t="s">
        <v>49</v>
      </c>
      <c r="K1060" s="154" t="s">
        <v>49</v>
      </c>
      <c r="L1060" s="154" t="s">
        <v>765</v>
      </c>
      <c r="M1060" s="154" t="s">
        <v>49</v>
      </c>
      <c r="N1060" s="143"/>
      <c r="O1060" s="138"/>
      <c r="P1060" s="105"/>
      <c r="Q1060" s="137"/>
      <c r="R1060" s="138"/>
      <c r="S1060" s="105"/>
      <c r="T1060" s="105">
        <v>22</v>
      </c>
      <c r="U1060" s="105"/>
      <c r="V1060" s="137"/>
      <c r="W1060" s="138"/>
      <c r="X1060" s="137"/>
      <c r="Y1060" s="138"/>
      <c r="Z1060" s="105"/>
      <c r="AA1060" s="105"/>
      <c r="AB1060" s="105"/>
      <c r="AC1060" s="105"/>
      <c r="AD1060" s="118">
        <v>46174</v>
      </c>
      <c r="AE1060" s="108" t="s">
        <v>12166</v>
      </c>
    </row>
    <row r="1061" spans="1:207" ht="27" customHeight="1" x14ac:dyDescent="0.15">
      <c r="A1061" s="105">
        <v>1113800013</v>
      </c>
      <c r="B1061" s="106" t="s">
        <v>1247</v>
      </c>
      <c r="C1061" s="107" t="s">
        <v>1246</v>
      </c>
      <c r="D1061" s="108" t="s">
        <v>91</v>
      </c>
      <c r="E1061" s="108" t="s">
        <v>1245</v>
      </c>
      <c r="F1061" s="139">
        <v>3470011</v>
      </c>
      <c r="G1061" s="140" t="s">
        <v>1244</v>
      </c>
      <c r="H1061" s="140" t="s">
        <v>1243</v>
      </c>
      <c r="I1061" s="141" t="s">
        <v>1196</v>
      </c>
      <c r="J1061" s="142" t="s">
        <v>1196</v>
      </c>
      <c r="K1061" s="142" t="s">
        <v>1196</v>
      </c>
      <c r="L1061" s="142" t="s">
        <v>1196</v>
      </c>
      <c r="M1061" s="142" t="s">
        <v>1196</v>
      </c>
      <c r="N1061" s="143"/>
      <c r="O1061" s="138"/>
      <c r="P1061" s="105"/>
      <c r="Q1061" s="137"/>
      <c r="R1061" s="138"/>
      <c r="S1061" s="105"/>
      <c r="T1061" s="105">
        <v>20</v>
      </c>
      <c r="U1061" s="105"/>
      <c r="V1061" s="116"/>
      <c r="W1061" s="117"/>
      <c r="X1061" s="116"/>
      <c r="Y1061" s="138"/>
      <c r="Z1061" s="105"/>
      <c r="AA1061" s="105">
        <v>20</v>
      </c>
      <c r="AB1061" s="105"/>
      <c r="AC1061" s="105"/>
      <c r="AD1061" s="144">
        <v>40634</v>
      </c>
      <c r="AE1061" s="108" t="s">
        <v>1242</v>
      </c>
    </row>
    <row r="1062" spans="1:207" ht="27" customHeight="1" x14ac:dyDescent="0.15">
      <c r="A1062" s="105">
        <v>1113800047</v>
      </c>
      <c r="B1062" s="106" t="s">
        <v>1487</v>
      </c>
      <c r="C1062" s="107" t="s">
        <v>1488</v>
      </c>
      <c r="D1062" s="108" t="s">
        <v>91</v>
      </c>
      <c r="E1062" s="108" t="s">
        <v>1499</v>
      </c>
      <c r="F1062" s="139">
        <v>3470034</v>
      </c>
      <c r="G1062" s="140" t="s">
        <v>1489</v>
      </c>
      <c r="H1062" s="140" t="s">
        <v>1489</v>
      </c>
      <c r="I1062" s="141"/>
      <c r="J1062" s="142"/>
      <c r="K1062" s="142"/>
      <c r="L1062" s="142"/>
      <c r="M1062" s="142" t="s">
        <v>49</v>
      </c>
      <c r="N1062" s="143"/>
      <c r="O1062" s="138"/>
      <c r="P1062" s="105"/>
      <c r="Q1062" s="137"/>
      <c r="R1062" s="138"/>
      <c r="S1062" s="105"/>
      <c r="T1062" s="105"/>
      <c r="U1062" s="105"/>
      <c r="V1062" s="116"/>
      <c r="W1062" s="117"/>
      <c r="X1062" s="116"/>
      <c r="Y1062" s="138"/>
      <c r="Z1062" s="105"/>
      <c r="AA1062" s="105">
        <v>20</v>
      </c>
      <c r="AB1062" s="105"/>
      <c r="AC1062" s="105"/>
      <c r="AD1062" s="144">
        <v>40817</v>
      </c>
      <c r="AE1062" s="108" t="s">
        <v>1491</v>
      </c>
    </row>
    <row r="1063" spans="1:207" ht="27" customHeight="1" x14ac:dyDescent="0.15">
      <c r="A1063" s="132">
        <v>1113800088</v>
      </c>
      <c r="B1063" s="130" t="s">
        <v>483</v>
      </c>
      <c r="C1063" s="108" t="s">
        <v>528</v>
      </c>
      <c r="D1063" s="108" t="s">
        <v>91</v>
      </c>
      <c r="E1063" s="108" t="s">
        <v>187</v>
      </c>
      <c r="F1063" s="131">
        <v>3470042</v>
      </c>
      <c r="G1063" s="132" t="s">
        <v>701</v>
      </c>
      <c r="H1063" s="132" t="s">
        <v>702</v>
      </c>
      <c r="I1063" s="133" t="s">
        <v>251</v>
      </c>
      <c r="J1063" s="134" t="s">
        <v>251</v>
      </c>
      <c r="K1063" s="134" t="s">
        <v>251</v>
      </c>
      <c r="L1063" s="134" t="s">
        <v>251</v>
      </c>
      <c r="M1063" s="134" t="s">
        <v>251</v>
      </c>
      <c r="N1063" s="135"/>
      <c r="O1063" s="136"/>
      <c r="P1063" s="105"/>
      <c r="Q1063" s="137"/>
      <c r="R1063" s="138"/>
      <c r="S1063" s="105"/>
      <c r="T1063" s="105">
        <v>20</v>
      </c>
      <c r="U1063" s="105"/>
      <c r="V1063" s="116"/>
      <c r="W1063" s="117"/>
      <c r="X1063" s="116"/>
      <c r="Y1063" s="138"/>
      <c r="Z1063" s="105"/>
      <c r="AA1063" s="105">
        <v>15</v>
      </c>
      <c r="AB1063" s="105"/>
      <c r="AC1063" s="105"/>
      <c r="AD1063" s="118">
        <v>39173</v>
      </c>
      <c r="AE1063" s="108" t="s">
        <v>819</v>
      </c>
    </row>
    <row r="1064" spans="1:207" ht="27" customHeight="1" x14ac:dyDescent="0.15">
      <c r="A1064" s="132">
        <v>1113800211</v>
      </c>
      <c r="B1064" s="130" t="s">
        <v>11040</v>
      </c>
      <c r="C1064" s="108" t="s">
        <v>7366</v>
      </c>
      <c r="D1064" s="108" t="s">
        <v>91</v>
      </c>
      <c r="E1064" s="108" t="s">
        <v>2354</v>
      </c>
      <c r="F1064" s="131" t="s">
        <v>3248</v>
      </c>
      <c r="G1064" s="132" t="s">
        <v>3249</v>
      </c>
      <c r="H1064" s="132" t="s">
        <v>3249</v>
      </c>
      <c r="I1064" s="133"/>
      <c r="J1064" s="134"/>
      <c r="K1064" s="134"/>
      <c r="L1064" s="134"/>
      <c r="M1064" s="134" t="s">
        <v>49</v>
      </c>
      <c r="N1064" s="135" t="s">
        <v>49</v>
      </c>
      <c r="O1064" s="136"/>
      <c r="P1064" s="105"/>
      <c r="Q1064" s="137"/>
      <c r="R1064" s="138"/>
      <c r="S1064" s="105"/>
      <c r="T1064" s="105"/>
      <c r="U1064" s="105"/>
      <c r="V1064" s="116"/>
      <c r="W1064" s="117"/>
      <c r="X1064" s="116"/>
      <c r="Y1064" s="138"/>
      <c r="Z1064" s="105"/>
      <c r="AA1064" s="105">
        <v>30</v>
      </c>
      <c r="AB1064" s="105"/>
      <c r="AC1064" s="105"/>
      <c r="AD1064" s="118">
        <v>41699</v>
      </c>
      <c r="AE1064" s="108" t="s">
        <v>2355</v>
      </c>
    </row>
    <row r="1065" spans="1:207" s="65" customFormat="1" ht="27" customHeight="1" x14ac:dyDescent="0.15">
      <c r="A1065" s="105">
        <v>1113800237</v>
      </c>
      <c r="B1065" s="106" t="s">
        <v>3081</v>
      </c>
      <c r="C1065" s="107" t="s">
        <v>3082</v>
      </c>
      <c r="D1065" s="108" t="s">
        <v>91</v>
      </c>
      <c r="E1065" s="108" t="s">
        <v>3083</v>
      </c>
      <c r="F1065" s="139" t="s">
        <v>3084</v>
      </c>
      <c r="G1065" s="140" t="s">
        <v>3085</v>
      </c>
      <c r="H1065" s="140" t="s">
        <v>3086</v>
      </c>
      <c r="I1065" s="141"/>
      <c r="J1065" s="142"/>
      <c r="K1065" s="142" t="s">
        <v>3087</v>
      </c>
      <c r="L1065" s="142" t="s">
        <v>3087</v>
      </c>
      <c r="M1065" s="142" t="s">
        <v>3087</v>
      </c>
      <c r="N1065" s="143" t="s">
        <v>3087</v>
      </c>
      <c r="O1065" s="138" t="s">
        <v>3087</v>
      </c>
      <c r="P1065" s="105"/>
      <c r="Q1065" s="137"/>
      <c r="R1065" s="138"/>
      <c r="S1065" s="105"/>
      <c r="T1065" s="105"/>
      <c r="U1065" s="105"/>
      <c r="V1065" s="137"/>
      <c r="W1065" s="138"/>
      <c r="X1065" s="137"/>
      <c r="Y1065" s="138"/>
      <c r="Z1065" s="105">
        <v>15</v>
      </c>
      <c r="AA1065" s="105"/>
      <c r="AB1065" s="105"/>
      <c r="AC1065" s="105"/>
      <c r="AD1065" s="144">
        <v>42217</v>
      </c>
      <c r="AE1065" s="108" t="s">
        <v>3088</v>
      </c>
    </row>
    <row r="1066" spans="1:207" ht="27" customHeight="1" x14ac:dyDescent="0.15">
      <c r="A1066" s="105">
        <v>1113800310</v>
      </c>
      <c r="B1066" s="106" t="s">
        <v>3295</v>
      </c>
      <c r="C1066" s="107" t="s">
        <v>3089</v>
      </c>
      <c r="D1066" s="108" t="s">
        <v>91</v>
      </c>
      <c r="E1066" s="108" t="s">
        <v>3090</v>
      </c>
      <c r="F1066" s="139" t="s">
        <v>3755</v>
      </c>
      <c r="G1066" s="140" t="s">
        <v>3756</v>
      </c>
      <c r="H1066" s="140" t="s">
        <v>3757</v>
      </c>
      <c r="I1066" s="141" t="s">
        <v>765</v>
      </c>
      <c r="J1066" s="142" t="s">
        <v>765</v>
      </c>
      <c r="K1066" s="142" t="s">
        <v>765</v>
      </c>
      <c r="L1066" s="142" t="s">
        <v>765</v>
      </c>
      <c r="M1066" s="142" t="s">
        <v>765</v>
      </c>
      <c r="N1066" s="143" t="s">
        <v>765</v>
      </c>
      <c r="O1066" s="138"/>
      <c r="P1066" s="105"/>
      <c r="Q1066" s="137"/>
      <c r="R1066" s="138"/>
      <c r="S1066" s="105"/>
      <c r="T1066" s="105">
        <v>20</v>
      </c>
      <c r="U1066" s="105"/>
      <c r="V1066" s="116"/>
      <c r="W1066" s="117"/>
      <c r="X1066" s="116"/>
      <c r="Y1066" s="138"/>
      <c r="Z1066" s="105"/>
      <c r="AA1066" s="105"/>
      <c r="AB1066" s="105"/>
      <c r="AC1066" s="105"/>
      <c r="AD1066" s="144">
        <v>42430</v>
      </c>
      <c r="AE1066" s="108" t="s">
        <v>3091</v>
      </c>
    </row>
    <row r="1067" spans="1:207" ht="27" customHeight="1" x14ac:dyDescent="0.15">
      <c r="A1067" s="105">
        <v>1113800377</v>
      </c>
      <c r="B1067" s="106" t="s">
        <v>3765</v>
      </c>
      <c r="C1067" s="107" t="s">
        <v>3766</v>
      </c>
      <c r="D1067" s="108" t="s">
        <v>91</v>
      </c>
      <c r="E1067" s="108" t="s">
        <v>3767</v>
      </c>
      <c r="F1067" s="139" t="s">
        <v>3769</v>
      </c>
      <c r="G1067" s="140" t="s">
        <v>3770</v>
      </c>
      <c r="H1067" s="140" t="s">
        <v>3771</v>
      </c>
      <c r="I1067" s="141"/>
      <c r="J1067" s="142"/>
      <c r="K1067" s="142"/>
      <c r="L1067" s="142"/>
      <c r="M1067" s="142" t="s">
        <v>765</v>
      </c>
      <c r="N1067" s="143" t="s">
        <v>5547</v>
      </c>
      <c r="O1067" s="138"/>
      <c r="P1067" s="105"/>
      <c r="Q1067" s="137"/>
      <c r="R1067" s="138"/>
      <c r="S1067" s="105"/>
      <c r="T1067" s="105"/>
      <c r="U1067" s="105"/>
      <c r="V1067" s="137"/>
      <c r="W1067" s="138"/>
      <c r="X1067" s="137"/>
      <c r="Y1067" s="138"/>
      <c r="Z1067" s="105"/>
      <c r="AA1067" s="105">
        <v>20</v>
      </c>
      <c r="AB1067" s="105"/>
      <c r="AC1067" s="105"/>
      <c r="AD1067" s="144">
        <v>42826</v>
      </c>
      <c r="AE1067" s="108" t="s">
        <v>3768</v>
      </c>
    </row>
    <row r="1068" spans="1:207" s="65" customFormat="1" ht="27" customHeight="1" x14ac:dyDescent="0.15">
      <c r="A1068" s="105">
        <v>1113800476</v>
      </c>
      <c r="B1068" s="130" t="s">
        <v>4961</v>
      </c>
      <c r="C1068" s="108" t="s">
        <v>4962</v>
      </c>
      <c r="D1068" s="108" t="s">
        <v>91</v>
      </c>
      <c r="E1068" s="108" t="s">
        <v>4963</v>
      </c>
      <c r="F1068" s="131" t="s">
        <v>4964</v>
      </c>
      <c r="G1068" s="132" t="s">
        <v>4965</v>
      </c>
      <c r="H1068" s="132" t="s">
        <v>4966</v>
      </c>
      <c r="I1068" s="133" t="s">
        <v>49</v>
      </c>
      <c r="J1068" s="134" t="s">
        <v>49</v>
      </c>
      <c r="K1068" s="135" t="s">
        <v>49</v>
      </c>
      <c r="L1068" s="134" t="s">
        <v>49</v>
      </c>
      <c r="M1068" s="134" t="s">
        <v>49</v>
      </c>
      <c r="N1068" s="135" t="s">
        <v>49</v>
      </c>
      <c r="O1068" s="136" t="s">
        <v>49</v>
      </c>
      <c r="P1068" s="105"/>
      <c r="Q1068" s="137"/>
      <c r="R1068" s="138"/>
      <c r="S1068" s="105"/>
      <c r="T1068" s="105">
        <v>10</v>
      </c>
      <c r="U1068" s="105"/>
      <c r="V1068" s="137"/>
      <c r="W1068" s="138"/>
      <c r="X1068" s="137"/>
      <c r="Y1068" s="138"/>
      <c r="Z1068" s="105"/>
      <c r="AA1068" s="105">
        <v>20</v>
      </c>
      <c r="AB1068" s="105"/>
      <c r="AC1068" s="105"/>
      <c r="AD1068" s="118">
        <v>43556</v>
      </c>
      <c r="AE1068" s="108" t="s">
        <v>4967</v>
      </c>
      <c r="AF1068" s="67"/>
      <c r="AG1068" s="67"/>
      <c r="AH1068" s="67"/>
    </row>
    <row r="1069" spans="1:207" s="65" customFormat="1" ht="27" customHeight="1" x14ac:dyDescent="0.15">
      <c r="A1069" s="105">
        <v>1113800492</v>
      </c>
      <c r="B1069" s="130" t="s">
        <v>6748</v>
      </c>
      <c r="C1069" s="108" t="s">
        <v>6749</v>
      </c>
      <c r="D1069" s="108" t="s">
        <v>91</v>
      </c>
      <c r="E1069" s="108" t="s">
        <v>6750</v>
      </c>
      <c r="F1069" s="131" t="s">
        <v>6751</v>
      </c>
      <c r="G1069" s="132" t="s">
        <v>6752</v>
      </c>
      <c r="H1069" s="132" t="s">
        <v>6752</v>
      </c>
      <c r="I1069" s="133" t="s">
        <v>765</v>
      </c>
      <c r="J1069" s="134" t="s">
        <v>765</v>
      </c>
      <c r="K1069" s="134" t="s">
        <v>765</v>
      </c>
      <c r="L1069" s="134" t="s">
        <v>765</v>
      </c>
      <c r="M1069" s="134" t="s">
        <v>765</v>
      </c>
      <c r="N1069" s="135" t="s">
        <v>765</v>
      </c>
      <c r="O1069" s="136" t="s">
        <v>765</v>
      </c>
      <c r="P1069" s="105"/>
      <c r="Q1069" s="137"/>
      <c r="R1069" s="138"/>
      <c r="S1069" s="105"/>
      <c r="T1069" s="105"/>
      <c r="U1069" s="105"/>
      <c r="V1069" s="116"/>
      <c r="W1069" s="117"/>
      <c r="X1069" s="116"/>
      <c r="Y1069" s="138"/>
      <c r="Z1069" s="105"/>
      <c r="AA1069" s="105">
        <v>20</v>
      </c>
      <c r="AB1069" s="105"/>
      <c r="AC1069" s="105"/>
      <c r="AD1069" s="144">
        <v>44317</v>
      </c>
      <c r="AE1069" s="108" t="s">
        <v>6753</v>
      </c>
    </row>
    <row r="1070" spans="1:207" ht="27" customHeight="1" x14ac:dyDescent="0.15">
      <c r="A1070" s="105">
        <v>1113800534</v>
      </c>
      <c r="B1070" s="106" t="s">
        <v>7509</v>
      </c>
      <c r="C1070" s="107" t="s">
        <v>7510</v>
      </c>
      <c r="D1070" s="108" t="s">
        <v>91</v>
      </c>
      <c r="E1070" s="108" t="s">
        <v>7511</v>
      </c>
      <c r="F1070" s="139" t="s">
        <v>7512</v>
      </c>
      <c r="G1070" s="140" t="s">
        <v>7513</v>
      </c>
      <c r="H1070" s="140" t="s">
        <v>7514</v>
      </c>
      <c r="I1070" s="141" t="s">
        <v>6457</v>
      </c>
      <c r="J1070" s="142" t="s">
        <v>6457</v>
      </c>
      <c r="K1070" s="142" t="s">
        <v>6457</v>
      </c>
      <c r="L1070" s="142" t="s">
        <v>6457</v>
      </c>
      <c r="M1070" s="134" t="s">
        <v>6457</v>
      </c>
      <c r="N1070" s="134" t="s">
        <v>6457</v>
      </c>
      <c r="O1070" s="138" t="s">
        <v>6457</v>
      </c>
      <c r="P1070" s="105"/>
      <c r="Q1070" s="137"/>
      <c r="R1070" s="138"/>
      <c r="S1070" s="105"/>
      <c r="T1070" s="105"/>
      <c r="U1070" s="105"/>
      <c r="V1070" s="137"/>
      <c r="W1070" s="138"/>
      <c r="X1070" s="137"/>
      <c r="Y1070" s="138"/>
      <c r="Z1070" s="105"/>
      <c r="AA1070" s="105">
        <v>20</v>
      </c>
      <c r="AB1070" s="105"/>
      <c r="AC1070" s="105"/>
      <c r="AD1070" s="155">
        <v>44682</v>
      </c>
      <c r="AE1070" s="108" t="s">
        <v>7515</v>
      </c>
    </row>
    <row r="1071" spans="1:207" s="65" customFormat="1" ht="27" customHeight="1" x14ac:dyDescent="0.15">
      <c r="A1071" s="105">
        <v>1113800567</v>
      </c>
      <c r="B1071" s="106" t="s">
        <v>11645</v>
      </c>
      <c r="C1071" s="107" t="s">
        <v>8306</v>
      </c>
      <c r="D1071" s="108" t="s">
        <v>91</v>
      </c>
      <c r="E1071" s="108" t="s">
        <v>8307</v>
      </c>
      <c r="F1071" s="131">
        <v>3470055</v>
      </c>
      <c r="G1071" s="132" t="s">
        <v>8308</v>
      </c>
      <c r="H1071" s="132"/>
      <c r="I1071" s="133"/>
      <c r="J1071" s="134"/>
      <c r="K1071" s="134"/>
      <c r="L1071" s="134"/>
      <c r="M1071" s="134" t="s">
        <v>49</v>
      </c>
      <c r="N1071" s="135" t="s">
        <v>49</v>
      </c>
      <c r="O1071" s="136"/>
      <c r="P1071" s="105"/>
      <c r="Q1071" s="137"/>
      <c r="R1071" s="138"/>
      <c r="S1071" s="105"/>
      <c r="T1071" s="105"/>
      <c r="U1071" s="105"/>
      <c r="V1071" s="137"/>
      <c r="W1071" s="138"/>
      <c r="X1071" s="137"/>
      <c r="Y1071" s="138"/>
      <c r="Z1071" s="105"/>
      <c r="AA1071" s="105">
        <v>20</v>
      </c>
      <c r="AB1071" s="105"/>
      <c r="AC1071" s="105"/>
      <c r="AD1071" s="118">
        <v>45047</v>
      </c>
      <c r="AE1071" s="108" t="s">
        <v>8309</v>
      </c>
    </row>
    <row r="1072" spans="1:207" s="218" customFormat="1" ht="26.1" customHeight="1" x14ac:dyDescent="0.15">
      <c r="A1072" s="105">
        <v>1113800575</v>
      </c>
      <c r="B1072" s="106" t="s">
        <v>12051</v>
      </c>
      <c r="C1072" s="107" t="s">
        <v>8310</v>
      </c>
      <c r="D1072" s="108" t="s">
        <v>91</v>
      </c>
      <c r="E1072" s="108" t="s">
        <v>8311</v>
      </c>
      <c r="F1072" s="131" t="s">
        <v>8312</v>
      </c>
      <c r="G1072" s="132" t="s">
        <v>8313</v>
      </c>
      <c r="H1072" s="132" t="s">
        <v>8313</v>
      </c>
      <c r="I1072" s="133"/>
      <c r="J1072" s="134"/>
      <c r="K1072" s="134"/>
      <c r="L1072" s="134"/>
      <c r="M1072" s="134" t="s">
        <v>49</v>
      </c>
      <c r="N1072" s="135"/>
      <c r="O1072" s="136"/>
      <c r="P1072" s="105"/>
      <c r="Q1072" s="137"/>
      <c r="R1072" s="138"/>
      <c r="S1072" s="105"/>
      <c r="T1072" s="105"/>
      <c r="U1072" s="105"/>
      <c r="V1072" s="137"/>
      <c r="W1072" s="138"/>
      <c r="X1072" s="137"/>
      <c r="Y1072" s="138"/>
      <c r="Z1072" s="105"/>
      <c r="AA1072" s="105">
        <v>20</v>
      </c>
      <c r="AB1072" s="105"/>
      <c r="AC1072" s="105"/>
      <c r="AD1072" s="118">
        <v>45047</v>
      </c>
      <c r="AE1072" s="108" t="s">
        <v>8314</v>
      </c>
      <c r="AF1072" s="67"/>
      <c r="AG1072" s="67"/>
      <c r="AH1072" s="67"/>
      <c r="AI1072" s="67"/>
      <c r="AJ1072" s="67"/>
      <c r="AK1072" s="67"/>
      <c r="AL1072" s="67"/>
      <c r="AM1072" s="67"/>
      <c r="AN1072" s="67"/>
      <c r="AO1072" s="266"/>
      <c r="AP1072" s="339"/>
      <c r="AQ1072" s="340"/>
      <c r="AR1072" s="340"/>
      <c r="AS1072" s="340"/>
      <c r="AT1072" s="341"/>
      <c r="AU1072" s="342"/>
      <c r="AV1072" s="342"/>
      <c r="AW1072" s="342"/>
      <c r="AX1072" s="342"/>
      <c r="AY1072" s="342"/>
      <c r="AZ1072" s="342"/>
      <c r="BA1072" s="342"/>
      <c r="BB1072" s="342"/>
      <c r="BC1072" s="342"/>
      <c r="BD1072" s="266"/>
      <c r="BE1072" s="266"/>
      <c r="BF1072" s="266"/>
      <c r="BG1072" s="266"/>
      <c r="BH1072" s="266"/>
      <c r="BI1072" s="266"/>
      <c r="BJ1072" s="266"/>
      <c r="BK1072" s="266"/>
      <c r="BL1072" s="266"/>
      <c r="BM1072" s="266"/>
      <c r="BN1072" s="266"/>
      <c r="BO1072" s="266"/>
      <c r="BP1072" s="266"/>
      <c r="BQ1072" s="325"/>
      <c r="BR1072" s="340"/>
      <c r="BS1072" s="276"/>
      <c r="BT1072" s="276"/>
      <c r="BU1072" s="276"/>
      <c r="BV1072" s="276"/>
      <c r="BW1072" s="343"/>
      <c r="BX1072" s="344"/>
      <c r="BY1072" s="68"/>
      <c r="BZ1072" s="149"/>
      <c r="CA1072" s="149"/>
      <c r="CB1072" s="149"/>
      <c r="CC1072" s="149"/>
      <c r="CD1072" s="149"/>
      <c r="CE1072" s="149"/>
      <c r="CF1072" s="149"/>
      <c r="CG1072" s="149"/>
      <c r="CH1072" s="149"/>
      <c r="CI1072" s="149"/>
      <c r="CJ1072" s="149"/>
      <c r="CK1072" s="149"/>
      <c r="CL1072" s="149"/>
      <c r="CM1072" s="65"/>
      <c r="CN1072" s="149"/>
      <c r="CO1072" s="65"/>
      <c r="CP1072" s="65"/>
      <c r="CQ1072" s="65"/>
      <c r="CR1072" s="65"/>
      <c r="CS1072" s="65"/>
      <c r="CT1072" s="65"/>
      <c r="CU1072" s="65"/>
      <c r="CV1072" s="65"/>
      <c r="CW1072" s="65"/>
      <c r="CX1072" s="65"/>
      <c r="CY1072" s="65"/>
      <c r="CZ1072" s="65"/>
      <c r="DA1072" s="149"/>
      <c r="DB1072" s="149"/>
      <c r="DC1072" s="149"/>
      <c r="DD1072" s="149"/>
      <c r="DE1072" s="149"/>
      <c r="DF1072" s="345"/>
      <c r="DG1072" s="65"/>
      <c r="DH1072" s="65"/>
      <c r="DI1072" s="65"/>
      <c r="DJ1072" s="65"/>
      <c r="DK1072" s="65"/>
      <c r="DL1072" s="82"/>
      <c r="DM1072" s="67"/>
      <c r="DN1072" s="65"/>
      <c r="DO1072" s="67"/>
      <c r="DP1072" s="67"/>
      <c r="DQ1072" s="67"/>
      <c r="DR1072" s="67"/>
      <c r="DS1072" s="67"/>
      <c r="DT1072" s="67"/>
      <c r="DU1072" s="67"/>
      <c r="DV1072" s="67"/>
      <c r="DW1072" s="67"/>
      <c r="DX1072" s="67"/>
      <c r="DY1072" s="67"/>
      <c r="DZ1072" s="266"/>
      <c r="EA1072" s="339"/>
      <c r="EB1072" s="340"/>
      <c r="EC1072" s="340"/>
      <c r="ED1072" s="340"/>
      <c r="EE1072" s="341"/>
      <c r="EF1072" s="342"/>
      <c r="EG1072" s="342"/>
      <c r="EH1072" s="342"/>
      <c r="EI1072" s="342"/>
      <c r="EJ1072" s="342"/>
      <c r="EK1072" s="342"/>
      <c r="EL1072" s="342"/>
      <c r="EM1072" s="342"/>
      <c r="EN1072" s="342"/>
      <c r="EO1072" s="266"/>
      <c r="EP1072" s="266"/>
      <c r="EQ1072" s="266"/>
      <c r="ER1072" s="266"/>
      <c r="ES1072" s="266"/>
      <c r="ET1072" s="266"/>
      <c r="EU1072" s="266"/>
      <c r="EV1072" s="266"/>
      <c r="EW1072" s="266"/>
      <c r="EX1072" s="266"/>
      <c r="EY1072" s="266"/>
      <c r="EZ1072" s="266"/>
      <c r="FA1072" s="266"/>
      <c r="FB1072" s="325"/>
      <c r="FC1072" s="340"/>
      <c r="FD1072" s="276"/>
      <c r="FE1072" s="276"/>
      <c r="FF1072" s="276"/>
      <c r="FG1072" s="276"/>
      <c r="FH1072" s="343"/>
      <c r="FI1072" s="344"/>
      <c r="FJ1072" s="68"/>
      <c r="FK1072" s="149"/>
      <c r="FL1072" s="149"/>
      <c r="FM1072" s="149"/>
      <c r="FN1072" s="149"/>
      <c r="FO1072" s="149"/>
      <c r="FP1072" s="149"/>
      <c r="FQ1072" s="149"/>
      <c r="FR1072" s="149"/>
      <c r="FS1072" s="149"/>
      <c r="FT1072" s="149"/>
      <c r="FU1072" s="149"/>
      <c r="FV1072" s="149"/>
      <c r="FW1072" s="149"/>
      <c r="FX1072" s="65"/>
      <c r="FY1072" s="149"/>
      <c r="FZ1072" s="65"/>
      <c r="GA1072" s="65"/>
      <c r="GB1072" s="65"/>
      <c r="GC1072" s="65"/>
      <c r="GD1072" s="65"/>
      <c r="GE1072" s="65"/>
      <c r="GF1072" s="65"/>
      <c r="GG1072" s="65"/>
      <c r="GH1072" s="65"/>
      <c r="GI1072" s="65"/>
      <c r="GJ1072" s="65"/>
      <c r="GK1072" s="65"/>
      <c r="GL1072" s="149"/>
      <c r="GM1072" s="149"/>
      <c r="GN1072" s="149"/>
      <c r="GO1072" s="149"/>
      <c r="GP1072" s="149"/>
      <c r="GQ1072" s="345"/>
      <c r="GR1072" s="65"/>
      <c r="GS1072" s="65"/>
      <c r="GT1072" s="65"/>
      <c r="GU1072" s="65"/>
      <c r="GV1072" s="65"/>
      <c r="GW1072" s="82"/>
      <c r="GX1072" s="67"/>
      <c r="GY1072" s="65"/>
    </row>
    <row r="1073" spans="1:207" s="218" customFormat="1" ht="26.1" customHeight="1" x14ac:dyDescent="0.15">
      <c r="A1073" s="175">
        <v>1113800591</v>
      </c>
      <c r="B1073" s="204" t="s">
        <v>9128</v>
      </c>
      <c r="C1073" s="162" t="s">
        <v>9129</v>
      </c>
      <c r="D1073" s="162" t="s">
        <v>91</v>
      </c>
      <c r="E1073" s="162" t="s">
        <v>9130</v>
      </c>
      <c r="F1073" s="268" t="s">
        <v>9131</v>
      </c>
      <c r="G1073" s="203" t="s">
        <v>9132</v>
      </c>
      <c r="H1073" s="203" t="s">
        <v>9132</v>
      </c>
      <c r="I1073" s="357"/>
      <c r="J1073" s="358"/>
      <c r="K1073" s="358"/>
      <c r="L1073" s="358"/>
      <c r="M1073" s="358" t="s">
        <v>765</v>
      </c>
      <c r="N1073" s="359" t="s">
        <v>765</v>
      </c>
      <c r="O1073" s="360"/>
      <c r="P1073" s="175"/>
      <c r="Q1073" s="209"/>
      <c r="R1073" s="210"/>
      <c r="S1073" s="175"/>
      <c r="T1073" s="175"/>
      <c r="U1073" s="175"/>
      <c r="V1073" s="209"/>
      <c r="W1073" s="210"/>
      <c r="X1073" s="209"/>
      <c r="Y1073" s="210"/>
      <c r="Z1073" s="175"/>
      <c r="AA1073" s="175">
        <v>20</v>
      </c>
      <c r="AB1073" s="175"/>
      <c r="AC1073" s="175"/>
      <c r="AD1073" s="227">
        <v>45383</v>
      </c>
      <c r="AE1073" s="162" t="s">
        <v>9133</v>
      </c>
      <c r="AF1073" s="67"/>
      <c r="AG1073" s="67"/>
      <c r="AH1073" s="67"/>
      <c r="AI1073" s="67"/>
      <c r="AJ1073" s="67"/>
      <c r="AK1073" s="67"/>
      <c r="AL1073" s="67"/>
      <c r="AM1073" s="67"/>
      <c r="AN1073" s="67"/>
      <c r="AO1073" s="266"/>
      <c r="AP1073" s="339"/>
      <c r="AQ1073" s="340"/>
      <c r="AR1073" s="340"/>
      <c r="AS1073" s="340"/>
      <c r="AT1073" s="341"/>
      <c r="AU1073" s="342"/>
      <c r="AV1073" s="342"/>
      <c r="AW1073" s="342"/>
      <c r="AX1073" s="342"/>
      <c r="AY1073" s="342"/>
      <c r="AZ1073" s="342"/>
      <c r="BA1073" s="342"/>
      <c r="BB1073" s="342"/>
      <c r="BC1073" s="342"/>
      <c r="BD1073" s="266"/>
      <c r="BE1073" s="266"/>
      <c r="BF1073" s="266"/>
      <c r="BG1073" s="266"/>
      <c r="BH1073" s="266"/>
      <c r="BI1073" s="266"/>
      <c r="BJ1073" s="266"/>
      <c r="BK1073" s="266"/>
      <c r="BL1073" s="266"/>
      <c r="BM1073" s="266"/>
      <c r="BN1073" s="266"/>
      <c r="BO1073" s="266"/>
      <c r="BP1073" s="266"/>
      <c r="BQ1073" s="325"/>
      <c r="BR1073" s="340"/>
      <c r="BS1073" s="276"/>
      <c r="BT1073" s="276"/>
      <c r="BU1073" s="276"/>
      <c r="BV1073" s="276"/>
      <c r="BW1073" s="343"/>
      <c r="BX1073" s="344"/>
      <c r="BY1073" s="68"/>
      <c r="BZ1073" s="149"/>
      <c r="CA1073" s="149"/>
      <c r="CB1073" s="149"/>
      <c r="CC1073" s="149"/>
      <c r="CD1073" s="149"/>
      <c r="CE1073" s="149"/>
      <c r="CF1073" s="149"/>
      <c r="CG1073" s="149"/>
      <c r="CH1073" s="149"/>
      <c r="CI1073" s="149"/>
      <c r="CJ1073" s="149"/>
      <c r="CK1073" s="149"/>
      <c r="CL1073" s="149"/>
      <c r="CM1073" s="65"/>
      <c r="CN1073" s="149"/>
      <c r="CO1073" s="65"/>
      <c r="CP1073" s="65"/>
      <c r="CQ1073" s="65"/>
      <c r="CR1073" s="65"/>
      <c r="CS1073" s="65"/>
      <c r="CT1073" s="65"/>
      <c r="CU1073" s="65"/>
      <c r="CV1073" s="65"/>
      <c r="CW1073" s="65"/>
      <c r="CX1073" s="65"/>
      <c r="CY1073" s="65"/>
      <c r="CZ1073" s="65"/>
      <c r="DA1073" s="149"/>
      <c r="DB1073" s="149"/>
      <c r="DC1073" s="149"/>
      <c r="DD1073" s="149"/>
      <c r="DE1073" s="149"/>
      <c r="DF1073" s="345"/>
      <c r="DG1073" s="65"/>
      <c r="DH1073" s="65"/>
      <c r="DI1073" s="65"/>
      <c r="DJ1073" s="65"/>
      <c r="DK1073" s="65"/>
      <c r="DL1073" s="82"/>
      <c r="DM1073" s="67"/>
      <c r="DN1073" s="65"/>
      <c r="DO1073" s="67"/>
      <c r="DP1073" s="67"/>
      <c r="DQ1073" s="67"/>
      <c r="DR1073" s="67"/>
      <c r="DS1073" s="67"/>
      <c r="DT1073" s="67"/>
      <c r="DU1073" s="67"/>
      <c r="DV1073" s="67"/>
      <c r="DW1073" s="67"/>
      <c r="DX1073" s="67"/>
      <c r="DY1073" s="67"/>
      <c r="DZ1073" s="266"/>
      <c r="EA1073" s="339"/>
      <c r="EB1073" s="340"/>
      <c r="EC1073" s="340"/>
      <c r="ED1073" s="340"/>
      <c r="EE1073" s="341"/>
      <c r="EF1073" s="342"/>
      <c r="EG1073" s="342"/>
      <c r="EH1073" s="342"/>
      <c r="EI1073" s="342"/>
      <c r="EJ1073" s="342"/>
      <c r="EK1073" s="342"/>
      <c r="EL1073" s="342"/>
      <c r="EM1073" s="342"/>
      <c r="EN1073" s="342"/>
      <c r="EO1073" s="266"/>
      <c r="EP1073" s="266"/>
      <c r="EQ1073" s="266"/>
      <c r="ER1073" s="266"/>
      <c r="ES1073" s="266"/>
      <c r="ET1073" s="266"/>
      <c r="EU1073" s="266"/>
      <c r="EV1073" s="266"/>
      <c r="EW1073" s="266"/>
      <c r="EX1073" s="266"/>
      <c r="EY1073" s="266"/>
      <c r="EZ1073" s="266"/>
      <c r="FA1073" s="266"/>
      <c r="FB1073" s="325"/>
      <c r="FC1073" s="340"/>
      <c r="FD1073" s="276"/>
      <c r="FE1073" s="276"/>
      <c r="FF1073" s="276"/>
      <c r="FG1073" s="276"/>
      <c r="FH1073" s="343"/>
      <c r="FI1073" s="344"/>
      <c r="FJ1073" s="68"/>
      <c r="FK1073" s="149"/>
      <c r="FL1073" s="149"/>
      <c r="FM1073" s="149"/>
      <c r="FN1073" s="149"/>
      <c r="FO1073" s="149"/>
      <c r="FP1073" s="149"/>
      <c r="FQ1073" s="149"/>
      <c r="FR1073" s="149"/>
      <c r="FS1073" s="149"/>
      <c r="FT1073" s="149"/>
      <c r="FU1073" s="149"/>
      <c r="FV1073" s="149"/>
      <c r="FW1073" s="149"/>
      <c r="FX1073" s="65"/>
      <c r="FY1073" s="149"/>
      <c r="FZ1073" s="65"/>
      <c r="GA1073" s="65"/>
      <c r="GB1073" s="65"/>
      <c r="GC1073" s="65"/>
      <c r="GD1073" s="65"/>
      <c r="GE1073" s="65"/>
      <c r="GF1073" s="65"/>
      <c r="GG1073" s="65"/>
      <c r="GH1073" s="65"/>
      <c r="GI1073" s="65"/>
      <c r="GJ1073" s="65"/>
      <c r="GK1073" s="65"/>
      <c r="GL1073" s="149"/>
      <c r="GM1073" s="149"/>
      <c r="GN1073" s="149"/>
      <c r="GO1073" s="149"/>
      <c r="GP1073" s="149"/>
      <c r="GQ1073" s="345"/>
      <c r="GR1073" s="65"/>
      <c r="GS1073" s="65"/>
      <c r="GT1073" s="65"/>
      <c r="GU1073" s="65"/>
      <c r="GV1073" s="65"/>
      <c r="GW1073" s="82"/>
      <c r="GX1073" s="67"/>
      <c r="GY1073" s="65"/>
    </row>
    <row r="1074" spans="1:207" ht="27" customHeight="1" x14ac:dyDescent="0.15">
      <c r="A1074" s="132">
        <v>1113800666</v>
      </c>
      <c r="B1074" s="108" t="s">
        <v>11649</v>
      </c>
      <c r="C1074" s="108" t="s">
        <v>10451</v>
      </c>
      <c r="D1074" s="108" t="s">
        <v>91</v>
      </c>
      <c r="E1074" s="346" t="s">
        <v>10452</v>
      </c>
      <c r="F1074" s="132" t="s">
        <v>10453</v>
      </c>
      <c r="G1074" s="132" t="s">
        <v>10454</v>
      </c>
      <c r="H1074" s="132" t="s">
        <v>10454</v>
      </c>
      <c r="I1074" s="134"/>
      <c r="J1074" s="134"/>
      <c r="K1074" s="134"/>
      <c r="L1074" s="134"/>
      <c r="M1074" s="134" t="s">
        <v>765</v>
      </c>
      <c r="N1074" s="135" t="s">
        <v>765</v>
      </c>
      <c r="O1074" s="138"/>
      <c r="P1074" s="137"/>
      <c r="Q1074" s="116"/>
      <c r="R1074" s="117"/>
      <c r="S1074" s="105"/>
      <c r="T1074" s="105"/>
      <c r="U1074" s="137"/>
      <c r="V1074" s="116"/>
      <c r="W1074" s="347"/>
      <c r="X1074" s="116"/>
      <c r="Y1074" s="117"/>
      <c r="Z1074" s="105"/>
      <c r="AA1074" s="105">
        <v>20</v>
      </c>
      <c r="AB1074" s="118"/>
      <c r="AC1074" s="118"/>
      <c r="AD1074" s="132" t="s">
        <v>10363</v>
      </c>
      <c r="AE1074" s="80" t="s">
        <v>10455</v>
      </c>
    </row>
    <row r="1075" spans="1:207" ht="27" customHeight="1" x14ac:dyDescent="0.15">
      <c r="A1075" s="132">
        <v>1113800674</v>
      </c>
      <c r="B1075" s="108" t="s">
        <v>11667</v>
      </c>
      <c r="C1075" s="108" t="s">
        <v>10440</v>
      </c>
      <c r="D1075" s="108" t="s">
        <v>91</v>
      </c>
      <c r="E1075" s="346" t="s">
        <v>10441</v>
      </c>
      <c r="F1075" s="132" t="s">
        <v>10442</v>
      </c>
      <c r="G1075" s="132" t="s">
        <v>10443</v>
      </c>
      <c r="H1075" s="132" t="s">
        <v>10444</v>
      </c>
      <c r="I1075" s="133" t="s">
        <v>765</v>
      </c>
      <c r="J1075" s="134" t="s">
        <v>765</v>
      </c>
      <c r="K1075" s="134" t="s">
        <v>765</v>
      </c>
      <c r="L1075" s="134" t="s">
        <v>765</v>
      </c>
      <c r="M1075" s="134" t="s">
        <v>765</v>
      </c>
      <c r="N1075" s="135" t="s">
        <v>765</v>
      </c>
      <c r="O1075" s="136" t="s">
        <v>765</v>
      </c>
      <c r="P1075" s="137"/>
      <c r="Q1075" s="116"/>
      <c r="R1075" s="117"/>
      <c r="S1075" s="105"/>
      <c r="T1075" s="105"/>
      <c r="U1075" s="137"/>
      <c r="V1075" s="116"/>
      <c r="W1075" s="347"/>
      <c r="X1075" s="116"/>
      <c r="Y1075" s="117"/>
      <c r="Z1075" s="105"/>
      <c r="AA1075" s="105">
        <v>20</v>
      </c>
      <c r="AB1075" s="118"/>
      <c r="AC1075" s="118"/>
      <c r="AD1075" s="132" t="s">
        <v>10363</v>
      </c>
      <c r="AE1075" s="80" t="s">
        <v>10445</v>
      </c>
    </row>
    <row r="1076" spans="1:207" s="65" customFormat="1" ht="27" customHeight="1" x14ac:dyDescent="0.15">
      <c r="A1076" s="105">
        <v>1113800682</v>
      </c>
      <c r="B1076" s="130" t="s">
        <v>12052</v>
      </c>
      <c r="C1076" s="108" t="s">
        <v>10817</v>
      </c>
      <c r="D1076" s="108" t="s">
        <v>91</v>
      </c>
      <c r="E1076" s="108" t="s">
        <v>10818</v>
      </c>
      <c r="F1076" s="131" t="s">
        <v>10819</v>
      </c>
      <c r="G1076" s="132" t="s">
        <v>10820</v>
      </c>
      <c r="H1076" s="132" t="s">
        <v>10821</v>
      </c>
      <c r="I1076" s="133" t="s">
        <v>765</v>
      </c>
      <c r="J1076" s="134"/>
      <c r="K1076" s="134"/>
      <c r="L1076" s="142"/>
      <c r="M1076" s="142" t="s">
        <v>765</v>
      </c>
      <c r="N1076" s="143"/>
      <c r="O1076" s="138"/>
      <c r="P1076" s="105"/>
      <c r="Q1076" s="137"/>
      <c r="R1076" s="138"/>
      <c r="S1076" s="105"/>
      <c r="T1076" s="105">
        <v>5</v>
      </c>
      <c r="U1076" s="105"/>
      <c r="V1076" s="116"/>
      <c r="W1076" s="117"/>
      <c r="X1076" s="116"/>
      <c r="Y1076" s="138"/>
      <c r="Z1076" s="105"/>
      <c r="AA1076" s="105"/>
      <c r="AB1076" s="105"/>
      <c r="AC1076" s="105"/>
      <c r="AD1076" s="118">
        <v>45931</v>
      </c>
      <c r="AE1076" s="108" t="s">
        <v>10822</v>
      </c>
    </row>
    <row r="1077" spans="1:207" s="65" customFormat="1" ht="27" customHeight="1" x14ac:dyDescent="0.15">
      <c r="A1077" s="150">
        <v>1113900037</v>
      </c>
      <c r="B1077" s="106" t="s">
        <v>1300</v>
      </c>
      <c r="C1077" s="107" t="s">
        <v>1301</v>
      </c>
      <c r="D1077" s="108" t="s">
        <v>821</v>
      </c>
      <c r="E1077" s="108" t="s">
        <v>1302</v>
      </c>
      <c r="F1077" s="151">
        <v>3480034</v>
      </c>
      <c r="G1077" s="132" t="s">
        <v>1303</v>
      </c>
      <c r="H1077" s="132" t="s">
        <v>1304</v>
      </c>
      <c r="I1077" s="133"/>
      <c r="J1077" s="134"/>
      <c r="K1077" s="134"/>
      <c r="L1077" s="134"/>
      <c r="M1077" s="142" t="s">
        <v>49</v>
      </c>
      <c r="N1077" s="135"/>
      <c r="O1077" s="136"/>
      <c r="P1077" s="105">
        <v>40</v>
      </c>
      <c r="Q1077" s="137" t="s">
        <v>49</v>
      </c>
      <c r="R1077" s="138"/>
      <c r="S1077" s="105"/>
      <c r="T1077" s="105">
        <v>50</v>
      </c>
      <c r="U1077" s="105"/>
      <c r="V1077" s="116"/>
      <c r="W1077" s="117"/>
      <c r="X1077" s="116"/>
      <c r="Y1077" s="138"/>
      <c r="Z1077" s="105"/>
      <c r="AA1077" s="105">
        <v>20</v>
      </c>
      <c r="AB1077" s="105"/>
      <c r="AC1077" s="105"/>
      <c r="AD1077" s="144">
        <v>40634</v>
      </c>
      <c r="AE1077" s="108" t="s">
        <v>1305</v>
      </c>
    </row>
    <row r="1078" spans="1:207" s="65" customFormat="1" ht="27" customHeight="1" x14ac:dyDescent="0.15">
      <c r="A1078" s="105">
        <v>1113900045</v>
      </c>
      <c r="B1078" s="106" t="s">
        <v>1877</v>
      </c>
      <c r="C1078" s="107" t="s">
        <v>1878</v>
      </c>
      <c r="D1078" s="108" t="s">
        <v>1879</v>
      </c>
      <c r="E1078" s="108" t="s">
        <v>7950</v>
      </c>
      <c r="F1078" s="139">
        <v>3488530</v>
      </c>
      <c r="G1078" s="140" t="s">
        <v>1880</v>
      </c>
      <c r="H1078" s="140" t="s">
        <v>1881</v>
      </c>
      <c r="I1078" s="141"/>
      <c r="J1078" s="142"/>
      <c r="K1078" s="142"/>
      <c r="L1078" s="142"/>
      <c r="M1078" s="142" t="s">
        <v>49</v>
      </c>
      <c r="N1078" s="143"/>
      <c r="O1078" s="138"/>
      <c r="P1078" s="105">
        <v>80</v>
      </c>
      <c r="Q1078" s="137" t="s">
        <v>49</v>
      </c>
      <c r="R1078" s="138"/>
      <c r="S1078" s="105"/>
      <c r="T1078" s="105">
        <v>80</v>
      </c>
      <c r="U1078" s="105"/>
      <c r="V1078" s="116"/>
      <c r="W1078" s="117"/>
      <c r="X1078" s="116"/>
      <c r="Y1078" s="138"/>
      <c r="Z1078" s="105"/>
      <c r="AA1078" s="105"/>
      <c r="AB1078" s="105"/>
      <c r="AC1078" s="105"/>
      <c r="AD1078" s="144">
        <v>41000</v>
      </c>
      <c r="AE1078" s="108" t="s">
        <v>1911</v>
      </c>
    </row>
    <row r="1079" spans="1:207" s="65" customFormat="1" ht="27" customHeight="1" x14ac:dyDescent="0.15">
      <c r="A1079" s="105">
        <v>1113900060</v>
      </c>
      <c r="B1079" s="106" t="s">
        <v>1877</v>
      </c>
      <c r="C1079" s="107" t="s">
        <v>1882</v>
      </c>
      <c r="D1079" s="108" t="s">
        <v>1879</v>
      </c>
      <c r="E1079" s="108" t="s">
        <v>11227</v>
      </c>
      <c r="F1079" s="139">
        <v>3488530</v>
      </c>
      <c r="G1079" s="140" t="s">
        <v>1880</v>
      </c>
      <c r="H1079" s="140" t="s">
        <v>1881</v>
      </c>
      <c r="I1079" s="141"/>
      <c r="J1079" s="142"/>
      <c r="K1079" s="142"/>
      <c r="L1079" s="142"/>
      <c r="M1079" s="142" t="s">
        <v>49</v>
      </c>
      <c r="N1079" s="143"/>
      <c r="O1079" s="138"/>
      <c r="P1079" s="105">
        <v>140</v>
      </c>
      <c r="Q1079" s="137"/>
      <c r="R1079" s="138">
        <v>7</v>
      </c>
      <c r="S1079" s="105"/>
      <c r="T1079" s="105">
        <v>140</v>
      </c>
      <c r="U1079" s="105"/>
      <c r="V1079" s="116"/>
      <c r="W1079" s="117"/>
      <c r="X1079" s="137"/>
      <c r="Y1079" s="138"/>
      <c r="Z1079" s="105"/>
      <c r="AA1079" s="105"/>
      <c r="AB1079" s="105"/>
      <c r="AC1079" s="105"/>
      <c r="AD1079" s="144">
        <v>41000</v>
      </c>
      <c r="AE1079" s="108" t="s">
        <v>1911</v>
      </c>
    </row>
    <row r="1080" spans="1:207" ht="27" customHeight="1" x14ac:dyDescent="0.15">
      <c r="A1080" s="150">
        <v>1113900078</v>
      </c>
      <c r="B1080" s="106" t="s">
        <v>1300</v>
      </c>
      <c r="C1080" s="107" t="s">
        <v>2845</v>
      </c>
      <c r="D1080" s="108" t="s">
        <v>821</v>
      </c>
      <c r="E1080" s="108" t="s">
        <v>2846</v>
      </c>
      <c r="F1080" s="139" t="s">
        <v>2016</v>
      </c>
      <c r="G1080" s="132" t="s">
        <v>2847</v>
      </c>
      <c r="H1080" s="132" t="s">
        <v>2848</v>
      </c>
      <c r="I1080" s="133"/>
      <c r="J1080" s="134"/>
      <c r="K1080" s="134"/>
      <c r="L1080" s="134"/>
      <c r="M1080" s="134" t="s">
        <v>49</v>
      </c>
      <c r="N1080" s="135"/>
      <c r="O1080" s="136"/>
      <c r="P1080" s="105">
        <v>50</v>
      </c>
      <c r="Q1080" s="152" t="s">
        <v>456</v>
      </c>
      <c r="R1080" s="138">
        <v>5</v>
      </c>
      <c r="S1080" s="105"/>
      <c r="T1080" s="105">
        <v>50</v>
      </c>
      <c r="U1080" s="105"/>
      <c r="V1080" s="137"/>
      <c r="W1080" s="138"/>
      <c r="X1080" s="137"/>
      <c r="Y1080" s="138"/>
      <c r="Z1080" s="105"/>
      <c r="AA1080" s="105"/>
      <c r="AB1080" s="105"/>
      <c r="AC1080" s="105"/>
      <c r="AD1080" s="144">
        <v>40634</v>
      </c>
      <c r="AE1080" s="108" t="s">
        <v>2673</v>
      </c>
    </row>
    <row r="1081" spans="1:207" ht="27" customHeight="1" x14ac:dyDescent="0.15">
      <c r="A1081" s="150">
        <v>1113900086</v>
      </c>
      <c r="B1081" s="106" t="s">
        <v>433</v>
      </c>
      <c r="C1081" s="263" t="s">
        <v>1174</v>
      </c>
      <c r="D1081" s="215" t="s">
        <v>1171</v>
      </c>
      <c r="E1081" s="361" t="s">
        <v>1172</v>
      </c>
      <c r="F1081" s="362">
        <v>3480056</v>
      </c>
      <c r="G1081" s="363" t="s">
        <v>1173</v>
      </c>
      <c r="H1081" s="132" t="s">
        <v>1175</v>
      </c>
      <c r="I1081" s="160" t="s">
        <v>49</v>
      </c>
      <c r="J1081" s="142" t="s">
        <v>49</v>
      </c>
      <c r="K1081" s="142" t="s">
        <v>49</v>
      </c>
      <c r="L1081" s="142" t="s">
        <v>49</v>
      </c>
      <c r="M1081" s="142" t="s">
        <v>49</v>
      </c>
      <c r="N1081" s="143"/>
      <c r="O1081" s="138"/>
      <c r="P1081" s="105">
        <v>30</v>
      </c>
      <c r="Q1081" s="137"/>
      <c r="R1081" s="138"/>
      <c r="S1081" s="105"/>
      <c r="T1081" s="105">
        <v>30</v>
      </c>
      <c r="U1081" s="105"/>
      <c r="V1081" s="137"/>
      <c r="W1081" s="138"/>
      <c r="X1081" s="137"/>
      <c r="Y1081" s="138"/>
      <c r="Z1081" s="105"/>
      <c r="AA1081" s="105">
        <v>10</v>
      </c>
      <c r="AB1081" s="105"/>
      <c r="AC1081" s="105"/>
      <c r="AD1081" s="144">
        <v>40634</v>
      </c>
      <c r="AE1081" s="108" t="s">
        <v>1176</v>
      </c>
    </row>
    <row r="1082" spans="1:207" ht="27" customHeight="1" x14ac:dyDescent="0.15">
      <c r="A1082" s="150">
        <v>1113900102</v>
      </c>
      <c r="B1082" s="106" t="s">
        <v>433</v>
      </c>
      <c r="C1082" s="107" t="s">
        <v>9417</v>
      </c>
      <c r="D1082" s="157" t="s">
        <v>1879</v>
      </c>
      <c r="E1082" s="108" t="s">
        <v>9418</v>
      </c>
      <c r="F1082" s="139">
        <v>3480056</v>
      </c>
      <c r="G1082" s="152" t="s">
        <v>9419</v>
      </c>
      <c r="H1082" s="132" t="s">
        <v>9420</v>
      </c>
      <c r="I1082" s="183" t="s">
        <v>765</v>
      </c>
      <c r="J1082" s="154" t="s">
        <v>765</v>
      </c>
      <c r="K1082" s="154" t="s">
        <v>765</v>
      </c>
      <c r="L1082" s="154" t="s">
        <v>765</v>
      </c>
      <c r="M1082" s="154" t="s">
        <v>765</v>
      </c>
      <c r="N1082" s="143" t="s">
        <v>765</v>
      </c>
      <c r="O1082" s="138" t="s">
        <v>765</v>
      </c>
      <c r="P1082" s="105">
        <v>60</v>
      </c>
      <c r="Q1082" s="137" t="s">
        <v>765</v>
      </c>
      <c r="R1082" s="138">
        <v>4</v>
      </c>
      <c r="S1082" s="150"/>
      <c r="T1082" s="150">
        <v>60</v>
      </c>
      <c r="U1082" s="105"/>
      <c r="V1082" s="137"/>
      <c r="W1082" s="138"/>
      <c r="X1082" s="137"/>
      <c r="Y1082" s="187"/>
      <c r="Z1082" s="105"/>
      <c r="AA1082" s="105"/>
      <c r="AB1082" s="105"/>
      <c r="AC1082" s="105"/>
      <c r="AD1082" s="144">
        <v>39904</v>
      </c>
      <c r="AE1082" s="108" t="s">
        <v>211</v>
      </c>
    </row>
    <row r="1083" spans="1:207" ht="27" customHeight="1" x14ac:dyDescent="0.15">
      <c r="A1083" s="150">
        <v>1113900110</v>
      </c>
      <c r="B1083" s="106" t="s">
        <v>1093</v>
      </c>
      <c r="C1083" s="108" t="s">
        <v>1094</v>
      </c>
      <c r="D1083" s="108" t="s">
        <v>821</v>
      </c>
      <c r="E1083" s="108" t="s">
        <v>1095</v>
      </c>
      <c r="F1083" s="156">
        <v>3480025</v>
      </c>
      <c r="G1083" s="152" t="s">
        <v>1096</v>
      </c>
      <c r="H1083" s="132" t="s">
        <v>1097</v>
      </c>
      <c r="I1083" s="116" t="s">
        <v>49</v>
      </c>
      <c r="J1083" s="154" t="s">
        <v>49</v>
      </c>
      <c r="K1083" s="154" t="s">
        <v>49</v>
      </c>
      <c r="L1083" s="154" t="s">
        <v>1091</v>
      </c>
      <c r="M1083" s="154" t="s">
        <v>1091</v>
      </c>
      <c r="N1083" s="143" t="s">
        <v>1091</v>
      </c>
      <c r="O1083" s="138" t="s">
        <v>2170</v>
      </c>
      <c r="P1083" s="105"/>
      <c r="Q1083" s="137"/>
      <c r="R1083" s="138"/>
      <c r="S1083" s="105"/>
      <c r="T1083" s="105"/>
      <c r="U1083" s="105"/>
      <c r="V1083" s="116"/>
      <c r="W1083" s="117"/>
      <c r="X1083" s="137"/>
      <c r="Y1083" s="138"/>
      <c r="Z1083" s="105"/>
      <c r="AA1083" s="105">
        <v>20</v>
      </c>
      <c r="AB1083" s="105"/>
      <c r="AC1083" s="105"/>
      <c r="AD1083" s="118">
        <v>40544</v>
      </c>
      <c r="AE1083" s="108" t="s">
        <v>1098</v>
      </c>
    </row>
    <row r="1084" spans="1:207" ht="27" customHeight="1" x14ac:dyDescent="0.15">
      <c r="A1084" s="150">
        <v>1113900128</v>
      </c>
      <c r="B1084" s="106" t="s">
        <v>940</v>
      </c>
      <c r="C1084" s="108" t="s">
        <v>1000</v>
      </c>
      <c r="D1084" s="108" t="s">
        <v>883</v>
      </c>
      <c r="E1084" s="108" t="s">
        <v>1525</v>
      </c>
      <c r="F1084" s="156">
        <v>3480022</v>
      </c>
      <c r="G1084" s="132" t="s">
        <v>900</v>
      </c>
      <c r="H1084" s="132" t="s">
        <v>901</v>
      </c>
      <c r="I1084" s="116" t="s">
        <v>939</v>
      </c>
      <c r="J1084" s="154" t="s">
        <v>939</v>
      </c>
      <c r="K1084" s="154" t="s">
        <v>939</v>
      </c>
      <c r="L1084" s="154"/>
      <c r="M1084" s="154"/>
      <c r="N1084" s="143"/>
      <c r="O1084" s="138"/>
      <c r="P1084" s="105">
        <v>50</v>
      </c>
      <c r="Q1084" s="137" t="s">
        <v>2681</v>
      </c>
      <c r="R1084" s="138">
        <v>4</v>
      </c>
      <c r="S1084" s="105"/>
      <c r="T1084" s="105">
        <v>60</v>
      </c>
      <c r="U1084" s="105"/>
      <c r="V1084" s="116"/>
      <c r="W1084" s="117"/>
      <c r="X1084" s="116"/>
      <c r="Y1084" s="138"/>
      <c r="Z1084" s="105"/>
      <c r="AA1084" s="105"/>
      <c r="AB1084" s="105"/>
      <c r="AC1084" s="105"/>
      <c r="AD1084" s="118">
        <v>40269</v>
      </c>
      <c r="AE1084" s="108" t="s">
        <v>1001</v>
      </c>
    </row>
    <row r="1085" spans="1:207" ht="27" customHeight="1" x14ac:dyDescent="0.15">
      <c r="A1085" s="105">
        <v>1113900151</v>
      </c>
      <c r="B1085" s="130" t="s">
        <v>3818</v>
      </c>
      <c r="C1085" s="108" t="s">
        <v>5593</v>
      </c>
      <c r="D1085" s="108" t="s">
        <v>92</v>
      </c>
      <c r="E1085" s="108" t="s">
        <v>5594</v>
      </c>
      <c r="F1085" s="131">
        <v>3480052</v>
      </c>
      <c r="G1085" s="132" t="s">
        <v>2220</v>
      </c>
      <c r="H1085" s="132" t="s">
        <v>2220</v>
      </c>
      <c r="I1085" s="133"/>
      <c r="J1085" s="134"/>
      <c r="K1085" s="134"/>
      <c r="L1085" s="134"/>
      <c r="M1085" s="134" t="s">
        <v>49</v>
      </c>
      <c r="N1085" s="135" t="s">
        <v>49</v>
      </c>
      <c r="O1085" s="136"/>
      <c r="P1085" s="105"/>
      <c r="Q1085" s="116"/>
      <c r="R1085" s="138"/>
      <c r="S1085" s="105"/>
      <c r="T1085" s="105"/>
      <c r="U1085" s="105"/>
      <c r="V1085" s="116"/>
      <c r="W1085" s="138"/>
      <c r="X1085" s="116">
        <v>6</v>
      </c>
      <c r="Y1085" s="138"/>
      <c r="Z1085" s="105"/>
      <c r="AA1085" s="105">
        <v>34</v>
      </c>
      <c r="AB1085" s="105"/>
      <c r="AC1085" s="105"/>
      <c r="AD1085" s="118">
        <v>39508</v>
      </c>
      <c r="AE1085" s="108" t="s">
        <v>5595</v>
      </c>
    </row>
    <row r="1086" spans="1:207" s="65" customFormat="1" ht="27" customHeight="1" x14ac:dyDescent="0.15">
      <c r="A1086" s="105">
        <v>1113900169</v>
      </c>
      <c r="B1086" s="106" t="s">
        <v>412</v>
      </c>
      <c r="C1086" s="107" t="s">
        <v>11251</v>
      </c>
      <c r="D1086" s="108" t="s">
        <v>92</v>
      </c>
      <c r="E1086" s="108" t="s">
        <v>7367</v>
      </c>
      <c r="F1086" s="139">
        <v>3480003</v>
      </c>
      <c r="G1086" s="140" t="s">
        <v>822</v>
      </c>
      <c r="H1086" s="140" t="s">
        <v>7368</v>
      </c>
      <c r="I1086" s="141" t="s">
        <v>49</v>
      </c>
      <c r="J1086" s="142" t="s">
        <v>49</v>
      </c>
      <c r="K1086" s="142" t="s">
        <v>49</v>
      </c>
      <c r="L1086" s="142" t="s">
        <v>49</v>
      </c>
      <c r="M1086" s="142" t="s">
        <v>49</v>
      </c>
      <c r="N1086" s="143" t="s">
        <v>49</v>
      </c>
      <c r="O1086" s="138" t="s">
        <v>49</v>
      </c>
      <c r="P1086" s="105"/>
      <c r="Q1086" s="116"/>
      <c r="R1086" s="138"/>
      <c r="S1086" s="105"/>
      <c r="T1086" s="105"/>
      <c r="U1086" s="105"/>
      <c r="V1086" s="116"/>
      <c r="W1086" s="138"/>
      <c r="X1086" s="116"/>
      <c r="Y1086" s="138"/>
      <c r="Z1086" s="105"/>
      <c r="AA1086" s="105">
        <v>30</v>
      </c>
      <c r="AB1086" s="105"/>
      <c r="AC1086" s="105"/>
      <c r="AD1086" s="144">
        <v>39903</v>
      </c>
      <c r="AE1086" s="108" t="s">
        <v>457</v>
      </c>
    </row>
    <row r="1087" spans="1:207" ht="27" customHeight="1" x14ac:dyDescent="0.15">
      <c r="A1087" s="105">
        <v>1113900169</v>
      </c>
      <c r="B1087" s="106" t="s">
        <v>11233</v>
      </c>
      <c r="C1087" s="107" t="s">
        <v>11234</v>
      </c>
      <c r="D1087" s="108" t="s">
        <v>92</v>
      </c>
      <c r="E1087" s="108" t="s">
        <v>7367</v>
      </c>
      <c r="F1087" s="139">
        <v>3480003</v>
      </c>
      <c r="G1087" s="140" t="s">
        <v>11235</v>
      </c>
      <c r="H1087" s="140" t="s">
        <v>11236</v>
      </c>
      <c r="I1087" s="141" t="s">
        <v>765</v>
      </c>
      <c r="J1087" s="142" t="s">
        <v>765</v>
      </c>
      <c r="K1087" s="142" t="s">
        <v>765</v>
      </c>
      <c r="L1087" s="142" t="s">
        <v>765</v>
      </c>
      <c r="M1087" s="142" t="s">
        <v>765</v>
      </c>
      <c r="N1087" s="143" t="s">
        <v>765</v>
      </c>
      <c r="O1087" s="138" t="s">
        <v>765</v>
      </c>
      <c r="P1087" s="105"/>
      <c r="Q1087" s="137"/>
      <c r="R1087" s="138"/>
      <c r="S1087" s="105"/>
      <c r="T1087" s="105"/>
      <c r="U1087" s="105"/>
      <c r="V1087" s="116"/>
      <c r="W1087" s="117"/>
      <c r="X1087" s="137"/>
      <c r="Y1087" s="138"/>
      <c r="Z1087" s="105"/>
      <c r="AA1087" s="105"/>
      <c r="AB1087" s="105"/>
      <c r="AC1087" s="105">
        <v>10</v>
      </c>
      <c r="AD1087" s="144">
        <v>46082</v>
      </c>
      <c r="AE1087" s="108" t="s">
        <v>11237</v>
      </c>
    </row>
    <row r="1088" spans="1:207" ht="27" customHeight="1" x14ac:dyDescent="0.15">
      <c r="A1088" s="105">
        <v>1113900201</v>
      </c>
      <c r="B1088" s="106" t="s">
        <v>1431</v>
      </c>
      <c r="C1088" s="107" t="s">
        <v>1353</v>
      </c>
      <c r="D1088" s="108" t="s">
        <v>92</v>
      </c>
      <c r="E1088" s="108" t="s">
        <v>1354</v>
      </c>
      <c r="F1088" s="139">
        <v>3480033</v>
      </c>
      <c r="G1088" s="140" t="s">
        <v>1355</v>
      </c>
      <c r="H1088" s="140" t="s">
        <v>1355</v>
      </c>
      <c r="I1088" s="141"/>
      <c r="J1088" s="142"/>
      <c r="K1088" s="142"/>
      <c r="L1088" s="142"/>
      <c r="M1088" s="142" t="s">
        <v>49</v>
      </c>
      <c r="N1088" s="143"/>
      <c r="O1088" s="138"/>
      <c r="P1088" s="105"/>
      <c r="Q1088" s="137"/>
      <c r="R1088" s="138"/>
      <c r="S1088" s="105"/>
      <c r="T1088" s="105"/>
      <c r="U1088" s="105"/>
      <c r="V1088" s="116"/>
      <c r="W1088" s="117"/>
      <c r="X1088" s="116"/>
      <c r="Y1088" s="138"/>
      <c r="Z1088" s="105"/>
      <c r="AA1088" s="105">
        <v>40</v>
      </c>
      <c r="AB1088" s="105"/>
      <c r="AC1088" s="105"/>
      <c r="AD1088" s="144">
        <v>40634</v>
      </c>
      <c r="AE1088" s="108" t="s">
        <v>1387</v>
      </c>
    </row>
    <row r="1089" spans="1:31" ht="27" customHeight="1" x14ac:dyDescent="0.15">
      <c r="A1089" s="105">
        <v>1113900342</v>
      </c>
      <c r="B1089" s="130" t="s">
        <v>2435</v>
      </c>
      <c r="C1089" s="108" t="s">
        <v>3583</v>
      </c>
      <c r="D1089" s="108" t="s">
        <v>92</v>
      </c>
      <c r="E1089" s="108" t="s">
        <v>2436</v>
      </c>
      <c r="F1089" s="131" t="s">
        <v>3584</v>
      </c>
      <c r="G1089" s="132" t="s">
        <v>3585</v>
      </c>
      <c r="H1089" s="132" t="s">
        <v>3586</v>
      </c>
      <c r="I1089" s="133" t="s">
        <v>3587</v>
      </c>
      <c r="J1089" s="134" t="s">
        <v>3587</v>
      </c>
      <c r="K1089" s="134" t="s">
        <v>3587</v>
      </c>
      <c r="L1089" s="134" t="s">
        <v>3587</v>
      </c>
      <c r="M1089" s="134" t="s">
        <v>3587</v>
      </c>
      <c r="N1089" s="135" t="s">
        <v>3587</v>
      </c>
      <c r="O1089" s="136" t="s">
        <v>3587</v>
      </c>
      <c r="P1089" s="105"/>
      <c r="Q1089" s="137"/>
      <c r="R1089" s="138"/>
      <c r="S1089" s="105"/>
      <c r="T1089" s="105">
        <v>20</v>
      </c>
      <c r="U1089" s="105"/>
      <c r="V1089" s="137"/>
      <c r="W1089" s="138"/>
      <c r="X1089" s="152"/>
      <c r="Y1089" s="138"/>
      <c r="Z1089" s="105"/>
      <c r="AA1089" s="105"/>
      <c r="AB1089" s="105"/>
      <c r="AC1089" s="105"/>
      <c r="AD1089" s="118">
        <v>41730</v>
      </c>
      <c r="AE1089" s="108" t="s">
        <v>2437</v>
      </c>
    </row>
    <row r="1090" spans="1:31" s="65" customFormat="1" ht="27" customHeight="1" x14ac:dyDescent="0.15">
      <c r="A1090" s="105">
        <v>1113900383</v>
      </c>
      <c r="B1090" s="130" t="s">
        <v>1639</v>
      </c>
      <c r="C1090" s="108" t="s">
        <v>3317</v>
      </c>
      <c r="D1090" s="108" t="s">
        <v>92</v>
      </c>
      <c r="E1090" s="215" t="s">
        <v>3318</v>
      </c>
      <c r="F1090" s="216" t="s">
        <v>3319</v>
      </c>
      <c r="G1090" s="152" t="s">
        <v>3395</v>
      </c>
      <c r="H1090" s="132" t="s">
        <v>3395</v>
      </c>
      <c r="I1090" s="183"/>
      <c r="J1090" s="134"/>
      <c r="K1090" s="134"/>
      <c r="L1090" s="134"/>
      <c r="M1090" s="134" t="s">
        <v>49</v>
      </c>
      <c r="N1090" s="135"/>
      <c r="O1090" s="136"/>
      <c r="P1090" s="105"/>
      <c r="Q1090" s="137"/>
      <c r="R1090" s="138"/>
      <c r="S1090" s="105"/>
      <c r="T1090" s="105">
        <v>20</v>
      </c>
      <c r="U1090" s="105"/>
      <c r="V1090" s="137"/>
      <c r="W1090" s="138"/>
      <c r="X1090" s="137"/>
      <c r="Y1090" s="138"/>
      <c r="Z1090" s="105"/>
      <c r="AA1090" s="105"/>
      <c r="AB1090" s="105"/>
      <c r="AC1090" s="105"/>
      <c r="AD1090" s="118">
        <v>45047</v>
      </c>
      <c r="AE1090" s="108" t="s">
        <v>3320</v>
      </c>
    </row>
    <row r="1091" spans="1:31" s="65" customFormat="1" ht="27" customHeight="1" x14ac:dyDescent="0.15">
      <c r="A1091" s="132">
        <v>1113900466</v>
      </c>
      <c r="B1091" s="130" t="s">
        <v>4767</v>
      </c>
      <c r="C1091" s="108" t="s">
        <v>4768</v>
      </c>
      <c r="D1091" s="108" t="s">
        <v>92</v>
      </c>
      <c r="E1091" s="108" t="s">
        <v>4769</v>
      </c>
      <c r="F1091" s="139" t="s">
        <v>4770</v>
      </c>
      <c r="G1091" s="140" t="s">
        <v>4771</v>
      </c>
      <c r="H1091" s="140" t="s">
        <v>4772</v>
      </c>
      <c r="I1091" s="141"/>
      <c r="J1091" s="142"/>
      <c r="K1091" s="142"/>
      <c r="L1091" s="142"/>
      <c r="M1091" s="142" t="s">
        <v>49</v>
      </c>
      <c r="N1091" s="143" t="s">
        <v>49</v>
      </c>
      <c r="O1091" s="138"/>
      <c r="P1091" s="105"/>
      <c r="Q1091" s="137"/>
      <c r="R1091" s="138"/>
      <c r="S1091" s="105"/>
      <c r="T1091" s="105"/>
      <c r="U1091" s="105"/>
      <c r="V1091" s="116"/>
      <c r="W1091" s="117"/>
      <c r="X1091" s="137"/>
      <c r="Y1091" s="138"/>
      <c r="Z1091" s="105"/>
      <c r="AA1091" s="105">
        <v>38</v>
      </c>
      <c r="AB1091" s="105"/>
      <c r="AC1091" s="105"/>
      <c r="AD1091" s="144">
        <v>43405</v>
      </c>
      <c r="AE1091" s="108" t="s">
        <v>4773</v>
      </c>
    </row>
    <row r="1092" spans="1:31" ht="27" customHeight="1" x14ac:dyDescent="0.15">
      <c r="A1092" s="132">
        <v>1113900490</v>
      </c>
      <c r="B1092" s="130" t="s">
        <v>6435</v>
      </c>
      <c r="C1092" s="108" t="s">
        <v>1637</v>
      </c>
      <c r="D1092" s="108" t="s">
        <v>92</v>
      </c>
      <c r="E1092" s="108" t="s">
        <v>6436</v>
      </c>
      <c r="F1092" s="139" t="s">
        <v>4770</v>
      </c>
      <c r="G1092" s="140" t="s">
        <v>6437</v>
      </c>
      <c r="H1092" s="140" t="s">
        <v>6438</v>
      </c>
      <c r="I1092" s="141" t="s">
        <v>6433</v>
      </c>
      <c r="J1092" s="142" t="s">
        <v>6433</v>
      </c>
      <c r="K1092" s="142" t="s">
        <v>6433</v>
      </c>
      <c r="L1092" s="142" t="s">
        <v>6433</v>
      </c>
      <c r="M1092" s="142" t="s">
        <v>49</v>
      </c>
      <c r="N1092" s="143" t="s">
        <v>49</v>
      </c>
      <c r="O1092" s="138" t="s">
        <v>6433</v>
      </c>
      <c r="P1092" s="105"/>
      <c r="Q1092" s="137"/>
      <c r="R1092" s="138"/>
      <c r="S1092" s="105"/>
      <c r="T1092" s="105"/>
      <c r="U1092" s="105"/>
      <c r="V1092" s="116"/>
      <c r="W1092" s="117"/>
      <c r="X1092" s="137"/>
      <c r="Y1092" s="138"/>
      <c r="Z1092" s="105"/>
      <c r="AA1092" s="105">
        <v>40</v>
      </c>
      <c r="AB1092" s="105"/>
      <c r="AC1092" s="105"/>
      <c r="AD1092" s="118">
        <v>44166</v>
      </c>
      <c r="AE1092" s="108" t="s">
        <v>6439</v>
      </c>
    </row>
    <row r="1093" spans="1:31" s="65" customFormat="1" ht="27" customHeight="1" x14ac:dyDescent="0.15">
      <c r="A1093" s="105">
        <v>1113900508</v>
      </c>
      <c r="B1093" s="130" t="s">
        <v>6632</v>
      </c>
      <c r="C1093" s="108" t="s">
        <v>6633</v>
      </c>
      <c r="D1093" s="108" t="s">
        <v>92</v>
      </c>
      <c r="E1093" s="108" t="s">
        <v>6634</v>
      </c>
      <c r="F1093" s="131" t="s">
        <v>6635</v>
      </c>
      <c r="G1093" s="132" t="s">
        <v>6636</v>
      </c>
      <c r="H1093" s="132" t="s">
        <v>6637</v>
      </c>
      <c r="I1093" s="133"/>
      <c r="J1093" s="134"/>
      <c r="K1093" s="135"/>
      <c r="L1093" s="134"/>
      <c r="M1093" s="134" t="s">
        <v>765</v>
      </c>
      <c r="N1093" s="135" t="s">
        <v>6433</v>
      </c>
      <c r="O1093" s="136"/>
      <c r="P1093" s="105"/>
      <c r="Q1093" s="137"/>
      <c r="R1093" s="138"/>
      <c r="S1093" s="105"/>
      <c r="T1093" s="105"/>
      <c r="U1093" s="105"/>
      <c r="V1093" s="137"/>
      <c r="W1093" s="138"/>
      <c r="X1093" s="137">
        <v>12</v>
      </c>
      <c r="Y1093" s="138"/>
      <c r="Z1093" s="105"/>
      <c r="AA1093" s="105"/>
      <c r="AB1093" s="105"/>
      <c r="AC1093" s="105"/>
      <c r="AD1093" s="118">
        <v>44287</v>
      </c>
      <c r="AE1093" s="108" t="s">
        <v>6638</v>
      </c>
    </row>
    <row r="1094" spans="1:31" s="65" customFormat="1" ht="27" customHeight="1" x14ac:dyDescent="0.15">
      <c r="A1094" s="105">
        <v>1113900516</v>
      </c>
      <c r="B1094" s="130" t="s">
        <v>7876</v>
      </c>
      <c r="C1094" s="107" t="s">
        <v>823</v>
      </c>
      <c r="D1094" s="108" t="s">
        <v>92</v>
      </c>
      <c r="E1094" s="108" t="s">
        <v>824</v>
      </c>
      <c r="F1094" s="139">
        <v>3480025</v>
      </c>
      <c r="G1094" s="140" t="s">
        <v>825</v>
      </c>
      <c r="H1094" s="140" t="s">
        <v>826</v>
      </c>
      <c r="I1094" s="141" t="s">
        <v>250</v>
      </c>
      <c r="J1094" s="142" t="s">
        <v>250</v>
      </c>
      <c r="K1094" s="142" t="s">
        <v>250</v>
      </c>
      <c r="L1094" s="142" t="s">
        <v>250</v>
      </c>
      <c r="M1094" s="142" t="s">
        <v>49</v>
      </c>
      <c r="N1094" s="143" t="s">
        <v>49</v>
      </c>
      <c r="O1094" s="138"/>
      <c r="P1094" s="105"/>
      <c r="Q1094" s="137"/>
      <c r="R1094" s="138"/>
      <c r="S1094" s="105"/>
      <c r="T1094" s="105"/>
      <c r="U1094" s="105"/>
      <c r="V1094" s="137"/>
      <c r="W1094" s="138"/>
      <c r="X1094" s="137">
        <v>12</v>
      </c>
      <c r="Y1094" s="138"/>
      <c r="Z1094" s="105"/>
      <c r="AA1094" s="105">
        <v>24</v>
      </c>
      <c r="AB1094" s="105"/>
      <c r="AC1094" s="105"/>
      <c r="AD1094" s="144">
        <v>44835</v>
      </c>
      <c r="AE1094" s="108" t="s">
        <v>999</v>
      </c>
    </row>
    <row r="1095" spans="1:31" s="65" customFormat="1" ht="27" customHeight="1" x14ac:dyDescent="0.15">
      <c r="A1095" s="105">
        <v>1113900532</v>
      </c>
      <c r="B1095" s="106" t="s">
        <v>8383</v>
      </c>
      <c r="C1095" s="107" t="s">
        <v>8384</v>
      </c>
      <c r="D1095" s="108" t="s">
        <v>821</v>
      </c>
      <c r="E1095" s="108" t="s">
        <v>8385</v>
      </c>
      <c r="F1095" s="131" t="s">
        <v>8386</v>
      </c>
      <c r="G1095" s="132" t="s">
        <v>8387</v>
      </c>
      <c r="H1095" s="132" t="s">
        <v>8387</v>
      </c>
      <c r="I1095" s="133"/>
      <c r="J1095" s="134"/>
      <c r="K1095" s="134"/>
      <c r="L1095" s="134"/>
      <c r="M1095" s="134" t="s">
        <v>49</v>
      </c>
      <c r="N1095" s="134" t="s">
        <v>49</v>
      </c>
      <c r="O1095" s="136"/>
      <c r="P1095" s="105"/>
      <c r="Q1095" s="137"/>
      <c r="R1095" s="138"/>
      <c r="S1095" s="105"/>
      <c r="T1095" s="105"/>
      <c r="U1095" s="105"/>
      <c r="V1095" s="137"/>
      <c r="W1095" s="138"/>
      <c r="X1095" s="137"/>
      <c r="Y1095" s="138"/>
      <c r="Z1095" s="105"/>
      <c r="AA1095" s="105">
        <v>20</v>
      </c>
      <c r="AB1095" s="105"/>
      <c r="AC1095" s="105"/>
      <c r="AD1095" s="155">
        <v>45078</v>
      </c>
      <c r="AE1095" s="108" t="s">
        <v>8388</v>
      </c>
    </row>
    <row r="1096" spans="1:31" ht="27" customHeight="1" x14ac:dyDescent="0.15">
      <c r="A1096" s="105">
        <v>1113900540</v>
      </c>
      <c r="B1096" s="130" t="s">
        <v>8517</v>
      </c>
      <c r="C1096" s="108" t="s">
        <v>2158</v>
      </c>
      <c r="D1096" s="108" t="s">
        <v>92</v>
      </c>
      <c r="E1096" s="108" t="s">
        <v>2193</v>
      </c>
      <c r="F1096" s="131" t="s">
        <v>2194</v>
      </c>
      <c r="G1096" s="132" t="s">
        <v>2195</v>
      </c>
      <c r="H1096" s="132" t="s">
        <v>4054</v>
      </c>
      <c r="I1096" s="133" t="s">
        <v>49</v>
      </c>
      <c r="J1096" s="134" t="s">
        <v>49</v>
      </c>
      <c r="K1096" s="134" t="s">
        <v>49</v>
      </c>
      <c r="L1096" s="134" t="s">
        <v>49</v>
      </c>
      <c r="M1096" s="134" t="s">
        <v>49</v>
      </c>
      <c r="N1096" s="134" t="s">
        <v>49</v>
      </c>
      <c r="O1096" s="136" t="s">
        <v>49</v>
      </c>
      <c r="P1096" s="132"/>
      <c r="Q1096" s="152"/>
      <c r="R1096" s="136"/>
      <c r="S1096" s="132"/>
      <c r="T1096" s="132">
        <v>20</v>
      </c>
      <c r="U1096" s="132"/>
      <c r="V1096" s="152"/>
      <c r="W1096" s="136"/>
      <c r="X1096" s="152"/>
      <c r="Y1096" s="136"/>
      <c r="Z1096" s="132"/>
      <c r="AA1096" s="105"/>
      <c r="AB1096" s="105"/>
      <c r="AC1096" s="105"/>
      <c r="AD1096" s="118">
        <v>45139</v>
      </c>
      <c r="AE1096" s="108" t="s">
        <v>2196</v>
      </c>
    </row>
    <row r="1097" spans="1:31" s="65" customFormat="1" ht="27" customHeight="1" x14ac:dyDescent="0.15">
      <c r="A1097" s="150">
        <v>1113900573</v>
      </c>
      <c r="B1097" s="106" t="s">
        <v>433</v>
      </c>
      <c r="C1097" s="107" t="s">
        <v>9421</v>
      </c>
      <c r="D1097" s="157" t="s">
        <v>1879</v>
      </c>
      <c r="E1097" s="108" t="s">
        <v>9422</v>
      </c>
      <c r="F1097" s="139">
        <v>3480056</v>
      </c>
      <c r="G1097" s="152" t="s">
        <v>9423</v>
      </c>
      <c r="H1097" s="132" t="s">
        <v>9420</v>
      </c>
      <c r="I1097" s="183" t="s">
        <v>765</v>
      </c>
      <c r="J1097" s="154" t="s">
        <v>765</v>
      </c>
      <c r="K1097" s="154" t="s">
        <v>765</v>
      </c>
      <c r="L1097" s="154" t="s">
        <v>765</v>
      </c>
      <c r="M1097" s="154" t="s">
        <v>765</v>
      </c>
      <c r="N1097" s="143" t="s">
        <v>765</v>
      </c>
      <c r="O1097" s="138" t="s">
        <v>765</v>
      </c>
      <c r="P1097" s="105">
        <v>40</v>
      </c>
      <c r="Q1097" s="137" t="s">
        <v>765</v>
      </c>
      <c r="R1097" s="138"/>
      <c r="S1097" s="150"/>
      <c r="T1097" s="150">
        <v>40</v>
      </c>
      <c r="U1097" s="105"/>
      <c r="V1097" s="137"/>
      <c r="W1097" s="138"/>
      <c r="X1097" s="137"/>
      <c r="Y1097" s="187"/>
      <c r="Z1097" s="105"/>
      <c r="AA1097" s="105"/>
      <c r="AB1097" s="105"/>
      <c r="AC1097" s="105"/>
      <c r="AD1097" s="144">
        <v>45505</v>
      </c>
      <c r="AE1097" s="108" t="s">
        <v>211</v>
      </c>
    </row>
    <row r="1098" spans="1:31" ht="27" customHeight="1" x14ac:dyDescent="0.15">
      <c r="A1098" s="132">
        <v>1113900615</v>
      </c>
      <c r="B1098" s="130" t="s">
        <v>11503</v>
      </c>
      <c r="C1098" s="108" t="s">
        <v>11504</v>
      </c>
      <c r="D1098" s="108" t="s">
        <v>92</v>
      </c>
      <c r="E1098" s="108" t="s">
        <v>11505</v>
      </c>
      <c r="F1098" s="139" t="s">
        <v>11506</v>
      </c>
      <c r="G1098" s="140" t="s">
        <v>11507</v>
      </c>
      <c r="H1098" s="140" t="s">
        <v>11508</v>
      </c>
      <c r="I1098" s="141" t="s">
        <v>6457</v>
      </c>
      <c r="J1098" s="141"/>
      <c r="K1098" s="141" t="s">
        <v>6457</v>
      </c>
      <c r="L1098" s="141" t="s">
        <v>6457</v>
      </c>
      <c r="M1098" s="142" t="s">
        <v>765</v>
      </c>
      <c r="N1098" s="143"/>
      <c r="O1098" s="138" t="s">
        <v>10951</v>
      </c>
      <c r="P1098" s="105"/>
      <c r="Q1098" s="137"/>
      <c r="R1098" s="138">
        <v>1</v>
      </c>
      <c r="S1098" s="105"/>
      <c r="T1098" s="105">
        <v>15</v>
      </c>
      <c r="U1098" s="105"/>
      <c r="V1098" s="137"/>
      <c r="W1098" s="138"/>
      <c r="X1098" s="137"/>
      <c r="Y1098" s="138"/>
      <c r="Z1098" s="105"/>
      <c r="AA1098" s="105"/>
      <c r="AB1098" s="105"/>
      <c r="AC1098" s="105"/>
      <c r="AD1098" s="155">
        <v>46143</v>
      </c>
      <c r="AE1098" s="108" t="s">
        <v>11509</v>
      </c>
    </row>
    <row r="1099" spans="1:31" s="65" customFormat="1" ht="27" customHeight="1" x14ac:dyDescent="0.15">
      <c r="A1099" s="105">
        <v>1114200023</v>
      </c>
      <c r="B1099" s="130" t="s">
        <v>434</v>
      </c>
      <c r="C1099" s="108" t="s">
        <v>1420</v>
      </c>
      <c r="D1099" s="108" t="s">
        <v>93</v>
      </c>
      <c r="E1099" s="108" t="s">
        <v>190</v>
      </c>
      <c r="F1099" s="131">
        <v>3670101</v>
      </c>
      <c r="G1099" s="132" t="s">
        <v>707</v>
      </c>
      <c r="H1099" s="132" t="s">
        <v>708</v>
      </c>
      <c r="I1099" s="133"/>
      <c r="J1099" s="134"/>
      <c r="K1099" s="134"/>
      <c r="L1099" s="134"/>
      <c r="M1099" s="134" t="s">
        <v>49</v>
      </c>
      <c r="N1099" s="135"/>
      <c r="O1099" s="136"/>
      <c r="P1099" s="105">
        <v>50</v>
      </c>
      <c r="Q1099" s="152"/>
      <c r="R1099" s="138">
        <v>8</v>
      </c>
      <c r="S1099" s="105"/>
      <c r="T1099" s="105">
        <v>50</v>
      </c>
      <c r="U1099" s="105"/>
      <c r="V1099" s="137"/>
      <c r="W1099" s="138"/>
      <c r="X1099" s="137"/>
      <c r="Y1099" s="138"/>
      <c r="Z1099" s="105"/>
      <c r="AA1099" s="105"/>
      <c r="AB1099" s="105"/>
      <c r="AC1099" s="105"/>
      <c r="AD1099" s="118">
        <v>38991</v>
      </c>
      <c r="AE1099" s="108" t="s">
        <v>6145</v>
      </c>
    </row>
    <row r="1100" spans="1:31" s="65" customFormat="1" ht="27" customHeight="1" x14ac:dyDescent="0.15">
      <c r="A1100" s="105">
        <v>1114200056</v>
      </c>
      <c r="B1100" s="130" t="s">
        <v>1527</v>
      </c>
      <c r="C1100" s="108" t="s">
        <v>1528</v>
      </c>
      <c r="D1100" s="108" t="s">
        <v>93</v>
      </c>
      <c r="E1100" s="108" t="s">
        <v>1529</v>
      </c>
      <c r="F1100" s="131">
        <v>3670117</v>
      </c>
      <c r="G1100" s="132" t="s">
        <v>1530</v>
      </c>
      <c r="H1100" s="132" t="s">
        <v>1531</v>
      </c>
      <c r="I1100" s="133"/>
      <c r="J1100" s="134"/>
      <c r="K1100" s="134"/>
      <c r="L1100" s="134"/>
      <c r="M1100" s="134" t="s">
        <v>1572</v>
      </c>
      <c r="N1100" s="135"/>
      <c r="O1100" s="136"/>
      <c r="P1100" s="105">
        <v>55</v>
      </c>
      <c r="Q1100" s="152" t="s">
        <v>2610</v>
      </c>
      <c r="R1100" s="138">
        <v>5</v>
      </c>
      <c r="S1100" s="132"/>
      <c r="T1100" s="105">
        <v>55</v>
      </c>
      <c r="U1100" s="132"/>
      <c r="V1100" s="133"/>
      <c r="W1100" s="242"/>
      <c r="X1100" s="133"/>
      <c r="Y1100" s="136"/>
      <c r="Z1100" s="132"/>
      <c r="AA1100" s="132"/>
      <c r="AB1100" s="132"/>
      <c r="AC1100" s="132"/>
      <c r="AD1100" s="155">
        <v>40848</v>
      </c>
      <c r="AE1100" s="108" t="s">
        <v>2672</v>
      </c>
    </row>
    <row r="1101" spans="1:31" s="65" customFormat="1" ht="27" customHeight="1" x14ac:dyDescent="0.15">
      <c r="A1101" s="105">
        <v>1114200064</v>
      </c>
      <c r="B1101" s="130" t="s">
        <v>484</v>
      </c>
      <c r="C1101" s="108" t="s">
        <v>594</v>
      </c>
      <c r="D1101" s="108" t="s">
        <v>93</v>
      </c>
      <c r="E1101" s="108" t="s">
        <v>188</v>
      </c>
      <c r="F1101" s="131">
        <v>3670102</v>
      </c>
      <c r="G1101" s="132" t="s">
        <v>703</v>
      </c>
      <c r="H1101" s="132" t="s">
        <v>704</v>
      </c>
      <c r="I1101" s="133" t="s">
        <v>49</v>
      </c>
      <c r="J1101" s="134" t="s">
        <v>49</v>
      </c>
      <c r="K1101" s="134" t="s">
        <v>49</v>
      </c>
      <c r="L1101" s="134" t="s">
        <v>49</v>
      </c>
      <c r="M1101" s="134" t="s">
        <v>49</v>
      </c>
      <c r="N1101" s="135"/>
      <c r="O1101" s="136"/>
      <c r="P1101" s="105">
        <v>50</v>
      </c>
      <c r="Q1101" s="152" t="s">
        <v>4548</v>
      </c>
      <c r="R1101" s="138">
        <v>2</v>
      </c>
      <c r="S1101" s="132"/>
      <c r="T1101" s="105">
        <v>56</v>
      </c>
      <c r="U1101" s="132"/>
      <c r="V1101" s="133"/>
      <c r="W1101" s="242"/>
      <c r="X1101" s="133"/>
      <c r="Y1101" s="136"/>
      <c r="Z1101" s="132"/>
      <c r="AA1101" s="132"/>
      <c r="AB1101" s="132"/>
      <c r="AC1101" s="132"/>
      <c r="AD1101" s="155">
        <v>39539</v>
      </c>
      <c r="AE1101" s="108" t="s">
        <v>827</v>
      </c>
    </row>
    <row r="1102" spans="1:31" ht="27" customHeight="1" x14ac:dyDescent="0.15">
      <c r="A1102" s="105">
        <v>1114200080</v>
      </c>
      <c r="B1102" s="130" t="s">
        <v>485</v>
      </c>
      <c r="C1102" s="108" t="s">
        <v>541</v>
      </c>
      <c r="D1102" s="108" t="s">
        <v>93</v>
      </c>
      <c r="E1102" s="108" t="s">
        <v>189</v>
      </c>
      <c r="F1102" s="131">
        <v>3670101</v>
      </c>
      <c r="G1102" s="132" t="s">
        <v>705</v>
      </c>
      <c r="H1102" s="132" t="s">
        <v>706</v>
      </c>
      <c r="I1102" s="133"/>
      <c r="J1102" s="134"/>
      <c r="K1102" s="134"/>
      <c r="L1102" s="134"/>
      <c r="M1102" s="134"/>
      <c r="N1102" s="135" t="s">
        <v>280</v>
      </c>
      <c r="O1102" s="136"/>
      <c r="P1102" s="105"/>
      <c r="Q1102" s="137"/>
      <c r="R1102" s="138"/>
      <c r="S1102" s="105"/>
      <c r="T1102" s="105"/>
      <c r="U1102" s="105"/>
      <c r="V1102" s="137"/>
      <c r="W1102" s="138"/>
      <c r="X1102" s="137"/>
      <c r="Y1102" s="138"/>
      <c r="Z1102" s="105"/>
      <c r="AA1102" s="105">
        <v>27</v>
      </c>
      <c r="AB1102" s="105"/>
      <c r="AC1102" s="105"/>
      <c r="AD1102" s="118">
        <v>39264</v>
      </c>
      <c r="AE1102" s="108" t="s">
        <v>446</v>
      </c>
    </row>
    <row r="1103" spans="1:31" ht="27" customHeight="1" x14ac:dyDescent="0.15">
      <c r="A1103" s="105">
        <v>1114200098</v>
      </c>
      <c r="B1103" s="130" t="s">
        <v>434</v>
      </c>
      <c r="C1103" s="108" t="s">
        <v>10545</v>
      </c>
      <c r="D1103" s="108" t="s">
        <v>93</v>
      </c>
      <c r="E1103" s="108" t="s">
        <v>190</v>
      </c>
      <c r="F1103" s="131">
        <v>3670101</v>
      </c>
      <c r="G1103" s="132" t="s">
        <v>707</v>
      </c>
      <c r="H1103" s="132" t="s">
        <v>708</v>
      </c>
      <c r="I1103" s="133"/>
      <c r="J1103" s="134"/>
      <c r="K1103" s="134"/>
      <c r="L1103" s="134"/>
      <c r="M1103" s="134" t="s">
        <v>49</v>
      </c>
      <c r="N1103" s="135"/>
      <c r="O1103" s="136"/>
      <c r="P1103" s="105">
        <v>50</v>
      </c>
      <c r="Q1103" s="152"/>
      <c r="R1103" s="138">
        <v>7</v>
      </c>
      <c r="S1103" s="105"/>
      <c r="T1103" s="105">
        <v>50</v>
      </c>
      <c r="U1103" s="105"/>
      <c r="V1103" s="137"/>
      <c r="W1103" s="138"/>
      <c r="X1103" s="137"/>
      <c r="Y1103" s="138"/>
      <c r="Z1103" s="105"/>
      <c r="AA1103" s="105"/>
      <c r="AB1103" s="105"/>
      <c r="AC1103" s="105"/>
      <c r="AD1103" s="118">
        <v>39264</v>
      </c>
      <c r="AE1103" s="108" t="s">
        <v>6145</v>
      </c>
    </row>
    <row r="1104" spans="1:31" ht="27" customHeight="1" x14ac:dyDescent="0.15">
      <c r="A1104" s="150">
        <v>1114233347</v>
      </c>
      <c r="B1104" s="130" t="s">
        <v>1731</v>
      </c>
      <c r="C1104" s="108" t="s">
        <v>1732</v>
      </c>
      <c r="D1104" s="108" t="s">
        <v>1089</v>
      </c>
      <c r="E1104" s="108" t="s">
        <v>1733</v>
      </c>
      <c r="F1104" s="151">
        <v>3670243</v>
      </c>
      <c r="G1104" s="132" t="s">
        <v>1734</v>
      </c>
      <c r="H1104" s="132" t="s">
        <v>1735</v>
      </c>
      <c r="I1104" s="133"/>
      <c r="J1104" s="134"/>
      <c r="K1104" s="134"/>
      <c r="L1104" s="134"/>
      <c r="M1104" s="134" t="s">
        <v>49</v>
      </c>
      <c r="N1104" s="135"/>
      <c r="O1104" s="136"/>
      <c r="P1104" s="105"/>
      <c r="Q1104" s="137"/>
      <c r="R1104" s="138"/>
      <c r="S1104" s="105"/>
      <c r="T1104" s="105">
        <v>20</v>
      </c>
      <c r="U1104" s="105"/>
      <c r="V1104" s="137"/>
      <c r="W1104" s="138"/>
      <c r="X1104" s="137"/>
      <c r="Y1104" s="138"/>
      <c r="Z1104" s="105"/>
      <c r="AA1104" s="105">
        <v>20</v>
      </c>
      <c r="AB1104" s="105"/>
      <c r="AC1104" s="105"/>
      <c r="AD1104" s="118">
        <v>41000</v>
      </c>
      <c r="AE1104" s="108" t="s">
        <v>1736</v>
      </c>
    </row>
    <row r="1105" spans="1:207" ht="27" customHeight="1" x14ac:dyDescent="0.15">
      <c r="A1105" s="150">
        <v>1114233354</v>
      </c>
      <c r="B1105" s="130" t="s">
        <v>350</v>
      </c>
      <c r="C1105" s="108" t="s">
        <v>219</v>
      </c>
      <c r="D1105" s="108" t="s">
        <v>351</v>
      </c>
      <c r="E1105" s="108" t="s">
        <v>352</v>
      </c>
      <c r="F1105" s="151">
        <v>3670235</v>
      </c>
      <c r="G1105" s="132" t="s">
        <v>353</v>
      </c>
      <c r="H1105" s="132" t="s">
        <v>354</v>
      </c>
      <c r="I1105" s="133" t="s">
        <v>49</v>
      </c>
      <c r="J1105" s="134" t="s">
        <v>49</v>
      </c>
      <c r="K1105" s="134" t="s">
        <v>49</v>
      </c>
      <c r="L1105" s="134"/>
      <c r="M1105" s="134" t="s">
        <v>49</v>
      </c>
      <c r="N1105" s="135" t="s">
        <v>49</v>
      </c>
      <c r="O1105" s="136" t="s">
        <v>49</v>
      </c>
      <c r="P1105" s="105">
        <v>50</v>
      </c>
      <c r="Q1105" s="137" t="s">
        <v>49</v>
      </c>
      <c r="R1105" s="138">
        <v>7</v>
      </c>
      <c r="S1105" s="105"/>
      <c r="T1105" s="105">
        <v>50</v>
      </c>
      <c r="U1105" s="105"/>
      <c r="V1105" s="137"/>
      <c r="W1105" s="138"/>
      <c r="X1105" s="137"/>
      <c r="Y1105" s="138"/>
      <c r="Z1105" s="105"/>
      <c r="AA1105" s="105"/>
      <c r="AB1105" s="105"/>
      <c r="AC1105" s="105"/>
      <c r="AD1105" s="118">
        <v>40026</v>
      </c>
      <c r="AE1105" s="108" t="s">
        <v>355</v>
      </c>
    </row>
    <row r="1106" spans="1:207" ht="27" customHeight="1" x14ac:dyDescent="0.15">
      <c r="A1106" s="105">
        <v>1114233370</v>
      </c>
      <c r="B1106" s="106" t="s">
        <v>1862</v>
      </c>
      <c r="C1106" s="107" t="s">
        <v>1863</v>
      </c>
      <c r="D1106" s="108" t="s">
        <v>1864</v>
      </c>
      <c r="E1106" s="108" t="s">
        <v>2023</v>
      </c>
      <c r="F1106" s="139">
        <v>3670246</v>
      </c>
      <c r="G1106" s="159" t="s">
        <v>1865</v>
      </c>
      <c r="H1106" s="140" t="s">
        <v>1866</v>
      </c>
      <c r="I1106" s="160" t="s">
        <v>1906</v>
      </c>
      <c r="J1106" s="142" t="s">
        <v>1906</v>
      </c>
      <c r="K1106" s="142" t="s">
        <v>1906</v>
      </c>
      <c r="L1106" s="142" t="s">
        <v>1906</v>
      </c>
      <c r="M1106" s="142" t="s">
        <v>49</v>
      </c>
      <c r="N1106" s="143"/>
      <c r="O1106" s="138"/>
      <c r="P1106" s="105">
        <v>30</v>
      </c>
      <c r="Q1106" s="137"/>
      <c r="R1106" s="138"/>
      <c r="S1106" s="105"/>
      <c r="T1106" s="105">
        <v>20</v>
      </c>
      <c r="U1106" s="105"/>
      <c r="V1106" s="137"/>
      <c r="W1106" s="138"/>
      <c r="X1106" s="137"/>
      <c r="Y1106" s="138"/>
      <c r="Z1106" s="105"/>
      <c r="AA1106" s="105">
        <v>25</v>
      </c>
      <c r="AB1106" s="105"/>
      <c r="AC1106" s="105"/>
      <c r="AD1106" s="144">
        <v>41000</v>
      </c>
      <c r="AE1106" s="108" t="s">
        <v>1908</v>
      </c>
    </row>
    <row r="1107" spans="1:207" ht="27" customHeight="1" x14ac:dyDescent="0.15">
      <c r="A1107" s="150">
        <v>1114266685</v>
      </c>
      <c r="B1107" s="106" t="s">
        <v>1156</v>
      </c>
      <c r="C1107" s="107" t="s">
        <v>1157</v>
      </c>
      <c r="D1107" s="108" t="s">
        <v>1158</v>
      </c>
      <c r="E1107" s="108" t="s">
        <v>1159</v>
      </c>
      <c r="F1107" s="151">
        <v>3690306</v>
      </c>
      <c r="G1107" s="152" t="s">
        <v>1160</v>
      </c>
      <c r="H1107" s="132" t="s">
        <v>1161</v>
      </c>
      <c r="I1107" s="160" t="s">
        <v>49</v>
      </c>
      <c r="J1107" s="142" t="s">
        <v>49</v>
      </c>
      <c r="K1107" s="142"/>
      <c r="L1107" s="142"/>
      <c r="M1107" s="142" t="s">
        <v>49</v>
      </c>
      <c r="N1107" s="143" t="s">
        <v>49</v>
      </c>
      <c r="O1107" s="138"/>
      <c r="P1107" s="105">
        <v>50</v>
      </c>
      <c r="Q1107" s="152" t="s">
        <v>2610</v>
      </c>
      <c r="R1107" s="138">
        <v>2</v>
      </c>
      <c r="S1107" s="105"/>
      <c r="T1107" s="105">
        <v>70</v>
      </c>
      <c r="U1107" s="105"/>
      <c r="V1107" s="137"/>
      <c r="W1107" s="138"/>
      <c r="X1107" s="137"/>
      <c r="Y1107" s="138"/>
      <c r="Z1107" s="105"/>
      <c r="AA1107" s="105"/>
      <c r="AB1107" s="105"/>
      <c r="AC1107" s="105"/>
      <c r="AD1107" s="144">
        <v>40634</v>
      </c>
      <c r="AE1107" s="108" t="s">
        <v>2671</v>
      </c>
    </row>
    <row r="1108" spans="1:207" ht="27" customHeight="1" x14ac:dyDescent="0.15">
      <c r="A1108" s="105">
        <v>1114266768</v>
      </c>
      <c r="B1108" s="106" t="s">
        <v>1111</v>
      </c>
      <c r="C1108" s="107" t="s">
        <v>1112</v>
      </c>
      <c r="D1108" s="108" t="s">
        <v>93</v>
      </c>
      <c r="E1108" s="108" t="s">
        <v>1113</v>
      </c>
      <c r="F1108" s="139">
        <v>3670103</v>
      </c>
      <c r="G1108" s="140" t="s">
        <v>1114</v>
      </c>
      <c r="H1108" s="140" t="s">
        <v>1114</v>
      </c>
      <c r="I1108" s="141" t="s">
        <v>49</v>
      </c>
      <c r="J1108" s="142"/>
      <c r="K1108" s="142" t="s">
        <v>49</v>
      </c>
      <c r="L1108" s="142"/>
      <c r="M1108" s="142" t="s">
        <v>49</v>
      </c>
      <c r="N1108" s="143"/>
      <c r="O1108" s="138"/>
      <c r="P1108" s="105"/>
      <c r="Q1108" s="137"/>
      <c r="R1108" s="138"/>
      <c r="S1108" s="105"/>
      <c r="T1108" s="105">
        <v>20</v>
      </c>
      <c r="U1108" s="105"/>
      <c r="V1108" s="116"/>
      <c r="W1108" s="117"/>
      <c r="X1108" s="116"/>
      <c r="Y1108" s="138"/>
      <c r="Z1108" s="105"/>
      <c r="AA1108" s="105"/>
      <c r="AB1108" s="105"/>
      <c r="AC1108" s="105"/>
      <c r="AD1108" s="144">
        <v>40575</v>
      </c>
      <c r="AE1108" s="108" t="s">
        <v>1042</v>
      </c>
    </row>
    <row r="1109" spans="1:207" s="65" customFormat="1" ht="27" customHeight="1" x14ac:dyDescent="0.15">
      <c r="A1109" s="132">
        <v>1114266826</v>
      </c>
      <c r="B1109" s="130" t="s">
        <v>3894</v>
      </c>
      <c r="C1109" s="108" t="s">
        <v>1823</v>
      </c>
      <c r="D1109" s="108" t="s">
        <v>1089</v>
      </c>
      <c r="E1109" s="108" t="s">
        <v>1931</v>
      </c>
      <c r="F1109" s="139" t="s">
        <v>1932</v>
      </c>
      <c r="G1109" s="140" t="s">
        <v>2514</v>
      </c>
      <c r="H1109" s="140" t="s">
        <v>1824</v>
      </c>
      <c r="I1109" s="141" t="s">
        <v>1920</v>
      </c>
      <c r="J1109" s="142" t="s">
        <v>1920</v>
      </c>
      <c r="K1109" s="142" t="s">
        <v>1920</v>
      </c>
      <c r="L1109" s="142" t="s">
        <v>1920</v>
      </c>
      <c r="M1109" s="142" t="s">
        <v>1920</v>
      </c>
      <c r="N1109" s="143" t="s">
        <v>1920</v>
      </c>
      <c r="O1109" s="138" t="s">
        <v>2170</v>
      </c>
      <c r="P1109" s="105"/>
      <c r="Q1109" s="137"/>
      <c r="R1109" s="138"/>
      <c r="S1109" s="105"/>
      <c r="T1109" s="105"/>
      <c r="U1109" s="105"/>
      <c r="V1109" s="116"/>
      <c r="W1109" s="117"/>
      <c r="X1109" s="116"/>
      <c r="Y1109" s="138"/>
      <c r="Z1109" s="105"/>
      <c r="AA1109" s="105">
        <v>20</v>
      </c>
      <c r="AB1109" s="105"/>
      <c r="AC1109" s="105"/>
      <c r="AD1109" s="144">
        <v>41000</v>
      </c>
      <c r="AE1109" s="108" t="s">
        <v>1933</v>
      </c>
    </row>
    <row r="1110" spans="1:207" s="65" customFormat="1" ht="27" customHeight="1" x14ac:dyDescent="0.15">
      <c r="A1110" s="105">
        <v>1114266842</v>
      </c>
      <c r="B1110" s="213" t="s">
        <v>1731</v>
      </c>
      <c r="C1110" s="364" t="s">
        <v>1737</v>
      </c>
      <c r="D1110" s="108" t="s">
        <v>1738</v>
      </c>
      <c r="E1110" s="108" t="s">
        <v>3896</v>
      </c>
      <c r="F1110" s="139">
        <v>3690307</v>
      </c>
      <c r="G1110" s="140" t="s">
        <v>1739</v>
      </c>
      <c r="H1110" s="140" t="s">
        <v>1739</v>
      </c>
      <c r="I1110" s="141"/>
      <c r="J1110" s="142"/>
      <c r="K1110" s="142"/>
      <c r="L1110" s="142"/>
      <c r="M1110" s="142" t="s">
        <v>49</v>
      </c>
      <c r="N1110" s="143"/>
      <c r="O1110" s="138"/>
      <c r="P1110" s="105"/>
      <c r="Q1110" s="137"/>
      <c r="R1110" s="138"/>
      <c r="S1110" s="105"/>
      <c r="T1110" s="105">
        <v>40</v>
      </c>
      <c r="U1110" s="105"/>
      <c r="V1110" s="116"/>
      <c r="W1110" s="117"/>
      <c r="X1110" s="116"/>
      <c r="Y1110" s="138"/>
      <c r="Z1110" s="105"/>
      <c r="AA1110" s="105"/>
      <c r="AB1110" s="105"/>
      <c r="AC1110" s="105"/>
      <c r="AD1110" s="144">
        <v>41000</v>
      </c>
      <c r="AE1110" s="108" t="s">
        <v>1740</v>
      </c>
    </row>
    <row r="1111" spans="1:207" ht="27" customHeight="1" x14ac:dyDescent="0.15">
      <c r="A1111" s="105">
        <v>1114266917</v>
      </c>
      <c r="B1111" s="130" t="s">
        <v>484</v>
      </c>
      <c r="C1111" s="108" t="s">
        <v>2815</v>
      </c>
      <c r="D1111" s="108" t="s">
        <v>2816</v>
      </c>
      <c r="E1111" s="108" t="s">
        <v>2873</v>
      </c>
      <c r="F1111" s="131" t="s">
        <v>2871</v>
      </c>
      <c r="G1111" s="132" t="s">
        <v>2874</v>
      </c>
      <c r="H1111" s="132" t="s">
        <v>2875</v>
      </c>
      <c r="I1111" s="133" t="s">
        <v>49</v>
      </c>
      <c r="J1111" s="134" t="s">
        <v>49</v>
      </c>
      <c r="K1111" s="134" t="s">
        <v>49</v>
      </c>
      <c r="L1111" s="134" t="s">
        <v>49</v>
      </c>
      <c r="M1111" s="134" t="s">
        <v>49</v>
      </c>
      <c r="N1111" s="135"/>
      <c r="O1111" s="136"/>
      <c r="P1111" s="105"/>
      <c r="Q1111" s="137"/>
      <c r="R1111" s="138"/>
      <c r="S1111" s="132"/>
      <c r="T1111" s="76">
        <v>20</v>
      </c>
      <c r="U1111" s="132"/>
      <c r="V1111" s="133"/>
      <c r="W1111" s="242"/>
      <c r="X1111" s="133"/>
      <c r="Y1111" s="136"/>
      <c r="Z1111" s="132"/>
      <c r="AA1111" s="132"/>
      <c r="AB1111" s="132"/>
      <c r="AC1111" s="132"/>
      <c r="AD1111" s="155">
        <v>42095</v>
      </c>
      <c r="AE1111" s="108" t="s">
        <v>2872</v>
      </c>
    </row>
    <row r="1112" spans="1:207" ht="27" customHeight="1" x14ac:dyDescent="0.15">
      <c r="A1112" s="105">
        <v>1114266933</v>
      </c>
      <c r="B1112" s="130" t="s">
        <v>4037</v>
      </c>
      <c r="C1112" s="108" t="s">
        <v>4027</v>
      </c>
      <c r="D1112" s="108" t="s">
        <v>4035</v>
      </c>
      <c r="E1112" s="108" t="s">
        <v>4028</v>
      </c>
      <c r="F1112" s="131" t="s">
        <v>4029</v>
      </c>
      <c r="G1112" s="132" t="s">
        <v>6440</v>
      </c>
      <c r="H1112" s="132" t="s">
        <v>6440</v>
      </c>
      <c r="I1112" s="133"/>
      <c r="J1112" s="154"/>
      <c r="K1112" s="134"/>
      <c r="L1112" s="134"/>
      <c r="M1112" s="134" t="s">
        <v>49</v>
      </c>
      <c r="N1112" s="135" t="s">
        <v>49</v>
      </c>
      <c r="O1112" s="136"/>
      <c r="P1112" s="105"/>
      <c r="Q1112" s="137"/>
      <c r="R1112" s="138"/>
      <c r="S1112" s="105"/>
      <c r="T1112" s="105"/>
      <c r="U1112" s="105"/>
      <c r="V1112" s="137"/>
      <c r="W1112" s="138"/>
      <c r="X1112" s="137"/>
      <c r="Y1112" s="138"/>
      <c r="Z1112" s="105"/>
      <c r="AA1112" s="105">
        <v>20</v>
      </c>
      <c r="AB1112" s="105"/>
      <c r="AC1112" s="105"/>
      <c r="AD1112" s="118">
        <v>42979</v>
      </c>
      <c r="AE1112" s="108" t="s">
        <v>4036</v>
      </c>
    </row>
    <row r="1113" spans="1:207" ht="27" customHeight="1" x14ac:dyDescent="0.15">
      <c r="A1113" s="105">
        <v>1114266958</v>
      </c>
      <c r="B1113" s="106" t="s">
        <v>5773</v>
      </c>
      <c r="C1113" s="107" t="s">
        <v>5774</v>
      </c>
      <c r="D1113" s="108" t="s">
        <v>1738</v>
      </c>
      <c r="E1113" s="108" t="s">
        <v>5775</v>
      </c>
      <c r="F1113" s="139" t="s">
        <v>5776</v>
      </c>
      <c r="G1113" s="140" t="s">
        <v>5777</v>
      </c>
      <c r="H1113" s="140" t="s">
        <v>5778</v>
      </c>
      <c r="I1113" s="141" t="s">
        <v>765</v>
      </c>
      <c r="J1113" s="142" t="s">
        <v>765</v>
      </c>
      <c r="K1113" s="142" t="s">
        <v>765</v>
      </c>
      <c r="L1113" s="142" t="s">
        <v>765</v>
      </c>
      <c r="M1113" s="142"/>
      <c r="N1113" s="142"/>
      <c r="O1113" s="142"/>
      <c r="P1113" s="105"/>
      <c r="Q1113" s="137"/>
      <c r="R1113" s="138"/>
      <c r="S1113" s="105"/>
      <c r="T1113" s="105">
        <v>20</v>
      </c>
      <c r="U1113" s="105"/>
      <c r="V1113" s="137"/>
      <c r="W1113" s="138"/>
      <c r="X1113" s="137"/>
      <c r="Y1113" s="138"/>
      <c r="Z1113" s="105"/>
      <c r="AA1113" s="105"/>
      <c r="AB1113" s="105"/>
      <c r="AC1113" s="105"/>
      <c r="AD1113" s="144">
        <v>43922</v>
      </c>
      <c r="AE1113" s="108" t="s">
        <v>6380</v>
      </c>
    </row>
    <row r="1114" spans="1:207" s="65" customFormat="1" ht="27" customHeight="1" x14ac:dyDescent="0.15">
      <c r="A1114" s="105">
        <v>1114266974</v>
      </c>
      <c r="B1114" s="106" t="s">
        <v>6739</v>
      </c>
      <c r="C1114" s="107" t="s">
        <v>1088</v>
      </c>
      <c r="D1114" s="108" t="s">
        <v>1089</v>
      </c>
      <c r="E1114" s="108" t="s">
        <v>7142</v>
      </c>
      <c r="F1114" s="139" t="s">
        <v>1932</v>
      </c>
      <c r="G1114" s="159" t="s">
        <v>7143</v>
      </c>
      <c r="H1114" s="140" t="s">
        <v>7144</v>
      </c>
      <c r="I1114" s="141"/>
      <c r="J1114" s="142"/>
      <c r="K1114" s="142"/>
      <c r="L1114" s="142"/>
      <c r="M1114" s="142" t="s">
        <v>49</v>
      </c>
      <c r="N1114" s="143"/>
      <c r="O1114" s="138"/>
      <c r="P1114" s="105"/>
      <c r="Q1114" s="116"/>
      <c r="R1114" s="138"/>
      <c r="S1114" s="105"/>
      <c r="T1114" s="105"/>
      <c r="U1114" s="105"/>
      <c r="V1114" s="137"/>
      <c r="W1114" s="138"/>
      <c r="X1114" s="137"/>
      <c r="Y1114" s="138"/>
      <c r="Z1114" s="105"/>
      <c r="AA1114" s="105">
        <v>20</v>
      </c>
      <c r="AB1114" s="105"/>
      <c r="AC1114" s="105"/>
      <c r="AD1114" s="144">
        <v>44317</v>
      </c>
      <c r="AE1114" s="108" t="s">
        <v>7145</v>
      </c>
    </row>
    <row r="1115" spans="1:207" ht="27" customHeight="1" x14ac:dyDescent="0.15">
      <c r="A1115" s="105">
        <v>1114266982</v>
      </c>
      <c r="B1115" s="106" t="s">
        <v>7301</v>
      </c>
      <c r="C1115" s="107" t="s">
        <v>7302</v>
      </c>
      <c r="D1115" s="108" t="s">
        <v>1089</v>
      </c>
      <c r="E1115" s="108" t="s">
        <v>7303</v>
      </c>
      <c r="F1115" s="139" t="s">
        <v>7304</v>
      </c>
      <c r="G1115" s="140" t="s">
        <v>7305</v>
      </c>
      <c r="H1115" s="140" t="s">
        <v>7306</v>
      </c>
      <c r="I1115" s="141"/>
      <c r="J1115" s="142"/>
      <c r="K1115" s="142"/>
      <c r="L1115" s="142"/>
      <c r="M1115" s="142" t="s">
        <v>49</v>
      </c>
      <c r="N1115" s="143" t="s">
        <v>765</v>
      </c>
      <c r="O1115" s="138"/>
      <c r="P1115" s="105"/>
      <c r="Q1115" s="137"/>
      <c r="R1115" s="138"/>
      <c r="S1115" s="105"/>
      <c r="T1115" s="105">
        <v>10</v>
      </c>
      <c r="U1115" s="105"/>
      <c r="V1115" s="116"/>
      <c r="W1115" s="117"/>
      <c r="X1115" s="137"/>
      <c r="Y1115" s="138"/>
      <c r="Z1115" s="105"/>
      <c r="AA1115" s="105">
        <v>10</v>
      </c>
      <c r="AB1115" s="105"/>
      <c r="AC1115" s="105"/>
      <c r="AD1115" s="144">
        <v>44621</v>
      </c>
      <c r="AE1115" s="108" t="s">
        <v>7307</v>
      </c>
    </row>
    <row r="1116" spans="1:207" s="218" customFormat="1" ht="26.1" customHeight="1" x14ac:dyDescent="0.15">
      <c r="A1116" s="175">
        <v>1114267030</v>
      </c>
      <c r="B1116" s="204" t="s">
        <v>11668</v>
      </c>
      <c r="C1116" s="162" t="s">
        <v>9217</v>
      </c>
      <c r="D1116" s="162" t="s">
        <v>1089</v>
      </c>
      <c r="E1116" s="162" t="s">
        <v>9218</v>
      </c>
      <c r="F1116" s="268" t="s">
        <v>9219</v>
      </c>
      <c r="G1116" s="203" t="s">
        <v>9220</v>
      </c>
      <c r="H1116" s="203" t="s">
        <v>9221</v>
      </c>
      <c r="I1116" s="133" t="s">
        <v>765</v>
      </c>
      <c r="J1116" s="134" t="s">
        <v>765</v>
      </c>
      <c r="K1116" s="134" t="s">
        <v>765</v>
      </c>
      <c r="L1116" s="134" t="s">
        <v>765</v>
      </c>
      <c r="M1116" s="134" t="s">
        <v>765</v>
      </c>
      <c r="N1116" s="135" t="s">
        <v>765</v>
      </c>
      <c r="O1116" s="136" t="s">
        <v>765</v>
      </c>
      <c r="P1116" s="175"/>
      <c r="Q1116" s="209"/>
      <c r="R1116" s="210"/>
      <c r="S1116" s="175"/>
      <c r="T1116" s="175"/>
      <c r="U1116" s="175"/>
      <c r="V1116" s="209"/>
      <c r="W1116" s="210"/>
      <c r="X1116" s="209"/>
      <c r="Y1116" s="210"/>
      <c r="Z1116" s="175"/>
      <c r="AA1116" s="175">
        <v>20</v>
      </c>
      <c r="AB1116" s="175"/>
      <c r="AC1116" s="175"/>
      <c r="AD1116" s="227">
        <v>45413</v>
      </c>
      <c r="AE1116" s="162" t="s">
        <v>9222</v>
      </c>
      <c r="AF1116" s="67"/>
      <c r="AG1116" s="67"/>
      <c r="AH1116" s="67"/>
      <c r="AI1116" s="67"/>
      <c r="AJ1116" s="67"/>
      <c r="AK1116" s="67"/>
      <c r="AL1116" s="67"/>
      <c r="AM1116" s="67"/>
      <c r="AN1116" s="67"/>
      <c r="AO1116" s="266"/>
      <c r="AP1116" s="339"/>
      <c r="AQ1116" s="340"/>
      <c r="AR1116" s="340"/>
      <c r="AS1116" s="340"/>
      <c r="AT1116" s="341"/>
      <c r="AU1116" s="342"/>
      <c r="AV1116" s="342"/>
      <c r="AW1116" s="342"/>
      <c r="AX1116" s="342"/>
      <c r="AY1116" s="342"/>
      <c r="AZ1116" s="342"/>
      <c r="BA1116" s="342"/>
      <c r="BB1116" s="342"/>
      <c r="BC1116" s="342"/>
      <c r="BD1116" s="266"/>
      <c r="BE1116" s="266"/>
      <c r="BF1116" s="266"/>
      <c r="BG1116" s="266"/>
      <c r="BH1116" s="266"/>
      <c r="BI1116" s="266"/>
      <c r="BJ1116" s="266"/>
      <c r="BK1116" s="266"/>
      <c r="BL1116" s="266"/>
      <c r="BM1116" s="266"/>
      <c r="BN1116" s="266"/>
      <c r="BO1116" s="266"/>
      <c r="BP1116" s="266"/>
      <c r="BQ1116" s="325"/>
      <c r="BR1116" s="340"/>
      <c r="BS1116" s="276"/>
      <c r="BT1116" s="276"/>
      <c r="BU1116" s="276"/>
      <c r="BV1116" s="276"/>
      <c r="BW1116" s="343"/>
      <c r="BX1116" s="344"/>
      <c r="BY1116" s="68"/>
      <c r="BZ1116" s="149"/>
      <c r="CA1116" s="149"/>
      <c r="CB1116" s="149"/>
      <c r="CC1116" s="149"/>
      <c r="CD1116" s="149"/>
      <c r="CE1116" s="149"/>
      <c r="CF1116" s="149"/>
      <c r="CG1116" s="149"/>
      <c r="CH1116" s="149"/>
      <c r="CI1116" s="149"/>
      <c r="CJ1116" s="149"/>
      <c r="CK1116" s="149"/>
      <c r="CL1116" s="149"/>
      <c r="CM1116" s="65"/>
      <c r="CN1116" s="149"/>
      <c r="CO1116" s="65"/>
      <c r="CP1116" s="65"/>
      <c r="CQ1116" s="65"/>
      <c r="CR1116" s="65"/>
      <c r="CS1116" s="65"/>
      <c r="CT1116" s="65"/>
      <c r="CU1116" s="65"/>
      <c r="CV1116" s="65"/>
      <c r="CW1116" s="65"/>
      <c r="CX1116" s="65"/>
      <c r="CY1116" s="65"/>
      <c r="CZ1116" s="65"/>
      <c r="DA1116" s="149"/>
      <c r="DB1116" s="149"/>
      <c r="DC1116" s="149"/>
      <c r="DD1116" s="149"/>
      <c r="DE1116" s="149"/>
      <c r="DF1116" s="345"/>
      <c r="DG1116" s="65"/>
      <c r="DH1116" s="65"/>
      <c r="DI1116" s="65"/>
      <c r="DJ1116" s="65"/>
      <c r="DK1116" s="65"/>
      <c r="DL1116" s="82"/>
      <c r="DM1116" s="67"/>
      <c r="DN1116" s="65"/>
      <c r="DO1116" s="67"/>
      <c r="DP1116" s="67"/>
      <c r="DQ1116" s="67"/>
      <c r="DR1116" s="67"/>
      <c r="DS1116" s="67"/>
      <c r="DT1116" s="67"/>
      <c r="DU1116" s="67"/>
      <c r="DV1116" s="67"/>
      <c r="DW1116" s="67"/>
      <c r="DX1116" s="67"/>
      <c r="DY1116" s="67"/>
      <c r="DZ1116" s="266"/>
      <c r="EA1116" s="339"/>
      <c r="EB1116" s="340"/>
      <c r="EC1116" s="340"/>
      <c r="ED1116" s="340"/>
      <c r="EE1116" s="341"/>
      <c r="EF1116" s="342"/>
      <c r="EG1116" s="342"/>
      <c r="EH1116" s="342"/>
      <c r="EI1116" s="342"/>
      <c r="EJ1116" s="342"/>
      <c r="EK1116" s="342"/>
      <c r="EL1116" s="342"/>
      <c r="EM1116" s="342"/>
      <c r="EN1116" s="342"/>
      <c r="EO1116" s="266"/>
      <c r="EP1116" s="266"/>
      <c r="EQ1116" s="266"/>
      <c r="ER1116" s="266"/>
      <c r="ES1116" s="266"/>
      <c r="ET1116" s="266"/>
      <c r="EU1116" s="266"/>
      <c r="EV1116" s="266"/>
      <c r="EW1116" s="266"/>
      <c r="EX1116" s="266"/>
      <c r="EY1116" s="266"/>
      <c r="EZ1116" s="266"/>
      <c r="FA1116" s="266"/>
      <c r="FB1116" s="325"/>
      <c r="FC1116" s="340"/>
      <c r="FD1116" s="276"/>
      <c r="FE1116" s="276"/>
      <c r="FF1116" s="276"/>
      <c r="FG1116" s="276"/>
      <c r="FH1116" s="343"/>
      <c r="FI1116" s="344"/>
      <c r="FJ1116" s="68"/>
      <c r="FK1116" s="149"/>
      <c r="FL1116" s="149"/>
      <c r="FM1116" s="149"/>
      <c r="FN1116" s="149"/>
      <c r="FO1116" s="149"/>
      <c r="FP1116" s="149"/>
      <c r="FQ1116" s="149"/>
      <c r="FR1116" s="149"/>
      <c r="FS1116" s="149"/>
      <c r="FT1116" s="149"/>
      <c r="FU1116" s="149"/>
      <c r="FV1116" s="149"/>
      <c r="FW1116" s="149"/>
      <c r="FX1116" s="65"/>
      <c r="FY1116" s="149"/>
      <c r="FZ1116" s="65"/>
      <c r="GA1116" s="65"/>
      <c r="GB1116" s="65"/>
      <c r="GC1116" s="65"/>
      <c r="GD1116" s="65"/>
      <c r="GE1116" s="65"/>
      <c r="GF1116" s="65"/>
      <c r="GG1116" s="65"/>
      <c r="GH1116" s="65"/>
      <c r="GI1116" s="65"/>
      <c r="GJ1116" s="65"/>
      <c r="GK1116" s="65"/>
      <c r="GL1116" s="149"/>
      <c r="GM1116" s="149"/>
      <c r="GN1116" s="149"/>
      <c r="GO1116" s="149"/>
      <c r="GP1116" s="149"/>
      <c r="GQ1116" s="345"/>
      <c r="GR1116" s="65"/>
      <c r="GS1116" s="65"/>
      <c r="GT1116" s="65"/>
      <c r="GU1116" s="65"/>
      <c r="GV1116" s="65"/>
      <c r="GW1116" s="82"/>
      <c r="GX1116" s="67"/>
      <c r="GY1116" s="65"/>
    </row>
    <row r="1117" spans="1:207" ht="27" customHeight="1" x14ac:dyDescent="0.15">
      <c r="A1117" s="105">
        <v>1114267063</v>
      </c>
      <c r="B1117" s="106" t="s">
        <v>9945</v>
      </c>
      <c r="C1117" s="107" t="s">
        <v>9949</v>
      </c>
      <c r="D1117" s="108" t="s">
        <v>1738</v>
      </c>
      <c r="E1117" s="108" t="s">
        <v>7537</v>
      </c>
      <c r="F1117" s="139" t="s">
        <v>7304</v>
      </c>
      <c r="G1117" s="140" t="s">
        <v>7538</v>
      </c>
      <c r="H1117" s="140" t="s">
        <v>7539</v>
      </c>
      <c r="I1117" s="141" t="s">
        <v>6457</v>
      </c>
      <c r="J1117" s="142" t="s">
        <v>6457</v>
      </c>
      <c r="K1117" s="142" t="s">
        <v>6457</v>
      </c>
      <c r="L1117" s="142" t="s">
        <v>6457</v>
      </c>
      <c r="M1117" s="142" t="s">
        <v>6457</v>
      </c>
      <c r="N1117" s="143" t="s">
        <v>6457</v>
      </c>
      <c r="O1117" s="138" t="s">
        <v>6457</v>
      </c>
      <c r="P1117" s="105"/>
      <c r="Q1117" s="137"/>
      <c r="R1117" s="138"/>
      <c r="S1117" s="105"/>
      <c r="T1117" s="105">
        <v>20</v>
      </c>
      <c r="U1117" s="105"/>
      <c r="V1117" s="116"/>
      <c r="W1117" s="117"/>
      <c r="X1117" s="137"/>
      <c r="Y1117" s="138"/>
      <c r="Z1117" s="105"/>
      <c r="AA1117" s="105"/>
      <c r="AB1117" s="105"/>
      <c r="AC1117" s="175"/>
      <c r="AD1117" s="227">
        <v>45717</v>
      </c>
      <c r="AE1117" s="108" t="s">
        <v>7540</v>
      </c>
    </row>
    <row r="1118" spans="1:207" s="65" customFormat="1" ht="27" customHeight="1" x14ac:dyDescent="0.15">
      <c r="A1118" s="132">
        <v>1114267071</v>
      </c>
      <c r="B1118" s="108" t="s">
        <v>10460</v>
      </c>
      <c r="C1118" s="108" t="s">
        <v>958</v>
      </c>
      <c r="D1118" s="108" t="s">
        <v>10461</v>
      </c>
      <c r="E1118" s="346" t="s">
        <v>10462</v>
      </c>
      <c r="F1118" s="132" t="s">
        <v>10463</v>
      </c>
      <c r="G1118" s="132" t="s">
        <v>7913</v>
      </c>
      <c r="H1118" s="132" t="s">
        <v>7913</v>
      </c>
      <c r="I1118" s="134"/>
      <c r="J1118" s="134"/>
      <c r="K1118" s="134"/>
      <c r="L1118" s="134"/>
      <c r="M1118" s="134" t="s">
        <v>765</v>
      </c>
      <c r="N1118" s="135" t="s">
        <v>765</v>
      </c>
      <c r="O1118" s="138"/>
      <c r="P1118" s="137"/>
      <c r="Q1118" s="116"/>
      <c r="R1118" s="117"/>
      <c r="S1118" s="105"/>
      <c r="T1118" s="105"/>
      <c r="U1118" s="137"/>
      <c r="V1118" s="116"/>
      <c r="W1118" s="347"/>
      <c r="X1118" s="116"/>
      <c r="Y1118" s="117"/>
      <c r="Z1118" s="105">
        <v>10</v>
      </c>
      <c r="AA1118" s="105"/>
      <c r="AB1118" s="118"/>
      <c r="AC1118" s="118"/>
      <c r="AD1118" s="132" t="s">
        <v>10363</v>
      </c>
      <c r="AE1118" s="80" t="s">
        <v>10464</v>
      </c>
    </row>
    <row r="1119" spans="1:207" ht="27" customHeight="1" x14ac:dyDescent="0.15">
      <c r="A1119" s="150">
        <v>1114300021</v>
      </c>
      <c r="B1119" s="106" t="s">
        <v>1116</v>
      </c>
      <c r="C1119" s="107" t="s">
        <v>1117</v>
      </c>
      <c r="D1119" s="108" t="s">
        <v>1118</v>
      </c>
      <c r="E1119" s="108" t="s">
        <v>1119</v>
      </c>
      <c r="F1119" s="151">
        <v>3670216</v>
      </c>
      <c r="G1119" s="132" t="s">
        <v>1120</v>
      </c>
      <c r="H1119" s="132" t="s">
        <v>1122</v>
      </c>
      <c r="I1119" s="141" t="s">
        <v>49</v>
      </c>
      <c r="J1119" s="142"/>
      <c r="K1119" s="142" t="s">
        <v>49</v>
      </c>
      <c r="L1119" s="142"/>
      <c r="M1119" s="142" t="s">
        <v>49</v>
      </c>
      <c r="N1119" s="143"/>
      <c r="O1119" s="138"/>
      <c r="P1119" s="105">
        <v>30</v>
      </c>
      <c r="Q1119" s="137"/>
      <c r="R1119" s="138"/>
      <c r="S1119" s="105"/>
      <c r="T1119" s="105"/>
      <c r="U1119" s="105"/>
      <c r="V1119" s="116"/>
      <c r="W1119" s="117"/>
      <c r="X1119" s="116"/>
      <c r="Y1119" s="138"/>
      <c r="Z1119" s="105"/>
      <c r="AA1119" s="105">
        <v>55</v>
      </c>
      <c r="AB1119" s="105"/>
      <c r="AC1119" s="105"/>
      <c r="AD1119" s="144">
        <v>40634</v>
      </c>
      <c r="AE1119" s="108" t="s">
        <v>1121</v>
      </c>
    </row>
    <row r="1120" spans="1:207" s="65" customFormat="1" ht="27" customHeight="1" x14ac:dyDescent="0.15">
      <c r="A1120" s="105">
        <v>1114300039</v>
      </c>
      <c r="B1120" s="130" t="s">
        <v>486</v>
      </c>
      <c r="C1120" s="108" t="s">
        <v>828</v>
      </c>
      <c r="D1120" s="108" t="s">
        <v>94</v>
      </c>
      <c r="E1120" s="108" t="s">
        <v>193</v>
      </c>
      <c r="F1120" s="131">
        <v>3670225</v>
      </c>
      <c r="G1120" s="152" t="s">
        <v>709</v>
      </c>
      <c r="H1120" s="132" t="s">
        <v>710</v>
      </c>
      <c r="I1120" s="133"/>
      <c r="J1120" s="134"/>
      <c r="K1120" s="134"/>
      <c r="L1120" s="134"/>
      <c r="M1120" s="134" t="s">
        <v>280</v>
      </c>
      <c r="N1120" s="135"/>
      <c r="O1120" s="136"/>
      <c r="P1120" s="105">
        <v>30</v>
      </c>
      <c r="Q1120" s="137"/>
      <c r="R1120" s="138"/>
      <c r="S1120" s="132"/>
      <c r="T1120" s="105">
        <v>40</v>
      </c>
      <c r="U1120" s="132"/>
      <c r="V1120" s="133"/>
      <c r="W1120" s="242"/>
      <c r="X1120" s="152"/>
      <c r="Y1120" s="136"/>
      <c r="Z1120" s="132"/>
      <c r="AA1120" s="132"/>
      <c r="AB1120" s="132"/>
      <c r="AC1120" s="132"/>
      <c r="AD1120" s="155">
        <v>39539</v>
      </c>
      <c r="AE1120" s="108" t="s">
        <v>445</v>
      </c>
    </row>
    <row r="1121" spans="1:31" s="65" customFormat="1" ht="27" customHeight="1" x14ac:dyDescent="0.15">
      <c r="A1121" s="105">
        <v>1114300054</v>
      </c>
      <c r="B1121" s="130" t="s">
        <v>1631</v>
      </c>
      <c r="C1121" s="108" t="s">
        <v>1632</v>
      </c>
      <c r="D1121" s="108" t="s">
        <v>94</v>
      </c>
      <c r="E1121" s="108" t="s">
        <v>1633</v>
      </c>
      <c r="F1121" s="131">
        <v>3670036</v>
      </c>
      <c r="G1121" s="132" t="s">
        <v>1634</v>
      </c>
      <c r="H1121" s="132" t="s">
        <v>1635</v>
      </c>
      <c r="I1121" s="133"/>
      <c r="J1121" s="134"/>
      <c r="K1121" s="134"/>
      <c r="L1121" s="134"/>
      <c r="M1121" s="134" t="s">
        <v>49</v>
      </c>
      <c r="N1121" s="135"/>
      <c r="O1121" s="136"/>
      <c r="P1121" s="105">
        <v>45</v>
      </c>
      <c r="Q1121" s="137" t="s">
        <v>49</v>
      </c>
      <c r="R1121" s="138">
        <v>2</v>
      </c>
      <c r="S1121" s="132"/>
      <c r="T1121" s="105">
        <v>50</v>
      </c>
      <c r="U1121" s="132"/>
      <c r="V1121" s="152"/>
      <c r="W1121" s="136"/>
      <c r="X1121" s="152"/>
      <c r="Y1121" s="136"/>
      <c r="Z1121" s="132"/>
      <c r="AA1121" s="132"/>
      <c r="AB1121" s="132"/>
      <c r="AC1121" s="132"/>
      <c r="AD1121" s="155">
        <v>40940</v>
      </c>
      <c r="AE1121" s="108" t="s">
        <v>1636</v>
      </c>
    </row>
    <row r="1122" spans="1:31" ht="27" customHeight="1" x14ac:dyDescent="0.15">
      <c r="A1122" s="105">
        <v>1114300062</v>
      </c>
      <c r="B1122" s="130" t="s">
        <v>1631</v>
      </c>
      <c r="C1122" s="108" t="s">
        <v>6821</v>
      </c>
      <c r="D1122" s="108" t="s">
        <v>94</v>
      </c>
      <c r="E1122" s="108" t="s">
        <v>1638</v>
      </c>
      <c r="F1122" s="131">
        <v>3670015</v>
      </c>
      <c r="G1122" s="132" t="s">
        <v>6822</v>
      </c>
      <c r="H1122" s="132" t="s">
        <v>6823</v>
      </c>
      <c r="I1122" s="133"/>
      <c r="J1122" s="134"/>
      <c r="K1122" s="134"/>
      <c r="L1122" s="134"/>
      <c r="M1122" s="134" t="s">
        <v>765</v>
      </c>
      <c r="N1122" s="135"/>
      <c r="O1122" s="136"/>
      <c r="P1122" s="105"/>
      <c r="Q1122" s="137"/>
      <c r="R1122" s="138"/>
      <c r="S1122" s="132"/>
      <c r="T1122" s="105">
        <v>33</v>
      </c>
      <c r="U1122" s="132"/>
      <c r="V1122" s="152"/>
      <c r="W1122" s="136"/>
      <c r="X1122" s="152"/>
      <c r="Y1122" s="136"/>
      <c r="Z1122" s="132"/>
      <c r="AA1122" s="132"/>
      <c r="AB1122" s="132"/>
      <c r="AC1122" s="132"/>
      <c r="AD1122" s="155">
        <v>40940</v>
      </c>
      <c r="AE1122" s="108" t="s">
        <v>1042</v>
      </c>
    </row>
    <row r="1123" spans="1:31" ht="27" customHeight="1" x14ac:dyDescent="0.15">
      <c r="A1123" s="105">
        <v>1114300120</v>
      </c>
      <c r="B1123" s="130" t="s">
        <v>485</v>
      </c>
      <c r="C1123" s="108" t="s">
        <v>1421</v>
      </c>
      <c r="D1123" s="108" t="s">
        <v>94</v>
      </c>
      <c r="E1123" s="108" t="s">
        <v>194</v>
      </c>
      <c r="F1123" s="131">
        <v>3670032</v>
      </c>
      <c r="G1123" s="132" t="s">
        <v>711</v>
      </c>
      <c r="H1123" s="132" t="s">
        <v>712</v>
      </c>
      <c r="I1123" s="133"/>
      <c r="J1123" s="134"/>
      <c r="K1123" s="134"/>
      <c r="L1123" s="134"/>
      <c r="M1123" s="134" t="s">
        <v>63</v>
      </c>
      <c r="N1123" s="135"/>
      <c r="O1123" s="136"/>
      <c r="P1123" s="105"/>
      <c r="Q1123" s="137"/>
      <c r="R1123" s="138"/>
      <c r="S1123" s="105"/>
      <c r="T1123" s="105"/>
      <c r="U1123" s="105"/>
      <c r="V1123" s="137"/>
      <c r="W1123" s="138"/>
      <c r="X1123" s="137"/>
      <c r="Y1123" s="138"/>
      <c r="Z1123" s="105"/>
      <c r="AA1123" s="105">
        <v>33</v>
      </c>
      <c r="AB1123" s="105"/>
      <c r="AC1123" s="105"/>
      <c r="AD1123" s="118">
        <v>39264</v>
      </c>
      <c r="AE1123" s="108" t="s">
        <v>829</v>
      </c>
    </row>
    <row r="1124" spans="1:31" ht="27" customHeight="1" x14ac:dyDescent="0.15">
      <c r="A1124" s="105">
        <v>1114300138</v>
      </c>
      <c r="B1124" s="130" t="s">
        <v>487</v>
      </c>
      <c r="C1124" s="108" t="s">
        <v>567</v>
      </c>
      <c r="D1124" s="108" t="s">
        <v>94</v>
      </c>
      <c r="E1124" s="108" t="s">
        <v>195</v>
      </c>
      <c r="F1124" s="131">
        <v>3670045</v>
      </c>
      <c r="G1124" s="132" t="s">
        <v>713</v>
      </c>
      <c r="H1124" s="132" t="s">
        <v>1902</v>
      </c>
      <c r="I1124" s="133"/>
      <c r="J1124" s="134"/>
      <c r="K1124" s="134"/>
      <c r="L1124" s="134"/>
      <c r="M1124" s="134"/>
      <c r="N1124" s="135" t="s">
        <v>269</v>
      </c>
      <c r="O1124" s="136"/>
      <c r="P1124" s="105"/>
      <c r="Q1124" s="137"/>
      <c r="R1124" s="138"/>
      <c r="S1124" s="105"/>
      <c r="T1124" s="105"/>
      <c r="U1124" s="105"/>
      <c r="V1124" s="137"/>
      <c r="W1124" s="138"/>
      <c r="X1124" s="137"/>
      <c r="Y1124" s="138"/>
      <c r="Z1124" s="105"/>
      <c r="AA1124" s="105">
        <v>30</v>
      </c>
      <c r="AB1124" s="105"/>
      <c r="AC1124" s="105"/>
      <c r="AD1124" s="155">
        <v>39538</v>
      </c>
      <c r="AE1124" s="108" t="s">
        <v>461</v>
      </c>
    </row>
    <row r="1125" spans="1:31" s="65" customFormat="1" ht="27" customHeight="1" x14ac:dyDescent="0.15">
      <c r="A1125" s="105">
        <v>1114300153</v>
      </c>
      <c r="B1125" s="130" t="s">
        <v>1039</v>
      </c>
      <c r="C1125" s="108" t="s">
        <v>1040</v>
      </c>
      <c r="D1125" s="108" t="s">
        <v>94</v>
      </c>
      <c r="E1125" s="108" t="s">
        <v>5785</v>
      </c>
      <c r="F1125" s="131" t="s">
        <v>5786</v>
      </c>
      <c r="G1125" s="132" t="s">
        <v>1041</v>
      </c>
      <c r="H1125" s="132" t="s">
        <v>7548</v>
      </c>
      <c r="I1125" s="133"/>
      <c r="J1125" s="134"/>
      <c r="K1125" s="134"/>
      <c r="L1125" s="134"/>
      <c r="M1125" s="134" t="s">
        <v>765</v>
      </c>
      <c r="N1125" s="135"/>
      <c r="O1125" s="136"/>
      <c r="P1125" s="105"/>
      <c r="Q1125" s="137"/>
      <c r="R1125" s="138"/>
      <c r="S1125" s="105"/>
      <c r="T1125" s="105">
        <v>20</v>
      </c>
      <c r="U1125" s="105"/>
      <c r="V1125" s="137"/>
      <c r="W1125" s="138"/>
      <c r="X1125" s="137"/>
      <c r="Y1125" s="138"/>
      <c r="Z1125" s="105"/>
      <c r="AA1125" s="105"/>
      <c r="AB1125" s="105"/>
      <c r="AC1125" s="105"/>
      <c r="AD1125" s="155">
        <v>40360</v>
      </c>
      <c r="AE1125" s="108" t="s">
        <v>5787</v>
      </c>
    </row>
    <row r="1126" spans="1:31" s="65" customFormat="1" ht="27" customHeight="1" x14ac:dyDescent="0.15">
      <c r="A1126" s="105">
        <v>1114300229</v>
      </c>
      <c r="B1126" s="130" t="s">
        <v>2730</v>
      </c>
      <c r="C1126" s="108" t="s">
        <v>2731</v>
      </c>
      <c r="D1126" s="108" t="s">
        <v>94</v>
      </c>
      <c r="E1126" s="108" t="s">
        <v>2732</v>
      </c>
      <c r="F1126" s="131" t="s">
        <v>4635</v>
      </c>
      <c r="G1126" s="132" t="s">
        <v>4636</v>
      </c>
      <c r="H1126" s="132" t="s">
        <v>4637</v>
      </c>
      <c r="I1126" s="116" t="s">
        <v>4638</v>
      </c>
      <c r="J1126" s="154"/>
      <c r="K1126" s="154"/>
      <c r="L1126" s="154" t="s">
        <v>4638</v>
      </c>
      <c r="M1126" s="154" t="s">
        <v>4638</v>
      </c>
      <c r="N1126" s="143" t="s">
        <v>4638</v>
      </c>
      <c r="O1126" s="138" t="s">
        <v>4638</v>
      </c>
      <c r="P1126" s="132"/>
      <c r="Q1126" s="152"/>
      <c r="R1126" s="136"/>
      <c r="S1126" s="132"/>
      <c r="T1126" s="132"/>
      <c r="U1126" s="132"/>
      <c r="V1126" s="152"/>
      <c r="W1126" s="136"/>
      <c r="X1126" s="152">
        <v>10</v>
      </c>
      <c r="Y1126" s="136"/>
      <c r="Z1126" s="132"/>
      <c r="AA1126" s="105">
        <v>10</v>
      </c>
      <c r="AB1126" s="105"/>
      <c r="AC1126" s="105"/>
      <c r="AD1126" s="155">
        <v>41944</v>
      </c>
      <c r="AE1126" s="108" t="s">
        <v>2733</v>
      </c>
    </row>
    <row r="1127" spans="1:31" s="65" customFormat="1" ht="27" customHeight="1" x14ac:dyDescent="0.15">
      <c r="A1127" s="105">
        <v>1114300229</v>
      </c>
      <c r="B1127" s="130" t="s">
        <v>2730</v>
      </c>
      <c r="C1127" s="108" t="s">
        <v>2731</v>
      </c>
      <c r="D1127" s="108" t="s">
        <v>94</v>
      </c>
      <c r="E1127" s="108" t="s">
        <v>2732</v>
      </c>
      <c r="F1127" s="131" t="s">
        <v>4763</v>
      </c>
      <c r="G1127" s="132" t="s">
        <v>4764</v>
      </c>
      <c r="H1127" s="132" t="s">
        <v>4765</v>
      </c>
      <c r="I1127" s="116" t="s">
        <v>4766</v>
      </c>
      <c r="J1127" s="154"/>
      <c r="K1127" s="154"/>
      <c r="L1127" s="154" t="s">
        <v>4766</v>
      </c>
      <c r="M1127" s="154" t="s">
        <v>4766</v>
      </c>
      <c r="N1127" s="143" t="s">
        <v>4766</v>
      </c>
      <c r="O1127" s="138" t="s">
        <v>4766</v>
      </c>
      <c r="P1127" s="132"/>
      <c r="Q1127" s="152"/>
      <c r="R1127" s="136"/>
      <c r="S1127" s="132"/>
      <c r="T1127" s="132"/>
      <c r="U1127" s="132"/>
      <c r="V1127" s="152"/>
      <c r="W1127" s="136"/>
      <c r="X1127" s="152"/>
      <c r="Y1127" s="136"/>
      <c r="Z1127" s="132"/>
      <c r="AA1127" s="105"/>
      <c r="AB1127" s="105" t="s">
        <v>4766</v>
      </c>
      <c r="AC1127" s="105"/>
      <c r="AD1127" s="144">
        <v>43374</v>
      </c>
      <c r="AE1127" s="108" t="s">
        <v>2733</v>
      </c>
    </row>
    <row r="1128" spans="1:31" s="65" customFormat="1" ht="27" customHeight="1" x14ac:dyDescent="0.15">
      <c r="A1128" s="105">
        <v>1114300229</v>
      </c>
      <c r="B1128" s="130" t="s">
        <v>2730</v>
      </c>
      <c r="C1128" s="108" t="s">
        <v>2731</v>
      </c>
      <c r="D1128" s="108" t="s">
        <v>94</v>
      </c>
      <c r="E1128" s="108" t="s">
        <v>2732</v>
      </c>
      <c r="F1128" s="131" t="s">
        <v>4635</v>
      </c>
      <c r="G1128" s="132" t="s">
        <v>4636</v>
      </c>
      <c r="H1128" s="132" t="s">
        <v>4637</v>
      </c>
      <c r="I1128" s="116" t="s">
        <v>49</v>
      </c>
      <c r="J1128" s="154"/>
      <c r="K1128" s="154"/>
      <c r="L1128" s="154" t="s">
        <v>49</v>
      </c>
      <c r="M1128" s="154" t="s">
        <v>49</v>
      </c>
      <c r="N1128" s="143" t="s">
        <v>49</v>
      </c>
      <c r="O1128" s="138" t="s">
        <v>49</v>
      </c>
      <c r="P1128" s="132"/>
      <c r="Q1128" s="152"/>
      <c r="R1128" s="136"/>
      <c r="S1128" s="132"/>
      <c r="T1128" s="132"/>
      <c r="U1128" s="132"/>
      <c r="V1128" s="152"/>
      <c r="W1128" s="136"/>
      <c r="X1128" s="137"/>
      <c r="Y1128" s="138"/>
      <c r="Z1128" s="105"/>
      <c r="AA1128" s="105"/>
      <c r="AB1128" s="105"/>
      <c r="AC1128" s="105">
        <v>10</v>
      </c>
      <c r="AD1128" s="118">
        <v>45931</v>
      </c>
      <c r="AE1128" s="108" t="s">
        <v>2733</v>
      </c>
    </row>
    <row r="1129" spans="1:31" ht="27" customHeight="1" x14ac:dyDescent="0.15">
      <c r="A1129" s="105">
        <v>1114300252</v>
      </c>
      <c r="B1129" s="130" t="s">
        <v>3895</v>
      </c>
      <c r="C1129" s="108" t="s">
        <v>3806</v>
      </c>
      <c r="D1129" s="108" t="s">
        <v>94</v>
      </c>
      <c r="E1129" s="108" t="s">
        <v>6782</v>
      </c>
      <c r="F1129" s="131">
        <v>3670042</v>
      </c>
      <c r="G1129" s="132" t="s">
        <v>3808</v>
      </c>
      <c r="H1129" s="132" t="s">
        <v>3808</v>
      </c>
      <c r="I1129" s="133"/>
      <c r="J1129" s="134"/>
      <c r="K1129" s="134"/>
      <c r="L1129" s="134"/>
      <c r="M1129" s="134" t="s">
        <v>3809</v>
      </c>
      <c r="N1129" s="135" t="s">
        <v>3809</v>
      </c>
      <c r="O1129" s="136"/>
      <c r="P1129" s="105"/>
      <c r="Q1129" s="137"/>
      <c r="R1129" s="138"/>
      <c r="S1129" s="105"/>
      <c r="T1129" s="105"/>
      <c r="U1129" s="105"/>
      <c r="V1129" s="137"/>
      <c r="W1129" s="138"/>
      <c r="X1129" s="137"/>
      <c r="Y1129" s="138"/>
      <c r="Z1129" s="105"/>
      <c r="AA1129" s="105">
        <v>20</v>
      </c>
      <c r="AB1129" s="105"/>
      <c r="AC1129" s="105"/>
      <c r="AD1129" s="118">
        <v>42826</v>
      </c>
      <c r="AE1129" s="108" t="s">
        <v>3807</v>
      </c>
    </row>
    <row r="1130" spans="1:31" ht="27" customHeight="1" x14ac:dyDescent="0.15">
      <c r="A1130" s="105">
        <v>1114300260</v>
      </c>
      <c r="B1130" s="130" t="s">
        <v>3969</v>
      </c>
      <c r="C1130" s="108" t="s">
        <v>3970</v>
      </c>
      <c r="D1130" s="108" t="s">
        <v>94</v>
      </c>
      <c r="E1130" s="108" t="s">
        <v>3971</v>
      </c>
      <c r="F1130" s="131">
        <v>3670044</v>
      </c>
      <c r="G1130" s="132" t="s">
        <v>3972</v>
      </c>
      <c r="H1130" s="132" t="s">
        <v>3973</v>
      </c>
      <c r="I1130" s="133" t="s">
        <v>49</v>
      </c>
      <c r="J1130" s="134" t="s">
        <v>49</v>
      </c>
      <c r="K1130" s="134" t="s">
        <v>49</v>
      </c>
      <c r="L1130" s="134" t="s">
        <v>49</v>
      </c>
      <c r="M1130" s="134" t="s">
        <v>49</v>
      </c>
      <c r="N1130" s="135" t="s">
        <v>49</v>
      </c>
      <c r="O1130" s="136" t="s">
        <v>49</v>
      </c>
      <c r="P1130" s="132"/>
      <c r="Q1130" s="152"/>
      <c r="R1130" s="136"/>
      <c r="S1130" s="132"/>
      <c r="T1130" s="132"/>
      <c r="U1130" s="132"/>
      <c r="V1130" s="152"/>
      <c r="W1130" s="136"/>
      <c r="X1130" s="137">
        <v>10</v>
      </c>
      <c r="Y1130" s="136"/>
      <c r="Z1130" s="132"/>
      <c r="AA1130" s="105">
        <v>10</v>
      </c>
      <c r="AB1130" s="105"/>
      <c r="AC1130" s="105"/>
      <c r="AD1130" s="155">
        <v>42917</v>
      </c>
      <c r="AE1130" s="108" t="s">
        <v>3974</v>
      </c>
    </row>
    <row r="1131" spans="1:31" ht="27" customHeight="1" x14ac:dyDescent="0.15">
      <c r="A1131" s="105">
        <v>1114300260</v>
      </c>
      <c r="B1131" s="130" t="s">
        <v>3969</v>
      </c>
      <c r="C1131" s="108" t="s">
        <v>3970</v>
      </c>
      <c r="D1131" s="108" t="s">
        <v>94</v>
      </c>
      <c r="E1131" s="108" t="s">
        <v>3971</v>
      </c>
      <c r="F1131" s="131">
        <v>3670044</v>
      </c>
      <c r="G1131" s="132" t="s">
        <v>3972</v>
      </c>
      <c r="H1131" s="132" t="s">
        <v>3973</v>
      </c>
      <c r="I1131" s="133" t="s">
        <v>49</v>
      </c>
      <c r="J1131" s="134" t="s">
        <v>49</v>
      </c>
      <c r="K1131" s="134" t="s">
        <v>49</v>
      </c>
      <c r="L1131" s="134" t="s">
        <v>49</v>
      </c>
      <c r="M1131" s="134" t="s">
        <v>49</v>
      </c>
      <c r="N1131" s="135" t="s">
        <v>49</v>
      </c>
      <c r="O1131" s="136" t="s">
        <v>49</v>
      </c>
      <c r="P1131" s="132"/>
      <c r="Q1131" s="152"/>
      <c r="R1131" s="136"/>
      <c r="S1131" s="132"/>
      <c r="T1131" s="132"/>
      <c r="U1131" s="132"/>
      <c r="V1131" s="152"/>
      <c r="W1131" s="136"/>
      <c r="X1131" s="137"/>
      <c r="Y1131" s="136"/>
      <c r="Z1131" s="132"/>
      <c r="AA1131" s="105"/>
      <c r="AB1131" s="105"/>
      <c r="AC1131" s="105">
        <v>10</v>
      </c>
      <c r="AD1131" s="118">
        <v>45931</v>
      </c>
      <c r="AE1131" s="108" t="s">
        <v>3974</v>
      </c>
    </row>
    <row r="1132" spans="1:31" ht="27" customHeight="1" x14ac:dyDescent="0.15">
      <c r="A1132" s="105">
        <v>1114300302</v>
      </c>
      <c r="B1132" s="106" t="s">
        <v>4289</v>
      </c>
      <c r="C1132" s="107" t="s">
        <v>4290</v>
      </c>
      <c r="D1132" s="108" t="s">
        <v>94</v>
      </c>
      <c r="E1132" s="108" t="s">
        <v>4291</v>
      </c>
      <c r="F1132" s="139" t="s">
        <v>4292</v>
      </c>
      <c r="G1132" s="140" t="s">
        <v>4293</v>
      </c>
      <c r="H1132" s="140" t="s">
        <v>4294</v>
      </c>
      <c r="I1132" s="141" t="s">
        <v>250</v>
      </c>
      <c r="J1132" s="142" t="s">
        <v>250</v>
      </c>
      <c r="K1132" s="142" t="s">
        <v>250</v>
      </c>
      <c r="L1132" s="142" t="s">
        <v>250</v>
      </c>
      <c r="M1132" s="142" t="s">
        <v>49</v>
      </c>
      <c r="N1132" s="142" t="s">
        <v>250</v>
      </c>
      <c r="O1132" s="138" t="s">
        <v>250</v>
      </c>
      <c r="P1132" s="105"/>
      <c r="Q1132" s="137"/>
      <c r="R1132" s="138"/>
      <c r="S1132" s="105"/>
      <c r="T1132" s="105">
        <v>20</v>
      </c>
      <c r="U1132" s="105"/>
      <c r="V1132" s="137"/>
      <c r="W1132" s="138"/>
      <c r="X1132" s="137"/>
      <c r="Y1132" s="138"/>
      <c r="Z1132" s="105"/>
      <c r="AA1132" s="105"/>
      <c r="AB1132" s="105"/>
      <c r="AC1132" s="105"/>
      <c r="AD1132" s="144">
        <v>43191</v>
      </c>
      <c r="AE1132" s="108" t="s">
        <v>4295</v>
      </c>
    </row>
    <row r="1133" spans="1:31" s="302" customFormat="1" ht="27" customHeight="1" x14ac:dyDescent="0.15">
      <c r="A1133" s="105">
        <v>1114300336</v>
      </c>
      <c r="B1133" s="106" t="s">
        <v>5301</v>
      </c>
      <c r="C1133" s="107" t="s">
        <v>5302</v>
      </c>
      <c r="D1133" s="108" t="s">
        <v>94</v>
      </c>
      <c r="E1133" s="108" t="s">
        <v>5303</v>
      </c>
      <c r="F1133" s="139" t="s">
        <v>4292</v>
      </c>
      <c r="G1133" s="140" t="s">
        <v>5304</v>
      </c>
      <c r="H1133" s="140" t="s">
        <v>5304</v>
      </c>
      <c r="I1133" s="141"/>
      <c r="J1133" s="142"/>
      <c r="K1133" s="142"/>
      <c r="L1133" s="142"/>
      <c r="M1133" s="142" t="s">
        <v>765</v>
      </c>
      <c r="N1133" s="143" t="s">
        <v>765</v>
      </c>
      <c r="O1133" s="138"/>
      <c r="P1133" s="105"/>
      <c r="Q1133" s="137"/>
      <c r="R1133" s="138"/>
      <c r="S1133" s="105"/>
      <c r="T1133" s="105"/>
      <c r="U1133" s="105"/>
      <c r="V1133" s="116"/>
      <c r="W1133" s="117"/>
      <c r="X1133" s="137"/>
      <c r="Y1133" s="138"/>
      <c r="Z1133" s="105"/>
      <c r="AA1133" s="105">
        <v>20</v>
      </c>
      <c r="AB1133" s="105"/>
      <c r="AC1133" s="105"/>
      <c r="AD1133" s="144">
        <v>43709</v>
      </c>
      <c r="AE1133" s="108" t="s">
        <v>5305</v>
      </c>
    </row>
    <row r="1134" spans="1:31" ht="27" customHeight="1" x14ac:dyDescent="0.15">
      <c r="A1134" s="105">
        <v>1114300419</v>
      </c>
      <c r="B1134" s="157" t="s">
        <v>8011</v>
      </c>
      <c r="C1134" s="157" t="s">
        <v>8012</v>
      </c>
      <c r="D1134" s="108" t="s">
        <v>94</v>
      </c>
      <c r="E1134" s="108" t="s">
        <v>8013</v>
      </c>
      <c r="F1134" s="264" t="s">
        <v>8014</v>
      </c>
      <c r="G1134" s="157" t="s">
        <v>8015</v>
      </c>
      <c r="H1134" s="157"/>
      <c r="I1134" s="141"/>
      <c r="J1134" s="142"/>
      <c r="K1134" s="142"/>
      <c r="L1134" s="142"/>
      <c r="M1134" s="142" t="s">
        <v>49</v>
      </c>
      <c r="N1134" s="143" t="s">
        <v>49</v>
      </c>
      <c r="O1134" s="138"/>
      <c r="P1134" s="105"/>
      <c r="Q1134" s="137"/>
      <c r="R1134" s="138"/>
      <c r="S1134" s="105"/>
      <c r="T1134" s="105"/>
      <c r="U1134" s="105"/>
      <c r="V1134" s="137"/>
      <c r="W1134" s="138"/>
      <c r="X1134" s="137"/>
      <c r="Y1134" s="138"/>
      <c r="Z1134" s="105"/>
      <c r="AA1134" s="105">
        <v>20</v>
      </c>
      <c r="AB1134" s="105"/>
      <c r="AC1134" s="105"/>
      <c r="AD1134" s="144">
        <v>44896</v>
      </c>
      <c r="AE1134" s="217" t="s">
        <v>8016</v>
      </c>
    </row>
    <row r="1135" spans="1:31" ht="27" customHeight="1" x14ac:dyDescent="0.15">
      <c r="A1135" s="132">
        <v>1114300427</v>
      </c>
      <c r="B1135" s="130" t="s">
        <v>11990</v>
      </c>
      <c r="C1135" s="108" t="s">
        <v>8619</v>
      </c>
      <c r="D1135" s="267" t="s">
        <v>94</v>
      </c>
      <c r="E1135" s="108" t="s">
        <v>8620</v>
      </c>
      <c r="F1135" s="264" t="s">
        <v>8621</v>
      </c>
      <c r="G1135" s="137" t="s">
        <v>8622</v>
      </c>
      <c r="H1135" s="137" t="s">
        <v>8623</v>
      </c>
      <c r="I1135" s="141" t="s">
        <v>391</v>
      </c>
      <c r="J1135" s="142" t="s">
        <v>392</v>
      </c>
      <c r="K1135" s="142" t="s">
        <v>393</v>
      </c>
      <c r="L1135" s="142" t="s">
        <v>394</v>
      </c>
      <c r="M1135" s="142" t="s">
        <v>395</v>
      </c>
      <c r="N1135" s="143" t="s">
        <v>396</v>
      </c>
      <c r="O1135" s="138" t="s">
        <v>2178</v>
      </c>
      <c r="P1135" s="105"/>
      <c r="Q1135" s="137"/>
      <c r="R1135" s="138"/>
      <c r="S1135" s="105"/>
      <c r="T1135" s="105">
        <v>6</v>
      </c>
      <c r="U1135" s="105"/>
      <c r="V1135" s="137"/>
      <c r="W1135" s="138"/>
      <c r="X1135" s="137"/>
      <c r="Y1135" s="138"/>
      <c r="Z1135" s="105"/>
      <c r="AA1135" s="105">
        <v>14</v>
      </c>
      <c r="AB1135" s="105"/>
      <c r="AC1135" s="105"/>
      <c r="AD1135" s="155">
        <v>45017</v>
      </c>
      <c r="AE1135" s="108"/>
    </row>
    <row r="1136" spans="1:31" s="65" customFormat="1" ht="27" customHeight="1" x14ac:dyDescent="0.15">
      <c r="A1136" s="105">
        <v>1114300435</v>
      </c>
      <c r="B1136" s="157" t="s">
        <v>8057</v>
      </c>
      <c r="C1136" s="157" t="s">
        <v>8401</v>
      </c>
      <c r="D1136" s="108" t="s">
        <v>94</v>
      </c>
      <c r="E1136" s="108" t="s">
        <v>8402</v>
      </c>
      <c r="F1136" s="264" t="s">
        <v>8403</v>
      </c>
      <c r="G1136" s="105" t="s">
        <v>8404</v>
      </c>
      <c r="H1136" s="105" t="s">
        <v>8404</v>
      </c>
      <c r="I1136" s="141"/>
      <c r="J1136" s="142"/>
      <c r="K1136" s="142"/>
      <c r="L1136" s="142"/>
      <c r="M1136" s="142" t="s">
        <v>49</v>
      </c>
      <c r="N1136" s="143" t="s">
        <v>49</v>
      </c>
      <c r="O1136" s="138"/>
      <c r="P1136" s="105"/>
      <c r="Q1136" s="137"/>
      <c r="R1136" s="138"/>
      <c r="S1136" s="105"/>
      <c r="T1136" s="105"/>
      <c r="U1136" s="105"/>
      <c r="V1136" s="137"/>
      <c r="W1136" s="138"/>
      <c r="X1136" s="137"/>
      <c r="Y1136" s="138"/>
      <c r="Z1136" s="105"/>
      <c r="AA1136" s="105">
        <v>20</v>
      </c>
      <c r="AB1136" s="105"/>
      <c r="AC1136" s="105"/>
      <c r="AD1136" s="155">
        <v>45078</v>
      </c>
      <c r="AE1136" s="157" t="s">
        <v>8405</v>
      </c>
    </row>
    <row r="1137" spans="1:31" s="65" customFormat="1" ht="27" customHeight="1" x14ac:dyDescent="0.15">
      <c r="A1137" s="105">
        <v>1114300450</v>
      </c>
      <c r="B1137" s="106" t="s">
        <v>9474</v>
      </c>
      <c r="C1137" s="107" t="s">
        <v>9475</v>
      </c>
      <c r="D1137" s="108" t="s">
        <v>94</v>
      </c>
      <c r="E1137" s="108" t="s">
        <v>9476</v>
      </c>
      <c r="F1137" s="139" t="s">
        <v>9477</v>
      </c>
      <c r="G1137" s="140" t="s">
        <v>9478</v>
      </c>
      <c r="H1137" s="140" t="s">
        <v>9479</v>
      </c>
      <c r="I1137" s="160" t="s">
        <v>765</v>
      </c>
      <c r="J1137" s="142"/>
      <c r="K1137" s="142"/>
      <c r="L1137" s="142" t="s">
        <v>765</v>
      </c>
      <c r="M1137" s="142"/>
      <c r="N1137" s="143"/>
      <c r="O1137" s="138" t="s">
        <v>765</v>
      </c>
      <c r="P1137" s="105"/>
      <c r="Q1137" s="137"/>
      <c r="R1137" s="138"/>
      <c r="S1137" s="105"/>
      <c r="T1137" s="105"/>
      <c r="U1137" s="105">
        <v>100</v>
      </c>
      <c r="V1137" s="137"/>
      <c r="W1137" s="138"/>
      <c r="X1137" s="137"/>
      <c r="Y1137" s="138"/>
      <c r="Z1137" s="105"/>
      <c r="AA1137" s="105"/>
      <c r="AB1137" s="105"/>
      <c r="AC1137" s="105"/>
      <c r="AD1137" s="155">
        <v>45536</v>
      </c>
      <c r="AE1137" s="108" t="s">
        <v>9480</v>
      </c>
    </row>
    <row r="1138" spans="1:31" s="65" customFormat="1" ht="27" customHeight="1" x14ac:dyDescent="0.15">
      <c r="A1138" s="105">
        <v>1114300484</v>
      </c>
      <c r="B1138" s="108" t="s">
        <v>11802</v>
      </c>
      <c r="C1138" s="108" t="s">
        <v>8426</v>
      </c>
      <c r="D1138" s="108" t="s">
        <v>94</v>
      </c>
      <c r="E1138" s="108" t="s">
        <v>8417</v>
      </c>
      <c r="F1138" s="264" t="s">
        <v>8418</v>
      </c>
      <c r="G1138" s="105" t="s">
        <v>8419</v>
      </c>
      <c r="H1138" s="105" t="s">
        <v>8420</v>
      </c>
      <c r="I1138" s="141" t="s">
        <v>765</v>
      </c>
      <c r="J1138" s="142" t="s">
        <v>765</v>
      </c>
      <c r="K1138" s="142" t="s">
        <v>765</v>
      </c>
      <c r="L1138" s="142" t="s">
        <v>765</v>
      </c>
      <c r="M1138" s="142" t="s">
        <v>765</v>
      </c>
      <c r="N1138" s="143" t="s">
        <v>765</v>
      </c>
      <c r="O1138" s="138" t="s">
        <v>765</v>
      </c>
      <c r="P1138" s="105"/>
      <c r="Q1138" s="137"/>
      <c r="R1138" s="138"/>
      <c r="S1138" s="105"/>
      <c r="T1138" s="105"/>
      <c r="U1138" s="105"/>
      <c r="V1138" s="137"/>
      <c r="W1138" s="138"/>
      <c r="X1138" s="137"/>
      <c r="Y1138" s="138"/>
      <c r="Z1138" s="105"/>
      <c r="AA1138" s="105">
        <v>20</v>
      </c>
      <c r="AB1138" s="105"/>
      <c r="AC1138" s="105"/>
      <c r="AD1138" s="155">
        <v>45962</v>
      </c>
      <c r="AE1138" s="157"/>
    </row>
    <row r="1139" spans="1:31" s="65" customFormat="1" ht="27" customHeight="1" x14ac:dyDescent="0.15">
      <c r="A1139" s="105">
        <v>1114500018</v>
      </c>
      <c r="B1139" s="130" t="s">
        <v>488</v>
      </c>
      <c r="C1139" s="108" t="s">
        <v>593</v>
      </c>
      <c r="D1139" s="108" t="s">
        <v>87</v>
      </c>
      <c r="E1139" s="108" t="s">
        <v>196</v>
      </c>
      <c r="F1139" s="131">
        <v>3600101</v>
      </c>
      <c r="G1139" s="132" t="s">
        <v>714</v>
      </c>
      <c r="H1139" s="132" t="s">
        <v>715</v>
      </c>
      <c r="I1139" s="133" t="s">
        <v>345</v>
      </c>
      <c r="J1139" s="134"/>
      <c r="K1139" s="134"/>
      <c r="L1139" s="134"/>
      <c r="M1139" s="134"/>
      <c r="N1139" s="135"/>
      <c r="O1139" s="136"/>
      <c r="P1139" s="105">
        <v>50</v>
      </c>
      <c r="Q1139" s="137" t="s">
        <v>2681</v>
      </c>
      <c r="R1139" s="138">
        <v>2</v>
      </c>
      <c r="S1139" s="132"/>
      <c r="T1139" s="105">
        <v>60</v>
      </c>
      <c r="U1139" s="132"/>
      <c r="V1139" s="152"/>
      <c r="W1139" s="136"/>
      <c r="X1139" s="152"/>
      <c r="Y1139" s="136"/>
      <c r="Z1139" s="132"/>
      <c r="AA1139" s="132"/>
      <c r="AB1139" s="132"/>
      <c r="AC1139" s="132"/>
      <c r="AD1139" s="155">
        <v>39539</v>
      </c>
      <c r="AE1139" s="108" t="s">
        <v>830</v>
      </c>
    </row>
    <row r="1140" spans="1:31" s="65" customFormat="1" ht="27" customHeight="1" x14ac:dyDescent="0.15">
      <c r="A1140" s="150">
        <v>1114500026</v>
      </c>
      <c r="B1140" s="106" t="s">
        <v>1123</v>
      </c>
      <c r="C1140" s="108" t="s">
        <v>1124</v>
      </c>
      <c r="D1140" s="108" t="s">
        <v>1125</v>
      </c>
      <c r="E1140" s="108" t="s">
        <v>1126</v>
      </c>
      <c r="F1140" s="151">
        <v>3600101</v>
      </c>
      <c r="G1140" s="132" t="s">
        <v>1127</v>
      </c>
      <c r="H1140" s="132" t="s">
        <v>1129</v>
      </c>
      <c r="I1140" s="133"/>
      <c r="J1140" s="134"/>
      <c r="K1140" s="134"/>
      <c r="L1140" s="134"/>
      <c r="M1140" s="134" t="s">
        <v>765</v>
      </c>
      <c r="N1140" s="135"/>
      <c r="O1140" s="136"/>
      <c r="P1140" s="105">
        <v>58</v>
      </c>
      <c r="Q1140" s="137" t="s">
        <v>2681</v>
      </c>
      <c r="R1140" s="138">
        <v>2</v>
      </c>
      <c r="S1140" s="132"/>
      <c r="T1140" s="105">
        <v>80</v>
      </c>
      <c r="U1140" s="132"/>
      <c r="V1140" s="152"/>
      <c r="W1140" s="136"/>
      <c r="X1140" s="152"/>
      <c r="Y1140" s="136"/>
      <c r="Z1140" s="132"/>
      <c r="AA1140" s="132"/>
      <c r="AB1140" s="132"/>
      <c r="AC1140" s="132"/>
      <c r="AD1140" s="144">
        <v>40634</v>
      </c>
      <c r="AE1140" s="108" t="s">
        <v>1128</v>
      </c>
    </row>
    <row r="1141" spans="1:31" s="218" customFormat="1" ht="27" customHeight="1" x14ac:dyDescent="0.15">
      <c r="A1141" s="105">
        <v>1114500034</v>
      </c>
      <c r="B1141" s="106" t="s">
        <v>1851</v>
      </c>
      <c r="C1141" s="107" t="s">
        <v>3746</v>
      </c>
      <c r="D1141" s="108" t="s">
        <v>1852</v>
      </c>
      <c r="E1141" s="108" t="s">
        <v>1853</v>
      </c>
      <c r="F1141" s="139">
        <v>3600105</v>
      </c>
      <c r="G1141" s="159" t="s">
        <v>1854</v>
      </c>
      <c r="H1141" s="140" t="s">
        <v>1855</v>
      </c>
      <c r="I1141" s="160"/>
      <c r="J1141" s="142" t="s">
        <v>49</v>
      </c>
      <c r="K1141" s="142" t="s">
        <v>49</v>
      </c>
      <c r="L1141" s="142"/>
      <c r="M1141" s="142"/>
      <c r="N1141" s="143"/>
      <c r="O1141" s="138"/>
      <c r="P1141" s="105">
        <v>30</v>
      </c>
      <c r="Q1141" s="137"/>
      <c r="R1141" s="138"/>
      <c r="S1141" s="105"/>
      <c r="T1141" s="105">
        <v>24</v>
      </c>
      <c r="U1141" s="105">
        <v>12</v>
      </c>
      <c r="V1141" s="137"/>
      <c r="W1141" s="138"/>
      <c r="X1141" s="137"/>
      <c r="Y1141" s="138"/>
      <c r="Z1141" s="105"/>
      <c r="AA1141" s="105"/>
      <c r="AB1141" s="105"/>
      <c r="AC1141" s="105"/>
      <c r="AD1141" s="144">
        <v>41000</v>
      </c>
      <c r="AE1141" s="108" t="s">
        <v>1905</v>
      </c>
    </row>
    <row r="1142" spans="1:31" s="65" customFormat="1" ht="27" customHeight="1" x14ac:dyDescent="0.15">
      <c r="A1142" s="105">
        <v>1114500059</v>
      </c>
      <c r="B1142" s="130" t="s">
        <v>435</v>
      </c>
      <c r="C1142" s="108" t="s">
        <v>941</v>
      </c>
      <c r="D1142" s="108" t="s">
        <v>87</v>
      </c>
      <c r="E1142" s="108" t="s">
        <v>943</v>
      </c>
      <c r="F1142" s="131">
        <v>3600105</v>
      </c>
      <c r="G1142" s="132" t="s">
        <v>716</v>
      </c>
      <c r="H1142" s="132" t="s">
        <v>1056</v>
      </c>
      <c r="I1142" s="133"/>
      <c r="J1142" s="134"/>
      <c r="K1142" s="134"/>
      <c r="L1142" s="134"/>
      <c r="M1142" s="134" t="s">
        <v>49</v>
      </c>
      <c r="N1142" s="135"/>
      <c r="O1142" s="136"/>
      <c r="P1142" s="105"/>
      <c r="Q1142" s="137"/>
      <c r="R1142" s="138"/>
      <c r="S1142" s="105"/>
      <c r="T1142" s="105">
        <v>16</v>
      </c>
      <c r="U1142" s="105"/>
      <c r="V1142" s="137"/>
      <c r="W1142" s="138"/>
      <c r="X1142" s="152"/>
      <c r="Y1142" s="138"/>
      <c r="Z1142" s="105"/>
      <c r="AA1142" s="105">
        <v>18</v>
      </c>
      <c r="AB1142" s="105"/>
      <c r="AC1142" s="105"/>
      <c r="AD1142" s="118">
        <v>39083</v>
      </c>
      <c r="AE1142" s="108" t="s">
        <v>220</v>
      </c>
    </row>
    <row r="1143" spans="1:31" s="65" customFormat="1" ht="27" customHeight="1" x14ac:dyDescent="0.15">
      <c r="A1143" s="132">
        <v>1114550021</v>
      </c>
      <c r="B1143" s="130" t="s">
        <v>489</v>
      </c>
      <c r="C1143" s="108" t="s">
        <v>525</v>
      </c>
      <c r="D1143" s="108" t="s">
        <v>95</v>
      </c>
      <c r="E1143" s="108" t="s">
        <v>192</v>
      </c>
      <c r="F1143" s="131">
        <v>3691205</v>
      </c>
      <c r="G1143" s="132" t="s">
        <v>717</v>
      </c>
      <c r="H1143" s="132" t="s">
        <v>718</v>
      </c>
      <c r="I1143" s="133" t="s">
        <v>49</v>
      </c>
      <c r="J1143" s="134" t="s">
        <v>49</v>
      </c>
      <c r="K1143" s="134" t="s">
        <v>49</v>
      </c>
      <c r="L1143" s="134" t="s">
        <v>49</v>
      </c>
      <c r="M1143" s="134" t="s">
        <v>49</v>
      </c>
      <c r="N1143" s="135" t="s">
        <v>49</v>
      </c>
      <c r="O1143" s="136" t="s">
        <v>49</v>
      </c>
      <c r="P1143" s="105"/>
      <c r="Q1143" s="137"/>
      <c r="R1143" s="138"/>
      <c r="S1143" s="105"/>
      <c r="T1143" s="105">
        <v>20</v>
      </c>
      <c r="U1143" s="105"/>
      <c r="V1143" s="137"/>
      <c r="W1143" s="138"/>
      <c r="X1143" s="137"/>
      <c r="Y1143" s="138"/>
      <c r="Z1143" s="105"/>
      <c r="AA1143" s="105">
        <v>17</v>
      </c>
      <c r="AB1143" s="105"/>
      <c r="AC1143" s="105"/>
      <c r="AD1143" s="118">
        <v>39173</v>
      </c>
      <c r="AE1143" s="108" t="s">
        <v>1397</v>
      </c>
    </row>
    <row r="1144" spans="1:31" s="65" customFormat="1" ht="27" customHeight="1" x14ac:dyDescent="0.15">
      <c r="A1144" s="132">
        <v>1114550047</v>
      </c>
      <c r="B1144" s="130" t="s">
        <v>2005</v>
      </c>
      <c r="C1144" s="108" t="s">
        <v>10335</v>
      </c>
      <c r="D1144" s="108" t="s">
        <v>95</v>
      </c>
      <c r="E1144" s="108" t="s">
        <v>2006</v>
      </c>
      <c r="F1144" s="131" t="s">
        <v>2007</v>
      </c>
      <c r="G1144" s="152" t="s">
        <v>2008</v>
      </c>
      <c r="H1144" s="132" t="s">
        <v>2009</v>
      </c>
      <c r="I1144" s="183" t="s">
        <v>1992</v>
      </c>
      <c r="J1144" s="134"/>
      <c r="K1144" s="134"/>
      <c r="L1144" s="134"/>
      <c r="M1144" s="134" t="s">
        <v>1992</v>
      </c>
      <c r="N1144" s="135"/>
      <c r="O1144" s="136" t="s">
        <v>2232</v>
      </c>
      <c r="P1144" s="105"/>
      <c r="Q1144" s="152" t="s">
        <v>2610</v>
      </c>
      <c r="R1144" s="138"/>
      <c r="S1144" s="105">
        <v>90</v>
      </c>
      <c r="T1144" s="105"/>
      <c r="U1144" s="105"/>
      <c r="V1144" s="137"/>
      <c r="W1144" s="138"/>
      <c r="X1144" s="137"/>
      <c r="Y1144" s="138"/>
      <c r="Z1144" s="105"/>
      <c r="AA1144" s="105"/>
      <c r="AB1144" s="105"/>
      <c r="AC1144" s="105"/>
      <c r="AD1144" s="118">
        <v>41000</v>
      </c>
      <c r="AE1144" s="108" t="s">
        <v>6146</v>
      </c>
    </row>
    <row r="1145" spans="1:31" s="65" customFormat="1" ht="27" customHeight="1" x14ac:dyDescent="0.15">
      <c r="A1145" s="150">
        <v>1114550054</v>
      </c>
      <c r="B1145" s="106" t="s">
        <v>436</v>
      </c>
      <c r="C1145" s="107" t="s">
        <v>521</v>
      </c>
      <c r="D1145" s="108" t="s">
        <v>831</v>
      </c>
      <c r="E1145" s="108" t="s">
        <v>832</v>
      </c>
      <c r="F1145" s="151">
        <v>3691204</v>
      </c>
      <c r="G1145" s="152" t="s">
        <v>833</v>
      </c>
      <c r="H1145" s="132" t="s">
        <v>834</v>
      </c>
      <c r="I1145" s="183" t="s">
        <v>49</v>
      </c>
      <c r="J1145" s="134" t="s">
        <v>49</v>
      </c>
      <c r="K1145" s="134" t="s">
        <v>49</v>
      </c>
      <c r="L1145" s="134" t="s">
        <v>49</v>
      </c>
      <c r="M1145" s="134" t="s">
        <v>49</v>
      </c>
      <c r="N1145" s="135"/>
      <c r="O1145" s="136" t="s">
        <v>49</v>
      </c>
      <c r="P1145" s="105">
        <v>50</v>
      </c>
      <c r="Q1145" s="137" t="s">
        <v>49</v>
      </c>
      <c r="R1145" s="138">
        <v>3</v>
      </c>
      <c r="S1145" s="132"/>
      <c r="T1145" s="105">
        <v>60</v>
      </c>
      <c r="U1145" s="105"/>
      <c r="V1145" s="137"/>
      <c r="W1145" s="138"/>
      <c r="X1145" s="137"/>
      <c r="Y1145" s="138"/>
      <c r="Z1145" s="105"/>
      <c r="AA1145" s="105"/>
      <c r="AB1145" s="105"/>
      <c r="AC1145" s="105"/>
      <c r="AD1145" s="118">
        <v>39722</v>
      </c>
      <c r="AE1145" s="108" t="s">
        <v>835</v>
      </c>
    </row>
    <row r="1146" spans="1:31" s="65" customFormat="1" ht="27" customHeight="1" x14ac:dyDescent="0.15">
      <c r="A1146" s="105">
        <v>1114550088</v>
      </c>
      <c r="B1146" s="130" t="s">
        <v>780</v>
      </c>
      <c r="C1146" s="108" t="s">
        <v>507</v>
      </c>
      <c r="D1146" s="108" t="s">
        <v>95</v>
      </c>
      <c r="E1146" s="108" t="s">
        <v>197</v>
      </c>
      <c r="F1146" s="131">
        <v>3691214</v>
      </c>
      <c r="G1146" s="132" t="s">
        <v>719</v>
      </c>
      <c r="H1146" s="132" t="s">
        <v>720</v>
      </c>
      <c r="I1146" s="116" t="s">
        <v>261</v>
      </c>
      <c r="J1146" s="154" t="s">
        <v>261</v>
      </c>
      <c r="K1146" s="154" t="s">
        <v>261</v>
      </c>
      <c r="L1146" s="154" t="s">
        <v>261</v>
      </c>
      <c r="M1146" s="154" t="s">
        <v>261</v>
      </c>
      <c r="N1146" s="143" t="s">
        <v>261</v>
      </c>
      <c r="O1146" s="138" t="s">
        <v>2170</v>
      </c>
      <c r="P1146" s="105"/>
      <c r="Q1146" s="137"/>
      <c r="R1146" s="138"/>
      <c r="S1146" s="105"/>
      <c r="T1146" s="105"/>
      <c r="U1146" s="105"/>
      <c r="V1146" s="137"/>
      <c r="W1146" s="138"/>
      <c r="X1146" s="137"/>
      <c r="Y1146" s="138"/>
      <c r="Z1146" s="105"/>
      <c r="AA1146" s="105">
        <v>20</v>
      </c>
      <c r="AB1146" s="105"/>
      <c r="AC1146" s="105"/>
      <c r="AD1146" s="118">
        <v>38991</v>
      </c>
      <c r="AE1146" s="108" t="s">
        <v>836</v>
      </c>
    </row>
    <row r="1147" spans="1:31" s="65" customFormat="1" ht="27" customHeight="1" x14ac:dyDescent="0.15">
      <c r="A1147" s="132">
        <v>1114550096</v>
      </c>
      <c r="B1147" s="130" t="s">
        <v>489</v>
      </c>
      <c r="C1147" s="108" t="s">
        <v>526</v>
      </c>
      <c r="D1147" s="108" t="s">
        <v>95</v>
      </c>
      <c r="E1147" s="108" t="s">
        <v>7390</v>
      </c>
      <c r="F1147" s="131">
        <v>3691205</v>
      </c>
      <c r="G1147" s="132" t="s">
        <v>721</v>
      </c>
      <c r="H1147" s="132" t="s">
        <v>722</v>
      </c>
      <c r="I1147" s="133" t="s">
        <v>49</v>
      </c>
      <c r="J1147" s="134"/>
      <c r="K1147" s="134"/>
      <c r="L1147" s="134"/>
      <c r="M1147" s="134" t="s">
        <v>49</v>
      </c>
      <c r="N1147" s="135" t="s">
        <v>49</v>
      </c>
      <c r="O1147" s="136" t="s">
        <v>49</v>
      </c>
      <c r="P1147" s="105"/>
      <c r="Q1147" s="137"/>
      <c r="R1147" s="138"/>
      <c r="S1147" s="105"/>
      <c r="T1147" s="105">
        <v>20</v>
      </c>
      <c r="U1147" s="105"/>
      <c r="V1147" s="137"/>
      <c r="W1147" s="138"/>
      <c r="X1147" s="137"/>
      <c r="Y1147" s="138"/>
      <c r="Z1147" s="105"/>
      <c r="AA1147" s="105"/>
      <c r="AB1147" s="105"/>
      <c r="AC1147" s="105"/>
      <c r="AD1147" s="118">
        <v>39173</v>
      </c>
      <c r="AE1147" s="108" t="s">
        <v>837</v>
      </c>
    </row>
    <row r="1148" spans="1:31" s="65" customFormat="1" ht="27" customHeight="1" x14ac:dyDescent="0.15">
      <c r="A1148" s="132">
        <v>1114550138</v>
      </c>
      <c r="B1148" s="213" t="s">
        <v>1018</v>
      </c>
      <c r="C1148" s="214" t="s">
        <v>958</v>
      </c>
      <c r="D1148" s="108" t="s">
        <v>95</v>
      </c>
      <c r="E1148" s="108" t="s">
        <v>1020</v>
      </c>
      <c r="F1148" s="131">
        <v>3691203</v>
      </c>
      <c r="G1148" s="132" t="s">
        <v>1023</v>
      </c>
      <c r="H1148" s="132" t="s">
        <v>1023</v>
      </c>
      <c r="I1148" s="183"/>
      <c r="J1148" s="134"/>
      <c r="K1148" s="134"/>
      <c r="L1148" s="134"/>
      <c r="M1148" s="134" t="s">
        <v>49</v>
      </c>
      <c r="N1148" s="135"/>
      <c r="O1148" s="136"/>
      <c r="P1148" s="105"/>
      <c r="Q1148" s="137"/>
      <c r="R1148" s="138"/>
      <c r="S1148" s="105"/>
      <c r="T1148" s="105"/>
      <c r="U1148" s="105"/>
      <c r="V1148" s="137"/>
      <c r="W1148" s="138"/>
      <c r="X1148" s="116"/>
      <c r="Y1148" s="117"/>
      <c r="Z1148" s="105"/>
      <c r="AA1148" s="105">
        <v>20</v>
      </c>
      <c r="AB1148" s="105"/>
      <c r="AC1148" s="105"/>
      <c r="AD1148" s="118">
        <v>40299</v>
      </c>
      <c r="AE1148" s="108" t="s">
        <v>1021</v>
      </c>
    </row>
    <row r="1149" spans="1:31" s="65" customFormat="1" ht="27" customHeight="1" x14ac:dyDescent="0.15">
      <c r="A1149" s="132">
        <v>1114550153</v>
      </c>
      <c r="B1149" s="130" t="s">
        <v>1620</v>
      </c>
      <c r="C1149" s="108" t="s">
        <v>1621</v>
      </c>
      <c r="D1149" s="108" t="s">
        <v>95</v>
      </c>
      <c r="E1149" s="108" t="s">
        <v>1622</v>
      </c>
      <c r="F1149" s="131">
        <v>3691201</v>
      </c>
      <c r="G1149" s="132" t="s">
        <v>3942</v>
      </c>
      <c r="H1149" s="132" t="s">
        <v>3943</v>
      </c>
      <c r="I1149" s="183"/>
      <c r="J1149" s="134"/>
      <c r="K1149" s="134"/>
      <c r="L1149" s="134"/>
      <c r="M1149" s="134" t="s">
        <v>3944</v>
      </c>
      <c r="N1149" s="135" t="s">
        <v>3944</v>
      </c>
      <c r="O1149" s="136"/>
      <c r="P1149" s="105"/>
      <c r="Q1149" s="137"/>
      <c r="R1149" s="138"/>
      <c r="S1149" s="105"/>
      <c r="T1149" s="105"/>
      <c r="U1149" s="105"/>
      <c r="V1149" s="137"/>
      <c r="W1149" s="138"/>
      <c r="X1149" s="116">
        <v>6</v>
      </c>
      <c r="Y1149" s="117"/>
      <c r="Z1149" s="105"/>
      <c r="AA1149" s="105">
        <v>14</v>
      </c>
      <c r="AB1149" s="105"/>
      <c r="AC1149" s="105"/>
      <c r="AD1149" s="118">
        <v>40940</v>
      </c>
      <c r="AE1149" s="108" t="s">
        <v>1624</v>
      </c>
    </row>
    <row r="1150" spans="1:31" s="65" customFormat="1" ht="27" customHeight="1" x14ac:dyDescent="0.15">
      <c r="A1150" s="105">
        <v>1114550278</v>
      </c>
      <c r="B1150" s="130" t="s">
        <v>4858</v>
      </c>
      <c r="C1150" s="108" t="s">
        <v>4859</v>
      </c>
      <c r="D1150" s="108" t="s">
        <v>95</v>
      </c>
      <c r="E1150" s="108" t="s">
        <v>4860</v>
      </c>
      <c r="F1150" s="131" t="s">
        <v>4861</v>
      </c>
      <c r="G1150" s="132" t="s">
        <v>4862</v>
      </c>
      <c r="H1150" s="132" t="s">
        <v>4863</v>
      </c>
      <c r="I1150" s="133" t="s">
        <v>49</v>
      </c>
      <c r="J1150" s="134" t="s">
        <v>49</v>
      </c>
      <c r="K1150" s="134" t="s">
        <v>49</v>
      </c>
      <c r="L1150" s="134" t="s">
        <v>49</v>
      </c>
      <c r="M1150" s="134" t="s">
        <v>49</v>
      </c>
      <c r="N1150" s="135" t="s">
        <v>49</v>
      </c>
      <c r="O1150" s="136" t="s">
        <v>49</v>
      </c>
      <c r="P1150" s="105"/>
      <c r="Q1150" s="152"/>
      <c r="R1150" s="138"/>
      <c r="S1150" s="132"/>
      <c r="T1150" s="132">
        <v>10</v>
      </c>
      <c r="U1150" s="132"/>
      <c r="V1150" s="152"/>
      <c r="W1150" s="136"/>
      <c r="X1150" s="152"/>
      <c r="Y1150" s="136"/>
      <c r="Z1150" s="132"/>
      <c r="AA1150" s="132"/>
      <c r="AB1150" s="132"/>
      <c r="AC1150" s="132"/>
      <c r="AD1150" s="155">
        <v>43466</v>
      </c>
      <c r="AE1150" s="108" t="s">
        <v>5441</v>
      </c>
    </row>
    <row r="1151" spans="1:31" ht="27" customHeight="1" x14ac:dyDescent="0.15">
      <c r="A1151" s="105">
        <v>1114550294</v>
      </c>
      <c r="B1151" s="130" t="s">
        <v>6944</v>
      </c>
      <c r="C1151" s="108" t="s">
        <v>6945</v>
      </c>
      <c r="D1151" s="108" t="s">
        <v>831</v>
      </c>
      <c r="E1151" s="108" t="s">
        <v>6946</v>
      </c>
      <c r="F1151" s="131" t="s">
        <v>6947</v>
      </c>
      <c r="G1151" s="132" t="s">
        <v>6948</v>
      </c>
      <c r="H1151" s="132" t="s">
        <v>6949</v>
      </c>
      <c r="I1151" s="133" t="s">
        <v>765</v>
      </c>
      <c r="J1151" s="134" t="s">
        <v>765</v>
      </c>
      <c r="K1151" s="134" t="s">
        <v>765</v>
      </c>
      <c r="L1151" s="134" t="s">
        <v>765</v>
      </c>
      <c r="M1151" s="134" t="s">
        <v>765</v>
      </c>
      <c r="N1151" s="135" t="s">
        <v>765</v>
      </c>
      <c r="O1151" s="136" t="s">
        <v>765</v>
      </c>
      <c r="P1151" s="132"/>
      <c r="Q1151" s="152"/>
      <c r="R1151" s="136"/>
      <c r="S1151" s="132"/>
      <c r="T1151" s="132">
        <v>24</v>
      </c>
      <c r="U1151" s="132"/>
      <c r="V1151" s="152"/>
      <c r="W1151" s="136"/>
      <c r="X1151" s="152"/>
      <c r="Y1151" s="136"/>
      <c r="Z1151" s="132"/>
      <c r="AA1151" s="105"/>
      <c r="AB1151" s="105"/>
      <c r="AC1151" s="105"/>
      <c r="AD1151" s="118">
        <v>44409</v>
      </c>
      <c r="AE1151" s="108" t="s">
        <v>6950</v>
      </c>
    </row>
    <row r="1152" spans="1:31" s="65" customFormat="1" ht="27" customHeight="1" x14ac:dyDescent="0.15">
      <c r="A1152" s="105">
        <v>1114550336</v>
      </c>
      <c r="B1152" s="130" t="s">
        <v>10180</v>
      </c>
      <c r="C1152" s="108" t="s">
        <v>10181</v>
      </c>
      <c r="D1152" s="108" t="s">
        <v>10182</v>
      </c>
      <c r="E1152" s="108" t="s">
        <v>10183</v>
      </c>
      <c r="F1152" s="131" t="s">
        <v>10184</v>
      </c>
      <c r="G1152" s="132" t="s">
        <v>10465</v>
      </c>
      <c r="H1152" s="132" t="s">
        <v>10466</v>
      </c>
      <c r="I1152" s="116" t="s">
        <v>49</v>
      </c>
      <c r="J1152" s="154" t="s">
        <v>49</v>
      </c>
      <c r="K1152" s="154" t="s">
        <v>49</v>
      </c>
      <c r="L1152" s="154" t="s">
        <v>49</v>
      </c>
      <c r="M1152" s="154" t="s">
        <v>49</v>
      </c>
      <c r="N1152" s="143" t="s">
        <v>49</v>
      </c>
      <c r="O1152" s="138" t="s">
        <v>49</v>
      </c>
      <c r="P1152" s="105"/>
      <c r="Q1152" s="137"/>
      <c r="R1152" s="138"/>
      <c r="S1152" s="105"/>
      <c r="T1152" s="105">
        <v>8</v>
      </c>
      <c r="U1152" s="105"/>
      <c r="V1152" s="270"/>
      <c r="W1152" s="271"/>
      <c r="X1152" s="152"/>
      <c r="Y1152" s="138"/>
      <c r="Z1152" s="105"/>
      <c r="AA1152" s="105">
        <v>12</v>
      </c>
      <c r="AB1152" s="105"/>
      <c r="AC1152" s="105"/>
      <c r="AD1152" s="118">
        <v>45778</v>
      </c>
      <c r="AE1152" s="108" t="s">
        <v>10185</v>
      </c>
    </row>
    <row r="1153" spans="1:31" s="65" customFormat="1" ht="27" customHeight="1" x14ac:dyDescent="0.15">
      <c r="A1153" s="105">
        <v>1114550344</v>
      </c>
      <c r="B1153" s="130" t="s">
        <v>11803</v>
      </c>
      <c r="C1153" s="108" t="s">
        <v>11356</v>
      </c>
      <c r="D1153" s="108" t="s">
        <v>10182</v>
      </c>
      <c r="E1153" s="108" t="s">
        <v>10823</v>
      </c>
      <c r="F1153" s="131" t="s">
        <v>9702</v>
      </c>
      <c r="G1153" s="132" t="s">
        <v>10824</v>
      </c>
      <c r="H1153" s="132" t="s">
        <v>10824</v>
      </c>
      <c r="I1153" s="133"/>
      <c r="J1153" s="134"/>
      <c r="K1153" s="134"/>
      <c r="L1153" s="134"/>
      <c r="M1153" s="134" t="s">
        <v>765</v>
      </c>
      <c r="N1153" s="135" t="s">
        <v>765</v>
      </c>
      <c r="O1153" s="136"/>
      <c r="P1153" s="105"/>
      <c r="Q1153" s="137"/>
      <c r="R1153" s="138"/>
      <c r="S1153" s="105"/>
      <c r="T1153" s="105">
        <v>10</v>
      </c>
      <c r="U1153" s="105"/>
      <c r="V1153" s="137"/>
      <c r="W1153" s="138"/>
      <c r="X1153" s="137"/>
      <c r="Y1153" s="138"/>
      <c r="Z1153" s="105"/>
      <c r="AA1153" s="105">
        <v>10</v>
      </c>
      <c r="AB1153" s="105"/>
      <c r="AC1153" s="105"/>
      <c r="AD1153" s="118">
        <v>45931</v>
      </c>
      <c r="AE1153" s="108" t="s">
        <v>10825</v>
      </c>
    </row>
    <row r="1154" spans="1:31" s="65" customFormat="1" ht="27" customHeight="1" x14ac:dyDescent="0.15">
      <c r="A1154" s="150">
        <v>1114600057</v>
      </c>
      <c r="B1154" s="106" t="s">
        <v>7612</v>
      </c>
      <c r="C1154" s="107" t="s">
        <v>7613</v>
      </c>
      <c r="D1154" s="108" t="s">
        <v>4094</v>
      </c>
      <c r="E1154" s="108" t="s">
        <v>7614</v>
      </c>
      <c r="F1154" s="151">
        <v>3660810</v>
      </c>
      <c r="G1154" s="152" t="s">
        <v>7615</v>
      </c>
      <c r="H1154" s="132" t="s">
        <v>7616</v>
      </c>
      <c r="I1154" s="183" t="s">
        <v>2107</v>
      </c>
      <c r="J1154" s="134"/>
      <c r="K1154" s="134"/>
      <c r="L1154" s="134"/>
      <c r="M1154" s="134" t="s">
        <v>765</v>
      </c>
      <c r="N1154" s="135" t="s">
        <v>2107</v>
      </c>
      <c r="O1154" s="136" t="s">
        <v>2107</v>
      </c>
      <c r="P1154" s="105">
        <v>40</v>
      </c>
      <c r="Q1154" s="137" t="s">
        <v>765</v>
      </c>
      <c r="R1154" s="138">
        <v>7</v>
      </c>
      <c r="S1154" s="105"/>
      <c r="T1154" s="105">
        <v>50</v>
      </c>
      <c r="U1154" s="105"/>
      <c r="V1154" s="137"/>
      <c r="W1154" s="138"/>
      <c r="X1154" s="137"/>
      <c r="Y1154" s="138"/>
      <c r="Z1154" s="105"/>
      <c r="AA1154" s="105"/>
      <c r="AB1154" s="105"/>
      <c r="AC1154" s="105"/>
      <c r="AD1154" s="118">
        <v>40087</v>
      </c>
      <c r="AE1154" s="108" t="s">
        <v>1581</v>
      </c>
    </row>
    <row r="1155" spans="1:31" s="65" customFormat="1" ht="27" customHeight="1" x14ac:dyDescent="0.15">
      <c r="A1155" s="150">
        <v>1114600099</v>
      </c>
      <c r="B1155" s="106" t="s">
        <v>877</v>
      </c>
      <c r="C1155" s="107" t="s">
        <v>929</v>
      </c>
      <c r="D1155" s="108" t="s">
        <v>902</v>
      </c>
      <c r="E1155" s="108" t="s">
        <v>930</v>
      </c>
      <c r="F1155" s="230">
        <v>3691105</v>
      </c>
      <c r="G1155" s="132" t="s">
        <v>931</v>
      </c>
      <c r="H1155" s="132" t="s">
        <v>932</v>
      </c>
      <c r="I1155" s="116"/>
      <c r="J1155" s="154"/>
      <c r="K1155" s="154"/>
      <c r="L1155" s="154"/>
      <c r="M1155" s="154" t="s">
        <v>977</v>
      </c>
      <c r="N1155" s="143"/>
      <c r="O1155" s="138"/>
      <c r="P1155" s="105"/>
      <c r="Q1155" s="116"/>
      <c r="R1155" s="138"/>
      <c r="S1155" s="105"/>
      <c r="T1155" s="105"/>
      <c r="U1155" s="105"/>
      <c r="V1155" s="116"/>
      <c r="W1155" s="138"/>
      <c r="X1155" s="116"/>
      <c r="Y1155" s="138"/>
      <c r="Z1155" s="105"/>
      <c r="AA1155" s="105">
        <v>40</v>
      </c>
      <c r="AB1155" s="105"/>
      <c r="AC1155" s="105"/>
      <c r="AD1155" s="118">
        <v>40269</v>
      </c>
      <c r="AE1155" s="108" t="s">
        <v>979</v>
      </c>
    </row>
    <row r="1156" spans="1:31" s="65" customFormat="1" ht="27" customHeight="1" x14ac:dyDescent="0.15">
      <c r="A1156" s="132">
        <v>1114600107</v>
      </c>
      <c r="B1156" s="130" t="s">
        <v>490</v>
      </c>
      <c r="C1156" s="108" t="s">
        <v>601</v>
      </c>
      <c r="D1156" s="108" t="s">
        <v>96</v>
      </c>
      <c r="E1156" s="108" t="s">
        <v>198</v>
      </c>
      <c r="F1156" s="131">
        <v>3691105</v>
      </c>
      <c r="G1156" s="132" t="s">
        <v>723</v>
      </c>
      <c r="H1156" s="132" t="s">
        <v>5204</v>
      </c>
      <c r="I1156" s="116" t="s">
        <v>5205</v>
      </c>
      <c r="J1156" s="154" t="s">
        <v>5205</v>
      </c>
      <c r="K1156" s="154" t="s">
        <v>5205</v>
      </c>
      <c r="L1156" s="154" t="s">
        <v>5205</v>
      </c>
      <c r="M1156" s="154" t="s">
        <v>5205</v>
      </c>
      <c r="N1156" s="143" t="s">
        <v>5205</v>
      </c>
      <c r="O1156" s="138" t="s">
        <v>5205</v>
      </c>
      <c r="P1156" s="105"/>
      <c r="Q1156" s="137"/>
      <c r="R1156" s="138"/>
      <c r="S1156" s="105"/>
      <c r="T1156" s="105"/>
      <c r="U1156" s="105"/>
      <c r="V1156" s="137"/>
      <c r="W1156" s="138"/>
      <c r="X1156" s="137"/>
      <c r="Y1156" s="138"/>
      <c r="Z1156" s="105"/>
      <c r="AA1156" s="105">
        <v>30</v>
      </c>
      <c r="AB1156" s="105"/>
      <c r="AC1156" s="105"/>
      <c r="AD1156" s="118">
        <v>39569</v>
      </c>
      <c r="AE1156" s="108" t="s">
        <v>838</v>
      </c>
    </row>
    <row r="1157" spans="1:31" ht="27" customHeight="1" x14ac:dyDescent="0.15">
      <c r="A1157" s="105">
        <v>1114600131</v>
      </c>
      <c r="B1157" s="130" t="s">
        <v>786</v>
      </c>
      <c r="C1157" s="108" t="s">
        <v>596</v>
      </c>
      <c r="D1157" s="108" t="s">
        <v>96</v>
      </c>
      <c r="E1157" s="108" t="s">
        <v>200</v>
      </c>
      <c r="F1157" s="131">
        <v>3691105</v>
      </c>
      <c r="G1157" s="132" t="s">
        <v>726</v>
      </c>
      <c r="H1157" s="132" t="s">
        <v>727</v>
      </c>
      <c r="I1157" s="133" t="s">
        <v>5000</v>
      </c>
      <c r="J1157" s="134" t="s">
        <v>5000</v>
      </c>
      <c r="K1157" s="134" t="s">
        <v>5000</v>
      </c>
      <c r="L1157" s="134" t="s">
        <v>5000</v>
      </c>
      <c r="M1157" s="134" t="s">
        <v>5000</v>
      </c>
      <c r="N1157" s="135"/>
      <c r="O1157" s="136"/>
      <c r="P1157" s="132"/>
      <c r="Q1157" s="152"/>
      <c r="R1157" s="136"/>
      <c r="S1157" s="132"/>
      <c r="T1157" s="132">
        <v>15</v>
      </c>
      <c r="U1157" s="132"/>
      <c r="V1157" s="152"/>
      <c r="W1157" s="136"/>
      <c r="X1157" s="137"/>
      <c r="Y1157" s="136"/>
      <c r="Z1157" s="132"/>
      <c r="AA1157" s="105">
        <v>35</v>
      </c>
      <c r="AB1157" s="105"/>
      <c r="AC1157" s="105"/>
      <c r="AD1157" s="155">
        <v>39539</v>
      </c>
      <c r="AE1157" s="108" t="s">
        <v>841</v>
      </c>
    </row>
    <row r="1158" spans="1:31" ht="27" customHeight="1" x14ac:dyDescent="0.15">
      <c r="A1158" s="105">
        <v>1114600149</v>
      </c>
      <c r="B1158" s="130" t="s">
        <v>786</v>
      </c>
      <c r="C1158" s="108" t="s">
        <v>595</v>
      </c>
      <c r="D1158" s="108" t="s">
        <v>96</v>
      </c>
      <c r="E1158" s="108" t="s">
        <v>2389</v>
      </c>
      <c r="F1158" s="131">
        <v>3691105</v>
      </c>
      <c r="G1158" s="132" t="s">
        <v>4801</v>
      </c>
      <c r="H1158" s="132" t="s">
        <v>4802</v>
      </c>
      <c r="I1158" s="133" t="s">
        <v>4803</v>
      </c>
      <c r="J1158" s="134"/>
      <c r="K1158" s="134" t="s">
        <v>4803</v>
      </c>
      <c r="L1158" s="134"/>
      <c r="M1158" s="134"/>
      <c r="N1158" s="135"/>
      <c r="O1158" s="136"/>
      <c r="P1158" s="105">
        <v>40</v>
      </c>
      <c r="Q1158" s="152"/>
      <c r="R1158" s="138">
        <v>6</v>
      </c>
      <c r="S1158" s="132"/>
      <c r="T1158" s="105">
        <v>40</v>
      </c>
      <c r="U1158" s="132"/>
      <c r="V1158" s="152"/>
      <c r="W1158" s="136"/>
      <c r="X1158" s="152"/>
      <c r="Y1158" s="136"/>
      <c r="Z1158" s="132"/>
      <c r="AA1158" s="132"/>
      <c r="AB1158" s="132"/>
      <c r="AC1158" s="132"/>
      <c r="AD1158" s="155">
        <v>39539</v>
      </c>
      <c r="AE1158" s="108" t="s">
        <v>841</v>
      </c>
    </row>
    <row r="1159" spans="1:31" s="65" customFormat="1" ht="27" customHeight="1" x14ac:dyDescent="0.15">
      <c r="A1159" s="150">
        <v>1114600164</v>
      </c>
      <c r="B1159" s="130" t="s">
        <v>4326</v>
      </c>
      <c r="C1159" s="107" t="s">
        <v>4330</v>
      </c>
      <c r="D1159" s="108" t="s">
        <v>4331</v>
      </c>
      <c r="E1159" s="108" t="s">
        <v>4332</v>
      </c>
      <c r="F1159" s="151">
        <v>3691246</v>
      </c>
      <c r="G1159" s="152" t="s">
        <v>4327</v>
      </c>
      <c r="H1159" s="132" t="s">
        <v>4328</v>
      </c>
      <c r="I1159" s="183"/>
      <c r="J1159" s="134"/>
      <c r="K1159" s="134"/>
      <c r="L1159" s="134"/>
      <c r="M1159" s="154" t="s">
        <v>4329</v>
      </c>
      <c r="N1159" s="135"/>
      <c r="O1159" s="136"/>
      <c r="P1159" s="105">
        <v>110</v>
      </c>
      <c r="Q1159" s="116" t="s">
        <v>4329</v>
      </c>
      <c r="R1159" s="138">
        <v>16</v>
      </c>
      <c r="S1159" s="132"/>
      <c r="T1159" s="105">
        <v>130</v>
      </c>
      <c r="U1159" s="132"/>
      <c r="V1159" s="152"/>
      <c r="W1159" s="136"/>
      <c r="X1159" s="152"/>
      <c r="Y1159" s="136"/>
      <c r="Z1159" s="132"/>
      <c r="AA1159" s="132"/>
      <c r="AB1159" s="132"/>
      <c r="AC1159" s="132"/>
      <c r="AD1159" s="144">
        <v>40634</v>
      </c>
      <c r="AE1159" s="108" t="s">
        <v>1573</v>
      </c>
    </row>
    <row r="1160" spans="1:31" ht="27" customHeight="1" x14ac:dyDescent="0.15">
      <c r="A1160" s="150">
        <v>1114600172</v>
      </c>
      <c r="B1160" s="130" t="s">
        <v>868</v>
      </c>
      <c r="C1160" s="107" t="s">
        <v>884</v>
      </c>
      <c r="D1160" s="108" t="s">
        <v>843</v>
      </c>
      <c r="E1160" s="108" t="s">
        <v>903</v>
      </c>
      <c r="F1160" s="156">
        <v>3660811</v>
      </c>
      <c r="G1160" s="132" t="s">
        <v>904</v>
      </c>
      <c r="H1160" s="132" t="s">
        <v>905</v>
      </c>
      <c r="I1160" s="116" t="s">
        <v>49</v>
      </c>
      <c r="J1160" s="154" t="s">
        <v>49</v>
      </c>
      <c r="K1160" s="154" t="s">
        <v>49</v>
      </c>
      <c r="L1160" s="154" t="s">
        <v>49</v>
      </c>
      <c r="M1160" s="154"/>
      <c r="N1160" s="143"/>
      <c r="O1160" s="138"/>
      <c r="P1160" s="105">
        <v>50</v>
      </c>
      <c r="Q1160" s="116" t="s">
        <v>49</v>
      </c>
      <c r="R1160" s="138">
        <v>4</v>
      </c>
      <c r="S1160" s="105"/>
      <c r="T1160" s="105">
        <v>50</v>
      </c>
      <c r="U1160" s="105"/>
      <c r="V1160" s="116"/>
      <c r="W1160" s="138"/>
      <c r="X1160" s="116"/>
      <c r="Y1160" s="138"/>
      <c r="Z1160" s="105"/>
      <c r="AA1160" s="105"/>
      <c r="AB1160" s="105"/>
      <c r="AC1160" s="105"/>
      <c r="AD1160" s="118">
        <v>40269</v>
      </c>
      <c r="AE1160" s="108" t="s">
        <v>3051</v>
      </c>
    </row>
    <row r="1161" spans="1:31" s="65" customFormat="1" ht="27" customHeight="1" x14ac:dyDescent="0.15">
      <c r="A1161" s="150">
        <v>1114600198</v>
      </c>
      <c r="B1161" s="106" t="s">
        <v>869</v>
      </c>
      <c r="C1161" s="108" t="s">
        <v>885</v>
      </c>
      <c r="D1161" s="108" t="s">
        <v>843</v>
      </c>
      <c r="E1161" s="108" t="s">
        <v>906</v>
      </c>
      <c r="F1161" s="230">
        <v>3691105</v>
      </c>
      <c r="G1161" s="132" t="s">
        <v>907</v>
      </c>
      <c r="H1161" s="132" t="s">
        <v>908</v>
      </c>
      <c r="I1161" s="116" t="s">
        <v>49</v>
      </c>
      <c r="J1161" s="154" t="s">
        <v>49</v>
      </c>
      <c r="K1161" s="154" t="s">
        <v>49</v>
      </c>
      <c r="L1161" s="154" t="s">
        <v>49</v>
      </c>
      <c r="M1161" s="154" t="s">
        <v>49</v>
      </c>
      <c r="N1161" s="143" t="s">
        <v>49</v>
      </c>
      <c r="O1161" s="138" t="s">
        <v>49</v>
      </c>
      <c r="P1161" s="105">
        <v>30</v>
      </c>
      <c r="Q1161" s="137"/>
      <c r="R1161" s="138">
        <v>5</v>
      </c>
      <c r="S1161" s="105"/>
      <c r="T1161" s="105">
        <v>35</v>
      </c>
      <c r="U1161" s="105"/>
      <c r="V1161" s="116"/>
      <c r="W1161" s="138"/>
      <c r="X1161" s="116"/>
      <c r="Y1161" s="138"/>
      <c r="Z1161" s="105"/>
      <c r="AA1161" s="105">
        <v>15</v>
      </c>
      <c r="AB1161" s="105"/>
      <c r="AC1161" s="105"/>
      <c r="AD1161" s="118">
        <v>40269</v>
      </c>
      <c r="AE1161" s="108" t="s">
        <v>978</v>
      </c>
    </row>
    <row r="1162" spans="1:31" s="65" customFormat="1" ht="27" customHeight="1" x14ac:dyDescent="0.15">
      <c r="A1162" s="105">
        <v>1114600206</v>
      </c>
      <c r="B1162" s="130" t="s">
        <v>1039</v>
      </c>
      <c r="C1162" s="108" t="s">
        <v>1471</v>
      </c>
      <c r="D1162" s="108" t="s">
        <v>96</v>
      </c>
      <c r="E1162" s="108" t="s">
        <v>1472</v>
      </c>
      <c r="F1162" s="131">
        <v>3660817</v>
      </c>
      <c r="G1162" s="132" t="s">
        <v>1473</v>
      </c>
      <c r="H1162" s="132" t="s">
        <v>1474</v>
      </c>
      <c r="I1162" s="133"/>
      <c r="J1162" s="154"/>
      <c r="K1162" s="134"/>
      <c r="L1162" s="134"/>
      <c r="M1162" s="134" t="s">
        <v>49</v>
      </c>
      <c r="N1162" s="135"/>
      <c r="O1162" s="136"/>
      <c r="P1162" s="105"/>
      <c r="Q1162" s="137"/>
      <c r="R1162" s="138"/>
      <c r="S1162" s="105"/>
      <c r="T1162" s="105">
        <v>35</v>
      </c>
      <c r="U1162" s="105"/>
      <c r="V1162" s="137"/>
      <c r="W1162" s="138"/>
      <c r="X1162" s="137"/>
      <c r="Y1162" s="138"/>
      <c r="Z1162" s="105"/>
      <c r="AA1162" s="105"/>
      <c r="AB1162" s="105"/>
      <c r="AC1162" s="105"/>
      <c r="AD1162" s="118">
        <v>40787</v>
      </c>
      <c r="AE1162" s="108" t="s">
        <v>1475</v>
      </c>
    </row>
    <row r="1163" spans="1:31" s="65" customFormat="1" ht="27" customHeight="1" x14ac:dyDescent="0.15">
      <c r="A1163" s="150">
        <v>1114600214</v>
      </c>
      <c r="B1163" s="106" t="s">
        <v>430</v>
      </c>
      <c r="C1163" s="107" t="s">
        <v>842</v>
      </c>
      <c r="D1163" s="108" t="s">
        <v>843</v>
      </c>
      <c r="E1163" s="108" t="s">
        <v>844</v>
      </c>
      <c r="F1163" s="151">
        <v>3690217</v>
      </c>
      <c r="G1163" s="132" t="s">
        <v>845</v>
      </c>
      <c r="H1163" s="132" t="s">
        <v>846</v>
      </c>
      <c r="I1163" s="133"/>
      <c r="J1163" s="154"/>
      <c r="K1163" s="154"/>
      <c r="L1163" s="154"/>
      <c r="M1163" s="154" t="s">
        <v>284</v>
      </c>
      <c r="N1163" s="184"/>
      <c r="O1163" s="185"/>
      <c r="P1163" s="150"/>
      <c r="Q1163" s="137"/>
      <c r="R1163" s="138"/>
      <c r="S1163" s="150"/>
      <c r="T1163" s="150">
        <v>10</v>
      </c>
      <c r="U1163" s="105"/>
      <c r="V1163" s="116"/>
      <c r="W1163" s="117"/>
      <c r="X1163" s="116"/>
      <c r="Y1163" s="138"/>
      <c r="Z1163" s="105"/>
      <c r="AA1163" s="105">
        <v>10</v>
      </c>
      <c r="AB1163" s="105"/>
      <c r="AC1163" s="105"/>
      <c r="AD1163" s="144">
        <v>39904</v>
      </c>
      <c r="AE1163" s="108" t="s">
        <v>366</v>
      </c>
    </row>
    <row r="1164" spans="1:31" s="65" customFormat="1" ht="27" customHeight="1" x14ac:dyDescent="0.15">
      <c r="A1164" s="105">
        <v>1114600255</v>
      </c>
      <c r="B1164" s="130" t="s">
        <v>1039</v>
      </c>
      <c r="C1164" s="108" t="s">
        <v>1728</v>
      </c>
      <c r="D1164" s="108" t="s">
        <v>96</v>
      </c>
      <c r="E1164" s="108" t="s">
        <v>1727</v>
      </c>
      <c r="F1164" s="131">
        <v>3690221</v>
      </c>
      <c r="G1164" s="132" t="s">
        <v>1726</v>
      </c>
      <c r="H1164" s="132" t="s">
        <v>1725</v>
      </c>
      <c r="I1164" s="133"/>
      <c r="J1164" s="134"/>
      <c r="K1164" s="134"/>
      <c r="L1164" s="134"/>
      <c r="M1164" s="134" t="s">
        <v>1702</v>
      </c>
      <c r="N1164" s="135"/>
      <c r="O1164" s="136"/>
      <c r="P1164" s="105"/>
      <c r="Q1164" s="137"/>
      <c r="R1164" s="138"/>
      <c r="S1164" s="105"/>
      <c r="T1164" s="105">
        <v>20</v>
      </c>
      <c r="U1164" s="105"/>
      <c r="V1164" s="137"/>
      <c r="W1164" s="138"/>
      <c r="X1164" s="137"/>
      <c r="Y1164" s="138"/>
      <c r="Z1164" s="105"/>
      <c r="AA1164" s="105"/>
      <c r="AB1164" s="105"/>
      <c r="AC1164" s="105"/>
      <c r="AD1164" s="118">
        <v>41000</v>
      </c>
      <c r="AE1164" s="108" t="s">
        <v>1724</v>
      </c>
    </row>
    <row r="1165" spans="1:31" ht="27" customHeight="1" x14ac:dyDescent="0.15">
      <c r="A1165" s="105">
        <v>1114600289</v>
      </c>
      <c r="B1165" s="130" t="s">
        <v>491</v>
      </c>
      <c r="C1165" s="108" t="s">
        <v>473</v>
      </c>
      <c r="D1165" s="108" t="s">
        <v>96</v>
      </c>
      <c r="E1165" s="108" t="s">
        <v>201</v>
      </c>
      <c r="F1165" s="131">
        <v>3691241</v>
      </c>
      <c r="G1165" s="132" t="s">
        <v>728</v>
      </c>
      <c r="H1165" s="132" t="s">
        <v>728</v>
      </c>
      <c r="I1165" s="133" t="s">
        <v>3080</v>
      </c>
      <c r="J1165" s="134"/>
      <c r="K1165" s="134"/>
      <c r="L1165" s="134"/>
      <c r="M1165" s="134" t="s">
        <v>3080</v>
      </c>
      <c r="N1165" s="135"/>
      <c r="O1165" s="136"/>
      <c r="P1165" s="105"/>
      <c r="Q1165" s="137"/>
      <c r="R1165" s="138"/>
      <c r="S1165" s="105"/>
      <c r="T1165" s="105">
        <v>20</v>
      </c>
      <c r="U1165" s="105"/>
      <c r="V1165" s="137"/>
      <c r="W1165" s="138"/>
      <c r="X1165" s="137"/>
      <c r="Y1165" s="138"/>
      <c r="Z1165" s="105"/>
      <c r="AA1165" s="105"/>
      <c r="AB1165" s="105"/>
      <c r="AC1165" s="105"/>
      <c r="AD1165" s="118">
        <v>38991</v>
      </c>
      <c r="AE1165" s="108" t="s">
        <v>0</v>
      </c>
    </row>
    <row r="1166" spans="1:31" s="65" customFormat="1" ht="27" customHeight="1" x14ac:dyDescent="0.15">
      <c r="A1166" s="105">
        <v>1114600305</v>
      </c>
      <c r="B1166" s="130" t="s">
        <v>413</v>
      </c>
      <c r="C1166" s="108" t="s">
        <v>1</v>
      </c>
      <c r="D1166" s="108" t="s">
        <v>96</v>
      </c>
      <c r="E1166" s="108" t="s">
        <v>202</v>
      </c>
      <c r="F1166" s="131">
        <v>3660052</v>
      </c>
      <c r="G1166" s="132" t="s">
        <v>729</v>
      </c>
      <c r="H1166" s="132" t="s">
        <v>729</v>
      </c>
      <c r="I1166" s="133"/>
      <c r="J1166" s="134"/>
      <c r="K1166" s="134"/>
      <c r="L1166" s="134"/>
      <c r="M1166" s="134" t="s">
        <v>269</v>
      </c>
      <c r="N1166" s="135"/>
      <c r="O1166" s="136"/>
      <c r="P1166" s="105"/>
      <c r="Q1166" s="137"/>
      <c r="R1166" s="138"/>
      <c r="S1166" s="105"/>
      <c r="T1166" s="105"/>
      <c r="U1166" s="105"/>
      <c r="V1166" s="137"/>
      <c r="W1166" s="138"/>
      <c r="X1166" s="137"/>
      <c r="Y1166" s="138"/>
      <c r="Z1166" s="105"/>
      <c r="AA1166" s="105">
        <v>25</v>
      </c>
      <c r="AB1166" s="105"/>
      <c r="AC1166" s="105"/>
      <c r="AD1166" s="118">
        <v>39203</v>
      </c>
      <c r="AE1166" s="108" t="s">
        <v>2</v>
      </c>
    </row>
    <row r="1167" spans="1:31" s="65" customFormat="1" ht="27" customHeight="1" x14ac:dyDescent="0.15">
      <c r="A1167" s="105">
        <v>1114600313</v>
      </c>
      <c r="B1167" s="130" t="s">
        <v>492</v>
      </c>
      <c r="C1167" s="108" t="s">
        <v>564</v>
      </c>
      <c r="D1167" s="108" t="s">
        <v>96</v>
      </c>
      <c r="E1167" s="108" t="s">
        <v>203</v>
      </c>
      <c r="F1167" s="131">
        <v>3691246</v>
      </c>
      <c r="G1167" s="132" t="s">
        <v>730</v>
      </c>
      <c r="H1167" s="132" t="s">
        <v>4378</v>
      </c>
      <c r="I1167" s="133"/>
      <c r="J1167" s="134"/>
      <c r="K1167" s="134"/>
      <c r="L1167" s="134"/>
      <c r="M1167" s="134" t="s">
        <v>4377</v>
      </c>
      <c r="N1167" s="135" t="s">
        <v>4377</v>
      </c>
      <c r="O1167" s="136"/>
      <c r="P1167" s="105"/>
      <c r="Q1167" s="137"/>
      <c r="R1167" s="138"/>
      <c r="S1167" s="105"/>
      <c r="T1167" s="105">
        <v>20</v>
      </c>
      <c r="U1167" s="105"/>
      <c r="V1167" s="137"/>
      <c r="W1167" s="138"/>
      <c r="X1167" s="137"/>
      <c r="Y1167" s="138"/>
      <c r="Z1167" s="105"/>
      <c r="AA1167" s="105">
        <v>30</v>
      </c>
      <c r="AB1167" s="105"/>
      <c r="AC1167" s="105"/>
      <c r="AD1167" s="118">
        <v>39203</v>
      </c>
      <c r="AE1167" s="108" t="s">
        <v>3</v>
      </c>
    </row>
    <row r="1168" spans="1:31" s="65" customFormat="1" ht="27" customHeight="1" x14ac:dyDescent="0.15">
      <c r="A1168" s="105">
        <v>1114600404</v>
      </c>
      <c r="B1168" s="106" t="s">
        <v>414</v>
      </c>
      <c r="C1168" s="107" t="s">
        <v>4</v>
      </c>
      <c r="D1168" s="157" t="s">
        <v>96</v>
      </c>
      <c r="E1168" s="108" t="s">
        <v>5</v>
      </c>
      <c r="F1168" s="139">
        <v>3690211</v>
      </c>
      <c r="G1168" s="140" t="s">
        <v>6</v>
      </c>
      <c r="H1168" s="140" t="s">
        <v>3396</v>
      </c>
      <c r="I1168" s="141" t="s">
        <v>49</v>
      </c>
      <c r="J1168" s="142" t="s">
        <v>49</v>
      </c>
      <c r="K1168" s="142" t="s">
        <v>49</v>
      </c>
      <c r="L1168" s="142" t="s">
        <v>49</v>
      </c>
      <c r="M1168" s="142" t="s">
        <v>49</v>
      </c>
      <c r="N1168" s="143" t="s">
        <v>49</v>
      </c>
      <c r="O1168" s="138" t="s">
        <v>49</v>
      </c>
      <c r="P1168" s="105"/>
      <c r="Q1168" s="137"/>
      <c r="R1168" s="138"/>
      <c r="S1168" s="105"/>
      <c r="T1168" s="105"/>
      <c r="U1168" s="105"/>
      <c r="V1168" s="116"/>
      <c r="W1168" s="117"/>
      <c r="X1168" s="116"/>
      <c r="Y1168" s="138"/>
      <c r="Z1168" s="105"/>
      <c r="AA1168" s="105">
        <v>40</v>
      </c>
      <c r="AB1168" s="105"/>
      <c r="AC1168" s="105"/>
      <c r="AD1168" s="144">
        <v>39903</v>
      </c>
      <c r="AE1168" s="108" t="s">
        <v>2812</v>
      </c>
    </row>
    <row r="1169" spans="1:31" ht="27" customHeight="1" x14ac:dyDescent="0.15">
      <c r="A1169" s="105">
        <v>1114600412</v>
      </c>
      <c r="B1169" s="130" t="s">
        <v>120</v>
      </c>
      <c r="C1169" s="108" t="s">
        <v>121</v>
      </c>
      <c r="D1169" s="108" t="s">
        <v>96</v>
      </c>
      <c r="E1169" s="108" t="s">
        <v>7</v>
      </c>
      <c r="F1169" s="131">
        <v>3660811</v>
      </c>
      <c r="G1169" s="132" t="s">
        <v>47</v>
      </c>
      <c r="H1169" s="132" t="s">
        <v>8</v>
      </c>
      <c r="I1169" s="133"/>
      <c r="J1169" s="154" t="s">
        <v>66</v>
      </c>
      <c r="K1169" s="134"/>
      <c r="L1169" s="134"/>
      <c r="M1169" s="134"/>
      <c r="N1169" s="135"/>
      <c r="O1169" s="136"/>
      <c r="P1169" s="105"/>
      <c r="Q1169" s="137"/>
      <c r="R1169" s="138"/>
      <c r="S1169" s="105"/>
      <c r="T1169" s="105"/>
      <c r="U1169" s="105"/>
      <c r="V1169" s="137"/>
      <c r="W1169" s="138"/>
      <c r="X1169" s="137"/>
      <c r="Y1169" s="138"/>
      <c r="Z1169" s="105"/>
      <c r="AA1169" s="105">
        <v>30</v>
      </c>
      <c r="AB1169" s="105"/>
      <c r="AC1169" s="105"/>
      <c r="AD1169" s="118">
        <v>39965</v>
      </c>
      <c r="AE1169" s="108" t="s">
        <v>9</v>
      </c>
    </row>
    <row r="1170" spans="1:31" s="65" customFormat="1" ht="27" customHeight="1" x14ac:dyDescent="0.15">
      <c r="A1170" s="105">
        <v>1114600545</v>
      </c>
      <c r="B1170" s="130" t="s">
        <v>1039</v>
      </c>
      <c r="C1170" s="108" t="s">
        <v>1359</v>
      </c>
      <c r="D1170" s="108" t="s">
        <v>96</v>
      </c>
      <c r="E1170" s="108" t="s">
        <v>1360</v>
      </c>
      <c r="F1170" s="131">
        <v>3660810</v>
      </c>
      <c r="G1170" s="132" t="s">
        <v>1361</v>
      </c>
      <c r="H1170" s="132" t="s">
        <v>1362</v>
      </c>
      <c r="I1170" s="133"/>
      <c r="J1170" s="154"/>
      <c r="K1170" s="134"/>
      <c r="L1170" s="134"/>
      <c r="M1170" s="134" t="s">
        <v>1352</v>
      </c>
      <c r="N1170" s="135"/>
      <c r="O1170" s="136"/>
      <c r="P1170" s="105"/>
      <c r="Q1170" s="137"/>
      <c r="R1170" s="138"/>
      <c r="S1170" s="105"/>
      <c r="T1170" s="105"/>
      <c r="U1170" s="105"/>
      <c r="V1170" s="137"/>
      <c r="W1170" s="138"/>
      <c r="X1170" s="137"/>
      <c r="Y1170" s="138"/>
      <c r="Z1170" s="105"/>
      <c r="AA1170" s="105">
        <v>20</v>
      </c>
      <c r="AB1170" s="105"/>
      <c r="AC1170" s="105"/>
      <c r="AD1170" s="118">
        <v>40634</v>
      </c>
      <c r="AE1170" s="108" t="s">
        <v>1389</v>
      </c>
    </row>
    <row r="1171" spans="1:31" ht="27" customHeight="1" x14ac:dyDescent="0.15">
      <c r="A1171" s="105">
        <v>1114600578</v>
      </c>
      <c r="B1171" s="130" t="s">
        <v>1561</v>
      </c>
      <c r="C1171" s="108" t="s">
        <v>1562</v>
      </c>
      <c r="D1171" s="108" t="s">
        <v>96</v>
      </c>
      <c r="E1171" s="108" t="s">
        <v>1563</v>
      </c>
      <c r="F1171" s="131">
        <v>3660035</v>
      </c>
      <c r="G1171" s="132" t="s">
        <v>1564</v>
      </c>
      <c r="H1171" s="132" t="s">
        <v>1565</v>
      </c>
      <c r="I1171" s="133"/>
      <c r="J1171" s="154"/>
      <c r="K1171" s="134"/>
      <c r="L1171" s="134"/>
      <c r="M1171" s="134" t="s">
        <v>49</v>
      </c>
      <c r="N1171" s="135" t="s">
        <v>1566</v>
      </c>
      <c r="O1171" s="136"/>
      <c r="P1171" s="105"/>
      <c r="Q1171" s="137"/>
      <c r="R1171" s="138"/>
      <c r="S1171" s="105"/>
      <c r="T1171" s="105"/>
      <c r="U1171" s="105"/>
      <c r="V1171" s="137"/>
      <c r="W1171" s="138"/>
      <c r="X1171" s="137"/>
      <c r="Y1171" s="138"/>
      <c r="Z1171" s="105"/>
      <c r="AA1171" s="105">
        <v>20</v>
      </c>
      <c r="AB1171" s="105"/>
      <c r="AC1171" s="105"/>
      <c r="AD1171" s="118">
        <v>40878</v>
      </c>
      <c r="AE1171" s="108" t="s">
        <v>1567</v>
      </c>
    </row>
    <row r="1172" spans="1:31" s="218" customFormat="1" ht="27" customHeight="1" x14ac:dyDescent="0.15">
      <c r="A1172" s="105">
        <v>1114600693</v>
      </c>
      <c r="B1172" s="130" t="s">
        <v>2792</v>
      </c>
      <c r="C1172" s="107" t="s">
        <v>2793</v>
      </c>
      <c r="D1172" s="108" t="s">
        <v>96</v>
      </c>
      <c r="E1172" s="108" t="s">
        <v>2794</v>
      </c>
      <c r="F1172" s="139" t="s">
        <v>2795</v>
      </c>
      <c r="G1172" s="140" t="s">
        <v>2796</v>
      </c>
      <c r="H1172" s="140" t="s">
        <v>2797</v>
      </c>
      <c r="I1172" s="141"/>
      <c r="J1172" s="142"/>
      <c r="K1172" s="142"/>
      <c r="L1172" s="142"/>
      <c r="M1172" s="142" t="s">
        <v>2784</v>
      </c>
      <c r="N1172" s="143" t="s">
        <v>2784</v>
      </c>
      <c r="O1172" s="138"/>
      <c r="P1172" s="105"/>
      <c r="Q1172" s="137"/>
      <c r="R1172" s="138"/>
      <c r="S1172" s="105"/>
      <c r="T1172" s="105"/>
      <c r="U1172" s="105"/>
      <c r="V1172" s="116"/>
      <c r="W1172" s="117"/>
      <c r="X1172" s="116"/>
      <c r="Y1172" s="138"/>
      <c r="Z1172" s="105"/>
      <c r="AA1172" s="105">
        <v>20</v>
      </c>
      <c r="AB1172" s="105"/>
      <c r="AC1172" s="105"/>
      <c r="AD1172" s="144">
        <v>42064</v>
      </c>
      <c r="AE1172" s="108" t="s">
        <v>2798</v>
      </c>
    </row>
    <row r="1173" spans="1:31" s="65" customFormat="1" ht="27" customHeight="1" x14ac:dyDescent="0.15">
      <c r="A1173" s="105">
        <v>1114600719</v>
      </c>
      <c r="B1173" s="130" t="s">
        <v>2981</v>
      </c>
      <c r="C1173" s="108" t="s">
        <v>2982</v>
      </c>
      <c r="D1173" s="108" t="s">
        <v>96</v>
      </c>
      <c r="E1173" s="108" t="s">
        <v>199</v>
      </c>
      <c r="F1173" s="131">
        <v>3660811</v>
      </c>
      <c r="G1173" s="132" t="s">
        <v>724</v>
      </c>
      <c r="H1173" s="132" t="s">
        <v>725</v>
      </c>
      <c r="I1173" s="133" t="s">
        <v>49</v>
      </c>
      <c r="J1173" s="134"/>
      <c r="K1173" s="134" t="s">
        <v>2983</v>
      </c>
      <c r="L1173" s="134"/>
      <c r="M1173" s="134" t="s">
        <v>49</v>
      </c>
      <c r="N1173" s="135"/>
      <c r="O1173" s="136"/>
      <c r="P1173" s="132"/>
      <c r="Q1173" s="152"/>
      <c r="R1173" s="136"/>
      <c r="S1173" s="132"/>
      <c r="T1173" s="105">
        <v>25</v>
      </c>
      <c r="U1173" s="132"/>
      <c r="V1173" s="152"/>
      <c r="W1173" s="136"/>
      <c r="X1173" s="152"/>
      <c r="Y1173" s="136"/>
      <c r="Z1173" s="132"/>
      <c r="AA1173" s="105">
        <v>25</v>
      </c>
      <c r="AB1173" s="105"/>
      <c r="AC1173" s="105"/>
      <c r="AD1173" s="155">
        <v>42095</v>
      </c>
      <c r="AE1173" s="108" t="s">
        <v>840</v>
      </c>
    </row>
    <row r="1174" spans="1:31" s="198" customFormat="1" ht="27" customHeight="1" x14ac:dyDescent="0.15">
      <c r="A1174" s="105">
        <v>1114600743</v>
      </c>
      <c r="B1174" s="106" t="s">
        <v>3243</v>
      </c>
      <c r="C1174" s="107" t="s">
        <v>3244</v>
      </c>
      <c r="D1174" s="108" t="s">
        <v>96</v>
      </c>
      <c r="E1174" s="108" t="s">
        <v>3245</v>
      </c>
      <c r="F1174" s="139" t="s">
        <v>2971</v>
      </c>
      <c r="G1174" s="140" t="s">
        <v>3246</v>
      </c>
      <c r="H1174" s="140" t="s">
        <v>3247</v>
      </c>
      <c r="I1174" s="141"/>
      <c r="J1174" s="142" t="s">
        <v>49</v>
      </c>
      <c r="K1174" s="142" t="s">
        <v>49</v>
      </c>
      <c r="L1174" s="142" t="s">
        <v>49</v>
      </c>
      <c r="M1174" s="142" t="s">
        <v>49</v>
      </c>
      <c r="N1174" s="143" t="s">
        <v>49</v>
      </c>
      <c r="O1174" s="138" t="s">
        <v>49</v>
      </c>
      <c r="P1174" s="105"/>
      <c r="Q1174" s="137"/>
      <c r="R1174" s="138"/>
      <c r="S1174" s="105"/>
      <c r="T1174" s="105"/>
      <c r="U1174" s="105"/>
      <c r="V1174" s="137"/>
      <c r="W1174" s="138"/>
      <c r="X1174" s="137"/>
      <c r="Y1174" s="138"/>
      <c r="Z1174" s="105"/>
      <c r="AA1174" s="105">
        <v>20</v>
      </c>
      <c r="AB1174" s="105"/>
      <c r="AC1174" s="105"/>
      <c r="AD1174" s="144">
        <v>42370</v>
      </c>
      <c r="AE1174" s="108" t="s">
        <v>2972</v>
      </c>
    </row>
    <row r="1175" spans="1:31" s="65" customFormat="1" ht="27.95" customHeight="1" x14ac:dyDescent="0.15">
      <c r="A1175" s="105">
        <v>1114600768</v>
      </c>
      <c r="B1175" s="106" t="s">
        <v>3356</v>
      </c>
      <c r="C1175" s="107" t="s">
        <v>3369</v>
      </c>
      <c r="D1175" s="108" t="s">
        <v>96</v>
      </c>
      <c r="E1175" s="108" t="s">
        <v>3357</v>
      </c>
      <c r="F1175" s="139" t="s">
        <v>3370</v>
      </c>
      <c r="G1175" s="140" t="s">
        <v>3371</v>
      </c>
      <c r="H1175" s="140" t="s">
        <v>3372</v>
      </c>
      <c r="I1175" s="141" t="s">
        <v>765</v>
      </c>
      <c r="J1175" s="142"/>
      <c r="K1175" s="142" t="s">
        <v>765</v>
      </c>
      <c r="L1175" s="142" t="s">
        <v>765</v>
      </c>
      <c r="M1175" s="142" t="s">
        <v>765</v>
      </c>
      <c r="N1175" s="143" t="s">
        <v>765</v>
      </c>
      <c r="O1175" s="138" t="s">
        <v>49</v>
      </c>
      <c r="P1175" s="105"/>
      <c r="Q1175" s="137"/>
      <c r="R1175" s="138"/>
      <c r="S1175" s="105"/>
      <c r="T1175" s="105">
        <v>10</v>
      </c>
      <c r="U1175" s="105"/>
      <c r="V1175" s="116"/>
      <c r="W1175" s="117"/>
      <c r="X1175" s="137"/>
      <c r="Y1175" s="138"/>
      <c r="Z1175" s="105"/>
      <c r="AA1175" s="105">
        <v>14</v>
      </c>
      <c r="AB1175" s="105"/>
      <c r="AC1175" s="105"/>
      <c r="AD1175" s="144">
        <v>42461</v>
      </c>
      <c r="AE1175" s="108" t="s">
        <v>3358</v>
      </c>
    </row>
    <row r="1176" spans="1:31" s="65" customFormat="1" ht="27" customHeight="1" x14ac:dyDescent="0.15">
      <c r="A1176" s="105">
        <v>1114600818</v>
      </c>
      <c r="B1176" s="106" t="s">
        <v>3700</v>
      </c>
      <c r="C1176" s="107" t="s">
        <v>3701</v>
      </c>
      <c r="D1176" s="108" t="s">
        <v>96</v>
      </c>
      <c r="E1176" s="108" t="s">
        <v>3702</v>
      </c>
      <c r="F1176" s="139" t="s">
        <v>3703</v>
      </c>
      <c r="G1176" s="140" t="s">
        <v>3704</v>
      </c>
      <c r="H1176" s="140" t="s">
        <v>3704</v>
      </c>
      <c r="I1176" s="141"/>
      <c r="J1176" s="142"/>
      <c r="K1176" s="142"/>
      <c r="L1176" s="142"/>
      <c r="M1176" s="142" t="s">
        <v>3705</v>
      </c>
      <c r="N1176" s="143" t="s">
        <v>3705</v>
      </c>
      <c r="O1176" s="138"/>
      <c r="P1176" s="105"/>
      <c r="Q1176" s="137"/>
      <c r="R1176" s="138"/>
      <c r="S1176" s="105"/>
      <c r="T1176" s="105"/>
      <c r="U1176" s="105"/>
      <c r="V1176" s="137"/>
      <c r="W1176" s="138"/>
      <c r="X1176" s="152"/>
      <c r="Y1176" s="138"/>
      <c r="Z1176" s="105"/>
      <c r="AA1176" s="105">
        <v>20</v>
      </c>
      <c r="AB1176" s="105"/>
      <c r="AC1176" s="105"/>
      <c r="AD1176" s="144">
        <v>42767</v>
      </c>
      <c r="AE1176" s="108" t="s">
        <v>3706</v>
      </c>
    </row>
    <row r="1177" spans="1:31" s="65" customFormat="1" ht="27" customHeight="1" x14ac:dyDescent="0.15">
      <c r="A1177" s="105">
        <v>1114600834</v>
      </c>
      <c r="B1177" s="130" t="s">
        <v>3791</v>
      </c>
      <c r="C1177" s="107" t="s">
        <v>3795</v>
      </c>
      <c r="D1177" s="108" t="s">
        <v>96</v>
      </c>
      <c r="E1177" s="108" t="s">
        <v>2197</v>
      </c>
      <c r="F1177" s="139" t="s">
        <v>3796</v>
      </c>
      <c r="G1177" s="140" t="s">
        <v>3797</v>
      </c>
      <c r="H1177" s="140" t="s">
        <v>3798</v>
      </c>
      <c r="I1177" s="141"/>
      <c r="J1177" s="142"/>
      <c r="K1177" s="142"/>
      <c r="L1177" s="142"/>
      <c r="M1177" s="142"/>
      <c r="N1177" s="143" t="s">
        <v>3799</v>
      </c>
      <c r="O1177" s="138"/>
      <c r="P1177" s="105"/>
      <c r="Q1177" s="137"/>
      <c r="R1177" s="138"/>
      <c r="S1177" s="105"/>
      <c r="T1177" s="105"/>
      <c r="U1177" s="105"/>
      <c r="V1177" s="116"/>
      <c r="W1177" s="117"/>
      <c r="X1177" s="116"/>
      <c r="Y1177" s="138"/>
      <c r="Z1177" s="105"/>
      <c r="AA1177" s="105">
        <v>20</v>
      </c>
      <c r="AB1177" s="105"/>
      <c r="AC1177" s="105"/>
      <c r="AD1177" s="144">
        <v>42826</v>
      </c>
      <c r="AE1177" s="108" t="s">
        <v>3800</v>
      </c>
    </row>
    <row r="1178" spans="1:31" s="65" customFormat="1" ht="27" customHeight="1" x14ac:dyDescent="0.15">
      <c r="A1178" s="105">
        <v>1114600842</v>
      </c>
      <c r="B1178" s="130" t="s">
        <v>3791</v>
      </c>
      <c r="C1178" s="108" t="s">
        <v>3792</v>
      </c>
      <c r="D1178" s="108" t="s">
        <v>96</v>
      </c>
      <c r="E1178" s="108" t="s">
        <v>1316</v>
      </c>
      <c r="F1178" s="131">
        <v>3660801</v>
      </c>
      <c r="G1178" s="132" t="s">
        <v>3793</v>
      </c>
      <c r="H1178" s="132" t="s">
        <v>3794</v>
      </c>
      <c r="I1178" s="133"/>
      <c r="J1178" s="154"/>
      <c r="K1178" s="134"/>
      <c r="L1178" s="134"/>
      <c r="M1178" s="134"/>
      <c r="N1178" s="135" t="s">
        <v>49</v>
      </c>
      <c r="O1178" s="136"/>
      <c r="P1178" s="105"/>
      <c r="Q1178" s="137"/>
      <c r="R1178" s="138"/>
      <c r="S1178" s="105"/>
      <c r="T1178" s="105"/>
      <c r="U1178" s="105"/>
      <c r="V1178" s="137"/>
      <c r="W1178" s="138"/>
      <c r="X1178" s="137">
        <v>10</v>
      </c>
      <c r="Y1178" s="138"/>
      <c r="Z1178" s="105"/>
      <c r="AA1178" s="105">
        <v>20</v>
      </c>
      <c r="AB1178" s="105"/>
      <c r="AC1178" s="105"/>
      <c r="AD1178" s="118">
        <v>42826</v>
      </c>
      <c r="AE1178" s="108" t="s">
        <v>1317</v>
      </c>
    </row>
    <row r="1179" spans="1:31" s="65" customFormat="1" ht="27" customHeight="1" x14ac:dyDescent="0.15">
      <c r="A1179" s="105">
        <v>1114600842</v>
      </c>
      <c r="B1179" s="130" t="s">
        <v>3791</v>
      </c>
      <c r="C1179" s="108" t="s">
        <v>5003</v>
      </c>
      <c r="D1179" s="108" t="s">
        <v>96</v>
      </c>
      <c r="E1179" s="108" t="s">
        <v>1316</v>
      </c>
      <c r="F1179" s="131">
        <v>3660801</v>
      </c>
      <c r="G1179" s="132" t="s">
        <v>5004</v>
      </c>
      <c r="H1179" s="132" t="s">
        <v>5005</v>
      </c>
      <c r="I1179" s="133"/>
      <c r="J1179" s="154"/>
      <c r="K1179" s="134"/>
      <c r="L1179" s="134"/>
      <c r="M1179" s="134"/>
      <c r="N1179" s="135" t="s">
        <v>4926</v>
      </c>
      <c r="O1179" s="136"/>
      <c r="P1179" s="105"/>
      <c r="Q1179" s="137"/>
      <c r="R1179" s="138"/>
      <c r="S1179" s="105"/>
      <c r="T1179" s="105"/>
      <c r="U1179" s="105"/>
      <c r="V1179" s="137"/>
      <c r="W1179" s="138"/>
      <c r="X1179" s="137"/>
      <c r="Y1179" s="138"/>
      <c r="Z1179" s="105"/>
      <c r="AA1179" s="105"/>
      <c r="AB1179" s="105" t="s">
        <v>4926</v>
      </c>
      <c r="AC1179" s="105"/>
      <c r="AD1179" s="118">
        <v>43556</v>
      </c>
      <c r="AE1179" s="108" t="s">
        <v>1317</v>
      </c>
    </row>
    <row r="1180" spans="1:31" s="65" customFormat="1" ht="27" customHeight="1" x14ac:dyDescent="0.15">
      <c r="A1180" s="105">
        <v>1114600859</v>
      </c>
      <c r="B1180" s="130" t="s">
        <v>3810</v>
      </c>
      <c r="C1180" s="108" t="s">
        <v>3811</v>
      </c>
      <c r="D1180" s="108" t="s">
        <v>96</v>
      </c>
      <c r="E1180" s="108" t="s">
        <v>7137</v>
      </c>
      <c r="F1180" s="131" t="s">
        <v>7138</v>
      </c>
      <c r="G1180" s="132" t="s">
        <v>7139</v>
      </c>
      <c r="H1180" s="132" t="s">
        <v>7140</v>
      </c>
      <c r="I1180" s="133" t="s">
        <v>49</v>
      </c>
      <c r="J1180" s="134" t="s">
        <v>49</v>
      </c>
      <c r="K1180" s="134" t="s">
        <v>49</v>
      </c>
      <c r="L1180" s="134" t="s">
        <v>49</v>
      </c>
      <c r="M1180" s="134" t="s">
        <v>49</v>
      </c>
      <c r="N1180" s="135" t="s">
        <v>49</v>
      </c>
      <c r="O1180" s="136" t="s">
        <v>49</v>
      </c>
      <c r="P1180" s="105"/>
      <c r="Q1180" s="137"/>
      <c r="R1180" s="138"/>
      <c r="S1180" s="105"/>
      <c r="T1180" s="105">
        <v>26</v>
      </c>
      <c r="U1180" s="105"/>
      <c r="V1180" s="137"/>
      <c r="W1180" s="138"/>
      <c r="X1180" s="137"/>
      <c r="Y1180" s="138"/>
      <c r="Z1180" s="105"/>
      <c r="AA1180" s="105">
        <v>14</v>
      </c>
      <c r="AB1180" s="105"/>
      <c r="AC1180" s="105"/>
      <c r="AD1180" s="118">
        <v>42826</v>
      </c>
      <c r="AE1180" s="108" t="s">
        <v>7141</v>
      </c>
    </row>
    <row r="1181" spans="1:31" ht="27" customHeight="1" x14ac:dyDescent="0.15">
      <c r="A1181" s="105">
        <v>1114600875</v>
      </c>
      <c r="B1181" s="130" t="s">
        <v>3989</v>
      </c>
      <c r="C1181" s="108" t="s">
        <v>3990</v>
      </c>
      <c r="D1181" s="108" t="s">
        <v>96</v>
      </c>
      <c r="E1181" s="108" t="s">
        <v>3991</v>
      </c>
      <c r="F1181" s="131" t="s">
        <v>3992</v>
      </c>
      <c r="G1181" s="132" t="s">
        <v>3993</v>
      </c>
      <c r="H1181" s="132" t="s">
        <v>3994</v>
      </c>
      <c r="I1181" s="133" t="s">
        <v>5103</v>
      </c>
      <c r="J1181" s="154" t="s">
        <v>5103</v>
      </c>
      <c r="K1181" s="134" t="s">
        <v>5103</v>
      </c>
      <c r="L1181" s="134" t="s">
        <v>5103</v>
      </c>
      <c r="M1181" s="134" t="s">
        <v>3995</v>
      </c>
      <c r="N1181" s="135" t="s">
        <v>3995</v>
      </c>
      <c r="O1181" s="136"/>
      <c r="P1181" s="105"/>
      <c r="Q1181" s="137"/>
      <c r="R1181" s="138"/>
      <c r="S1181" s="105"/>
      <c r="T1181" s="105"/>
      <c r="U1181" s="105"/>
      <c r="V1181" s="137"/>
      <c r="W1181" s="138"/>
      <c r="X1181" s="137"/>
      <c r="Y1181" s="138"/>
      <c r="Z1181" s="105"/>
      <c r="AA1181" s="105">
        <v>20</v>
      </c>
      <c r="AB1181" s="105"/>
      <c r="AC1181" s="105"/>
      <c r="AD1181" s="118">
        <v>42948</v>
      </c>
      <c r="AE1181" s="108" t="s">
        <v>3996</v>
      </c>
    </row>
    <row r="1182" spans="1:31" s="65" customFormat="1" ht="27" customHeight="1" x14ac:dyDescent="0.15">
      <c r="A1182" s="105">
        <v>1114600883</v>
      </c>
      <c r="B1182" s="130" t="s">
        <v>4022</v>
      </c>
      <c r="C1182" s="108" t="s">
        <v>4023</v>
      </c>
      <c r="D1182" s="108" t="s">
        <v>96</v>
      </c>
      <c r="E1182" s="108" t="s">
        <v>4024</v>
      </c>
      <c r="F1182" s="131">
        <v>3660016</v>
      </c>
      <c r="G1182" s="152" t="s">
        <v>4025</v>
      </c>
      <c r="H1182" s="132" t="s">
        <v>4025</v>
      </c>
      <c r="I1182" s="183"/>
      <c r="J1182" s="134"/>
      <c r="K1182" s="134"/>
      <c r="L1182" s="134"/>
      <c r="M1182" s="134" t="s">
        <v>49</v>
      </c>
      <c r="N1182" s="135"/>
      <c r="O1182" s="136"/>
      <c r="P1182" s="105"/>
      <c r="Q1182" s="116"/>
      <c r="R1182" s="138"/>
      <c r="S1182" s="105"/>
      <c r="T1182" s="105">
        <v>20</v>
      </c>
      <c r="U1182" s="105"/>
      <c r="V1182" s="137"/>
      <c r="W1182" s="138"/>
      <c r="X1182" s="137"/>
      <c r="Y1182" s="138"/>
      <c r="Z1182" s="105"/>
      <c r="AA1182" s="105"/>
      <c r="AB1182" s="105"/>
      <c r="AC1182" s="105"/>
      <c r="AD1182" s="118">
        <v>42979</v>
      </c>
      <c r="AE1182" s="108" t="s">
        <v>4026</v>
      </c>
    </row>
    <row r="1183" spans="1:31" s="65" customFormat="1" ht="27" customHeight="1" x14ac:dyDescent="0.15">
      <c r="A1183" s="105">
        <v>1114600909</v>
      </c>
      <c r="B1183" s="130" t="s">
        <v>12270</v>
      </c>
      <c r="C1183" s="107" t="s">
        <v>4198</v>
      </c>
      <c r="D1183" s="108" t="s">
        <v>96</v>
      </c>
      <c r="E1183" s="108" t="s">
        <v>4199</v>
      </c>
      <c r="F1183" s="139" t="s">
        <v>4200</v>
      </c>
      <c r="G1183" s="140" t="s">
        <v>4682</v>
      </c>
      <c r="H1183" s="140" t="s">
        <v>4683</v>
      </c>
      <c r="I1183" s="141"/>
      <c r="J1183" s="142"/>
      <c r="K1183" s="142"/>
      <c r="L1183" s="142"/>
      <c r="M1183" s="142" t="s">
        <v>49</v>
      </c>
      <c r="N1183" s="143" t="s">
        <v>49</v>
      </c>
      <c r="O1183" s="138"/>
      <c r="P1183" s="105"/>
      <c r="Q1183" s="137"/>
      <c r="R1183" s="138"/>
      <c r="S1183" s="105"/>
      <c r="T1183" s="105"/>
      <c r="U1183" s="105"/>
      <c r="V1183" s="137"/>
      <c r="W1183" s="138"/>
      <c r="X1183" s="137"/>
      <c r="Y1183" s="138"/>
      <c r="Z1183" s="105"/>
      <c r="AA1183" s="105">
        <v>20</v>
      </c>
      <c r="AB1183" s="105"/>
      <c r="AC1183" s="105"/>
      <c r="AD1183" s="144">
        <v>43101</v>
      </c>
      <c r="AE1183" s="108" t="s">
        <v>4201</v>
      </c>
    </row>
    <row r="1184" spans="1:31" s="65" customFormat="1" ht="27" customHeight="1" x14ac:dyDescent="0.15">
      <c r="A1184" s="105">
        <v>1114600917</v>
      </c>
      <c r="B1184" s="130" t="s">
        <v>4242</v>
      </c>
      <c r="C1184" s="107" t="s">
        <v>4243</v>
      </c>
      <c r="D1184" s="108" t="s">
        <v>96</v>
      </c>
      <c r="E1184" s="108" t="s">
        <v>4244</v>
      </c>
      <c r="F1184" s="139" t="s">
        <v>4245</v>
      </c>
      <c r="G1184" s="140" t="s">
        <v>4684</v>
      </c>
      <c r="H1184" s="140" t="s">
        <v>4246</v>
      </c>
      <c r="I1184" s="141" t="s">
        <v>4247</v>
      </c>
      <c r="J1184" s="142"/>
      <c r="K1184" s="142" t="s">
        <v>4247</v>
      </c>
      <c r="L1184" s="142"/>
      <c r="M1184" s="142" t="s">
        <v>4247</v>
      </c>
      <c r="N1184" s="143" t="s">
        <v>4247</v>
      </c>
      <c r="O1184" s="138"/>
      <c r="P1184" s="105"/>
      <c r="Q1184" s="137"/>
      <c r="R1184" s="138"/>
      <c r="S1184" s="105"/>
      <c r="T1184" s="105"/>
      <c r="U1184" s="105"/>
      <c r="V1184" s="116"/>
      <c r="W1184" s="117"/>
      <c r="X1184" s="116"/>
      <c r="Y1184" s="138"/>
      <c r="Z1184" s="105"/>
      <c r="AA1184" s="105">
        <v>20</v>
      </c>
      <c r="AB1184" s="105"/>
      <c r="AC1184" s="105"/>
      <c r="AD1184" s="144">
        <v>43101</v>
      </c>
      <c r="AE1184" s="108" t="s">
        <v>4249</v>
      </c>
    </row>
    <row r="1185" spans="1:207" s="65" customFormat="1" ht="27" customHeight="1" x14ac:dyDescent="0.15">
      <c r="A1185" s="105">
        <v>1114600941</v>
      </c>
      <c r="B1185" s="130" t="s">
        <v>4587</v>
      </c>
      <c r="C1185" s="108" t="s">
        <v>4588</v>
      </c>
      <c r="D1185" s="108" t="s">
        <v>4589</v>
      </c>
      <c r="E1185" s="108" t="s">
        <v>4590</v>
      </c>
      <c r="F1185" s="139" t="s">
        <v>4591</v>
      </c>
      <c r="G1185" s="140" t="s">
        <v>4592</v>
      </c>
      <c r="H1185" s="140" t="s">
        <v>4592</v>
      </c>
      <c r="I1185" s="141"/>
      <c r="J1185" s="142"/>
      <c r="K1185" s="142"/>
      <c r="L1185" s="142"/>
      <c r="M1185" s="142" t="s">
        <v>49</v>
      </c>
      <c r="N1185" s="143" t="s">
        <v>49</v>
      </c>
      <c r="O1185" s="138"/>
      <c r="P1185" s="105"/>
      <c r="Q1185" s="137"/>
      <c r="R1185" s="138"/>
      <c r="S1185" s="105"/>
      <c r="T1185" s="105"/>
      <c r="U1185" s="105"/>
      <c r="V1185" s="137"/>
      <c r="W1185" s="138"/>
      <c r="X1185" s="152"/>
      <c r="Y1185" s="138"/>
      <c r="Z1185" s="105"/>
      <c r="AA1185" s="105">
        <v>30</v>
      </c>
      <c r="AB1185" s="105"/>
      <c r="AC1185" s="105"/>
      <c r="AD1185" s="144">
        <v>43313</v>
      </c>
      <c r="AE1185" s="108" t="s">
        <v>4593</v>
      </c>
    </row>
    <row r="1186" spans="1:207" ht="27" customHeight="1" x14ac:dyDescent="0.15">
      <c r="A1186" s="105">
        <v>1114600990</v>
      </c>
      <c r="B1186" s="130" t="s">
        <v>786</v>
      </c>
      <c r="C1186" s="108" t="s">
        <v>5020</v>
      </c>
      <c r="D1186" s="108" t="s">
        <v>96</v>
      </c>
      <c r="E1186" s="108" t="s">
        <v>5021</v>
      </c>
      <c r="F1186" s="131" t="s">
        <v>5022</v>
      </c>
      <c r="G1186" s="132" t="s">
        <v>5023</v>
      </c>
      <c r="H1186" s="132" t="s">
        <v>5024</v>
      </c>
      <c r="I1186" s="133"/>
      <c r="J1186" s="134"/>
      <c r="K1186" s="134"/>
      <c r="L1186" s="134"/>
      <c r="M1186" s="134" t="s">
        <v>49</v>
      </c>
      <c r="N1186" s="135"/>
      <c r="O1186" s="136"/>
      <c r="P1186" s="105">
        <v>30</v>
      </c>
      <c r="Q1186" s="152"/>
      <c r="R1186" s="138">
        <v>10</v>
      </c>
      <c r="S1186" s="132"/>
      <c r="T1186" s="105">
        <v>40</v>
      </c>
      <c r="U1186" s="132"/>
      <c r="V1186" s="152"/>
      <c r="W1186" s="136"/>
      <c r="X1186" s="152"/>
      <c r="Y1186" s="136"/>
      <c r="Z1186" s="132"/>
      <c r="AA1186" s="132"/>
      <c r="AB1186" s="132"/>
      <c r="AC1186" s="132"/>
      <c r="AD1186" s="239">
        <v>43556</v>
      </c>
      <c r="AE1186" s="108" t="s">
        <v>5025</v>
      </c>
    </row>
    <row r="1187" spans="1:207" s="65" customFormat="1" ht="27" customHeight="1" x14ac:dyDescent="0.15">
      <c r="A1187" s="105">
        <v>1114601014</v>
      </c>
      <c r="B1187" s="130" t="s">
        <v>5069</v>
      </c>
      <c r="C1187" s="108" t="s">
        <v>5070</v>
      </c>
      <c r="D1187" s="108" t="s">
        <v>96</v>
      </c>
      <c r="E1187" s="108" t="s">
        <v>5071</v>
      </c>
      <c r="F1187" s="131">
        <v>3660054</v>
      </c>
      <c r="G1187" s="132" t="s">
        <v>5072</v>
      </c>
      <c r="H1187" s="132" t="s">
        <v>5073</v>
      </c>
      <c r="I1187" s="133" t="s">
        <v>5074</v>
      </c>
      <c r="J1187" s="134"/>
      <c r="K1187" s="134"/>
      <c r="L1187" s="134"/>
      <c r="M1187" s="134"/>
      <c r="N1187" s="135"/>
      <c r="O1187" s="136" t="s">
        <v>5074</v>
      </c>
      <c r="P1187" s="105"/>
      <c r="Q1187" s="152"/>
      <c r="R1187" s="138"/>
      <c r="S1187" s="132"/>
      <c r="T1187" s="132">
        <v>22</v>
      </c>
      <c r="U1187" s="132"/>
      <c r="V1187" s="152"/>
      <c r="W1187" s="136"/>
      <c r="X1187" s="152"/>
      <c r="Y1187" s="136"/>
      <c r="Z1187" s="132"/>
      <c r="AA1187" s="132"/>
      <c r="AB1187" s="132"/>
      <c r="AC1187" s="132"/>
      <c r="AD1187" s="155" t="s">
        <v>5087</v>
      </c>
      <c r="AE1187" s="108" t="s">
        <v>5442</v>
      </c>
    </row>
    <row r="1188" spans="1:207" s="65" customFormat="1" ht="27" customHeight="1" x14ac:dyDescent="0.15">
      <c r="A1188" s="105">
        <v>1114601022</v>
      </c>
      <c r="B1188" s="106" t="s">
        <v>5575</v>
      </c>
      <c r="C1188" s="107" t="s">
        <v>5576</v>
      </c>
      <c r="D1188" s="108" t="s">
        <v>96</v>
      </c>
      <c r="E1188" s="108" t="s">
        <v>5577</v>
      </c>
      <c r="F1188" s="139" t="s">
        <v>5578</v>
      </c>
      <c r="G1188" s="140" t="s">
        <v>5579</v>
      </c>
      <c r="H1188" s="140" t="s">
        <v>5580</v>
      </c>
      <c r="I1188" s="141" t="s">
        <v>765</v>
      </c>
      <c r="J1188" s="142" t="s">
        <v>765</v>
      </c>
      <c r="K1188" s="142" t="s">
        <v>765</v>
      </c>
      <c r="L1188" s="142" t="s">
        <v>765</v>
      </c>
      <c r="M1188" s="142" t="s">
        <v>765</v>
      </c>
      <c r="N1188" s="142" t="s">
        <v>765</v>
      </c>
      <c r="O1188" s="142" t="s">
        <v>765</v>
      </c>
      <c r="P1188" s="105"/>
      <c r="Q1188" s="137"/>
      <c r="R1188" s="138"/>
      <c r="S1188" s="105"/>
      <c r="T1188" s="105">
        <v>30</v>
      </c>
      <c r="U1188" s="105"/>
      <c r="V1188" s="137"/>
      <c r="W1188" s="138"/>
      <c r="X1188" s="137"/>
      <c r="Y1188" s="138"/>
      <c r="Z1188" s="105"/>
      <c r="AA1188" s="105"/>
      <c r="AB1188" s="105"/>
      <c r="AC1188" s="105"/>
      <c r="AD1188" s="144">
        <v>43891</v>
      </c>
      <c r="AE1188" s="108" t="s">
        <v>5603</v>
      </c>
      <c r="AU1188" s="229"/>
      <c r="AV1188" s="229"/>
      <c r="AW1188" s="229"/>
      <c r="AX1188" s="229"/>
      <c r="AY1188" s="229"/>
      <c r="AZ1188" s="229"/>
      <c r="BA1188" s="229"/>
      <c r="BB1188" s="229"/>
      <c r="BC1188" s="229"/>
      <c r="BD1188" s="229"/>
      <c r="BE1188" s="229"/>
      <c r="BF1188" s="229"/>
      <c r="BG1188" s="229"/>
      <c r="BH1188" s="229"/>
      <c r="BI1188" s="229"/>
      <c r="BJ1188" s="229"/>
      <c r="BK1188" s="229"/>
      <c r="BL1188" s="229"/>
      <c r="BM1188" s="229"/>
      <c r="BN1188" s="229"/>
      <c r="BO1188" s="229"/>
      <c r="BP1188" s="229"/>
      <c r="BQ1188" s="229"/>
      <c r="BR1188" s="229"/>
      <c r="BS1188" s="229"/>
      <c r="BT1188" s="229"/>
      <c r="BU1188" s="229"/>
      <c r="BV1188" s="229"/>
      <c r="BW1188" s="229"/>
      <c r="BX1188" s="229"/>
      <c r="BY1188" s="229"/>
      <c r="BZ1188" s="229"/>
      <c r="CA1188" s="229"/>
      <c r="CB1188" s="229"/>
      <c r="CC1188" s="229"/>
      <c r="CD1188" s="229"/>
      <c r="CE1188" s="229"/>
      <c r="CF1188" s="229"/>
      <c r="CG1188" s="229"/>
      <c r="CH1188" s="229"/>
      <c r="CI1188" s="229"/>
      <c r="CJ1188" s="229"/>
      <c r="CK1188" s="229"/>
      <c r="CL1188" s="229"/>
      <c r="CM1188" s="229"/>
      <c r="CN1188" s="229"/>
      <c r="CO1188" s="229"/>
      <c r="CP1188" s="229"/>
      <c r="CQ1188" s="229"/>
      <c r="CR1188" s="229"/>
      <c r="CS1188" s="229"/>
      <c r="CT1188" s="229"/>
      <c r="CU1188" s="229"/>
      <c r="CV1188" s="229"/>
      <c r="CW1188" s="229"/>
      <c r="CX1188" s="229"/>
      <c r="CY1188" s="229"/>
      <c r="CZ1188" s="229"/>
      <c r="DA1188" s="229"/>
      <c r="DB1188" s="229"/>
      <c r="DC1188" s="229"/>
      <c r="DD1188" s="229"/>
      <c r="DE1188" s="229"/>
      <c r="DF1188" s="229"/>
      <c r="DG1188" s="229"/>
      <c r="DH1188" s="229"/>
      <c r="DI1188" s="229"/>
      <c r="DJ1188" s="229"/>
      <c r="DK1188" s="229"/>
      <c r="DL1188" s="229"/>
      <c r="DM1188" s="229"/>
      <c r="DN1188" s="229"/>
      <c r="DO1188" s="229"/>
      <c r="DP1188" s="229"/>
      <c r="DQ1188" s="229"/>
      <c r="DR1188" s="229"/>
      <c r="DS1188" s="229"/>
      <c r="DT1188" s="229"/>
      <c r="DU1188" s="229"/>
      <c r="DV1188" s="229"/>
      <c r="DW1188" s="229"/>
      <c r="DX1188" s="229"/>
      <c r="DY1188" s="229"/>
      <c r="DZ1188" s="229"/>
      <c r="EA1188" s="229"/>
      <c r="EB1188" s="229"/>
      <c r="EC1188" s="229"/>
      <c r="ED1188" s="229"/>
      <c r="EE1188" s="229"/>
      <c r="EF1188" s="229"/>
      <c r="EG1188" s="229"/>
      <c r="EH1188" s="229"/>
      <c r="EI1188" s="229"/>
      <c r="EJ1188" s="229"/>
      <c r="EK1188" s="229"/>
      <c r="EL1188" s="229"/>
      <c r="EM1188" s="229"/>
      <c r="EN1188" s="229"/>
      <c r="EO1188" s="229"/>
      <c r="EP1188" s="229"/>
      <c r="EQ1188" s="229"/>
      <c r="ER1188" s="229"/>
      <c r="ES1188" s="229"/>
      <c r="ET1188" s="229"/>
      <c r="EU1188" s="229"/>
      <c r="EV1188" s="229"/>
      <c r="EW1188" s="229"/>
      <c r="EX1188" s="229"/>
      <c r="EY1188" s="229"/>
      <c r="EZ1188" s="229"/>
      <c r="FA1188" s="229"/>
    </row>
    <row r="1189" spans="1:207" ht="27" customHeight="1" x14ac:dyDescent="0.15">
      <c r="A1189" s="105">
        <v>1114601030</v>
      </c>
      <c r="B1189" s="106" t="s">
        <v>3700</v>
      </c>
      <c r="C1189" s="107" t="s">
        <v>5754</v>
      </c>
      <c r="D1189" s="108" t="s">
        <v>96</v>
      </c>
      <c r="E1189" s="108" t="s">
        <v>5755</v>
      </c>
      <c r="F1189" s="139" t="s">
        <v>5756</v>
      </c>
      <c r="G1189" s="140" t="s">
        <v>5757</v>
      </c>
      <c r="H1189" s="140" t="s">
        <v>5758</v>
      </c>
      <c r="I1189" s="141"/>
      <c r="J1189" s="142"/>
      <c r="K1189" s="142"/>
      <c r="L1189" s="142"/>
      <c r="M1189" s="142" t="s">
        <v>49</v>
      </c>
      <c r="N1189" s="143" t="s">
        <v>49</v>
      </c>
      <c r="O1189" s="138"/>
      <c r="P1189" s="105"/>
      <c r="Q1189" s="137"/>
      <c r="R1189" s="138"/>
      <c r="S1189" s="105"/>
      <c r="T1189" s="105"/>
      <c r="U1189" s="105"/>
      <c r="V1189" s="137"/>
      <c r="W1189" s="138"/>
      <c r="X1189" s="152"/>
      <c r="Y1189" s="138"/>
      <c r="Z1189" s="105"/>
      <c r="AA1189" s="105">
        <v>20</v>
      </c>
      <c r="AB1189" s="105"/>
      <c r="AC1189" s="105"/>
      <c r="AD1189" s="144">
        <v>43922</v>
      </c>
      <c r="AE1189" s="108" t="s">
        <v>3706</v>
      </c>
    </row>
    <row r="1190" spans="1:207" ht="27" customHeight="1" x14ac:dyDescent="0.15">
      <c r="A1190" s="105">
        <v>1114601048</v>
      </c>
      <c r="B1190" s="106" t="s">
        <v>5779</v>
      </c>
      <c r="C1190" s="107" t="s">
        <v>5780</v>
      </c>
      <c r="D1190" s="108" t="s">
        <v>96</v>
      </c>
      <c r="E1190" s="108" t="s">
        <v>5781</v>
      </c>
      <c r="F1190" s="139" t="s">
        <v>5782</v>
      </c>
      <c r="G1190" s="140" t="s">
        <v>5783</v>
      </c>
      <c r="H1190" s="140" t="s">
        <v>5784</v>
      </c>
      <c r="I1190" s="141"/>
      <c r="J1190" s="142"/>
      <c r="K1190" s="142"/>
      <c r="L1190" s="142"/>
      <c r="M1190" s="142" t="s">
        <v>765</v>
      </c>
      <c r="N1190" s="142" t="s">
        <v>765</v>
      </c>
      <c r="O1190" s="142" t="s">
        <v>765</v>
      </c>
      <c r="P1190" s="105"/>
      <c r="Q1190" s="137"/>
      <c r="R1190" s="138"/>
      <c r="S1190" s="105"/>
      <c r="T1190" s="105">
        <v>10</v>
      </c>
      <c r="U1190" s="105"/>
      <c r="V1190" s="137"/>
      <c r="W1190" s="138"/>
      <c r="X1190" s="137"/>
      <c r="Y1190" s="138"/>
      <c r="Z1190" s="105"/>
      <c r="AA1190" s="105"/>
      <c r="AB1190" s="105"/>
      <c r="AC1190" s="105"/>
      <c r="AD1190" s="144">
        <v>43922</v>
      </c>
      <c r="AE1190" s="108" t="s">
        <v>6381</v>
      </c>
      <c r="AF1190" s="65"/>
      <c r="AG1190" s="65"/>
      <c r="AH1190" s="65"/>
      <c r="AI1190" s="65"/>
      <c r="AJ1190" s="65"/>
      <c r="AK1190" s="65"/>
      <c r="AL1190" s="65"/>
      <c r="AM1190" s="65"/>
      <c r="AN1190" s="65"/>
      <c r="AO1190" s="65"/>
      <c r="AP1190" s="65"/>
      <c r="AQ1190" s="65"/>
      <c r="AR1190" s="65"/>
      <c r="AS1190" s="65"/>
      <c r="AT1190" s="65"/>
      <c r="AU1190" s="65"/>
      <c r="AV1190" s="65"/>
    </row>
    <row r="1191" spans="1:207" s="65" customFormat="1" ht="27" customHeight="1" x14ac:dyDescent="0.15">
      <c r="A1191" s="105">
        <v>1114601097</v>
      </c>
      <c r="B1191" s="130" t="s">
        <v>6459</v>
      </c>
      <c r="C1191" s="108" t="s">
        <v>6460</v>
      </c>
      <c r="D1191" s="108" t="s">
        <v>96</v>
      </c>
      <c r="E1191" s="108" t="s">
        <v>6461</v>
      </c>
      <c r="F1191" s="131" t="s">
        <v>2795</v>
      </c>
      <c r="G1191" s="132" t="s">
        <v>6734</v>
      </c>
      <c r="H1191" s="132" t="s">
        <v>6735</v>
      </c>
      <c r="I1191" s="141"/>
      <c r="J1191" s="142"/>
      <c r="K1191" s="142"/>
      <c r="L1191" s="142"/>
      <c r="M1191" s="142" t="s">
        <v>49</v>
      </c>
      <c r="N1191" s="143" t="s">
        <v>49</v>
      </c>
      <c r="O1191" s="138"/>
      <c r="P1191" s="105"/>
      <c r="Q1191" s="137"/>
      <c r="R1191" s="138"/>
      <c r="S1191" s="105"/>
      <c r="T1191" s="105">
        <v>20</v>
      </c>
      <c r="U1191" s="105"/>
      <c r="V1191" s="137"/>
      <c r="W1191" s="138"/>
      <c r="X1191" s="137"/>
      <c r="Y1191" s="138"/>
      <c r="Z1191" s="105"/>
      <c r="AA1191" s="105"/>
      <c r="AB1191" s="105"/>
      <c r="AC1191" s="105"/>
      <c r="AD1191" s="118">
        <v>44197</v>
      </c>
      <c r="AE1191" s="108" t="s">
        <v>5772</v>
      </c>
    </row>
    <row r="1192" spans="1:207" s="65" customFormat="1" ht="27" customHeight="1" x14ac:dyDescent="0.15">
      <c r="A1192" s="105">
        <v>1114601105</v>
      </c>
      <c r="B1192" s="130" t="s">
        <v>7295</v>
      </c>
      <c r="C1192" s="108" t="s">
        <v>7296</v>
      </c>
      <c r="D1192" s="108" t="s">
        <v>96</v>
      </c>
      <c r="E1192" s="108" t="s">
        <v>7297</v>
      </c>
      <c r="F1192" s="131" t="s">
        <v>7298</v>
      </c>
      <c r="G1192" s="132" t="s">
        <v>7299</v>
      </c>
      <c r="H1192" s="132"/>
      <c r="I1192" s="133"/>
      <c r="J1192" s="134"/>
      <c r="K1192" s="134"/>
      <c r="L1192" s="134"/>
      <c r="M1192" s="134" t="s">
        <v>765</v>
      </c>
      <c r="N1192" s="135"/>
      <c r="O1192" s="136"/>
      <c r="P1192" s="105"/>
      <c r="Q1192" s="137"/>
      <c r="R1192" s="138"/>
      <c r="S1192" s="105"/>
      <c r="T1192" s="105"/>
      <c r="U1192" s="105"/>
      <c r="V1192" s="116"/>
      <c r="W1192" s="117"/>
      <c r="X1192" s="116"/>
      <c r="Y1192" s="138"/>
      <c r="Z1192" s="105"/>
      <c r="AA1192" s="105">
        <v>20</v>
      </c>
      <c r="AB1192" s="105"/>
      <c r="AC1192" s="105"/>
      <c r="AD1192" s="144">
        <v>44621</v>
      </c>
      <c r="AE1192" s="108" t="s">
        <v>7300</v>
      </c>
    </row>
    <row r="1193" spans="1:207" ht="27" customHeight="1" x14ac:dyDescent="0.15">
      <c r="A1193" s="132">
        <v>1114601113</v>
      </c>
      <c r="B1193" s="130" t="s">
        <v>7617</v>
      </c>
      <c r="C1193" s="108" t="s">
        <v>7618</v>
      </c>
      <c r="D1193" s="108" t="s">
        <v>96</v>
      </c>
      <c r="E1193" s="108" t="s">
        <v>7619</v>
      </c>
      <c r="F1193" s="139" t="s">
        <v>7620</v>
      </c>
      <c r="G1193" s="140" t="s">
        <v>7621</v>
      </c>
      <c r="H1193" s="140" t="s">
        <v>7622</v>
      </c>
      <c r="I1193" s="141" t="s">
        <v>6457</v>
      </c>
      <c r="J1193" s="142" t="s">
        <v>6457</v>
      </c>
      <c r="K1193" s="142" t="s">
        <v>6457</v>
      </c>
      <c r="L1193" s="142" t="s">
        <v>6457</v>
      </c>
      <c r="M1193" s="142" t="s">
        <v>6457</v>
      </c>
      <c r="N1193" s="143" t="s">
        <v>6457</v>
      </c>
      <c r="O1193" s="138" t="s">
        <v>6457</v>
      </c>
      <c r="P1193" s="105"/>
      <c r="Q1193" s="137"/>
      <c r="R1193" s="138"/>
      <c r="S1193" s="105"/>
      <c r="T1193" s="105"/>
      <c r="U1193" s="105"/>
      <c r="V1193" s="137"/>
      <c r="W1193" s="138"/>
      <c r="X1193" s="137"/>
      <c r="Y1193" s="138"/>
      <c r="Z1193" s="105"/>
      <c r="AA1193" s="105">
        <v>30</v>
      </c>
      <c r="AB1193" s="105"/>
      <c r="AC1193" s="105"/>
      <c r="AD1193" s="144">
        <v>44713</v>
      </c>
      <c r="AE1193" s="108" t="s">
        <v>7623</v>
      </c>
    </row>
    <row r="1194" spans="1:207" ht="27" customHeight="1" x14ac:dyDescent="0.15">
      <c r="A1194" s="132">
        <v>1114601121</v>
      </c>
      <c r="B1194" s="130" t="s">
        <v>7690</v>
      </c>
      <c r="C1194" s="108" t="s">
        <v>7691</v>
      </c>
      <c r="D1194" s="108" t="s">
        <v>96</v>
      </c>
      <c r="E1194" s="108" t="s">
        <v>7692</v>
      </c>
      <c r="F1194" s="139" t="s">
        <v>5578</v>
      </c>
      <c r="G1194" s="140" t="s">
        <v>7964</v>
      </c>
      <c r="H1194" s="140" t="s">
        <v>7965</v>
      </c>
      <c r="I1194" s="141"/>
      <c r="J1194" s="142"/>
      <c r="K1194" s="142" t="s">
        <v>6457</v>
      </c>
      <c r="L1194" s="142"/>
      <c r="M1194" s="142" t="s">
        <v>6457</v>
      </c>
      <c r="N1194" s="143" t="s">
        <v>6457</v>
      </c>
      <c r="O1194" s="138"/>
      <c r="P1194" s="105"/>
      <c r="Q1194" s="137"/>
      <c r="R1194" s="138"/>
      <c r="S1194" s="105"/>
      <c r="T1194" s="105">
        <v>10</v>
      </c>
      <c r="U1194" s="105"/>
      <c r="V1194" s="137"/>
      <c r="W1194" s="138"/>
      <c r="X1194" s="137"/>
      <c r="Y1194" s="138"/>
      <c r="Z1194" s="105"/>
      <c r="AA1194" s="105"/>
      <c r="AB1194" s="105"/>
      <c r="AC1194" s="105"/>
      <c r="AD1194" s="155">
        <v>44743</v>
      </c>
      <c r="AE1194" s="108" t="s">
        <v>7693</v>
      </c>
    </row>
    <row r="1195" spans="1:207" ht="27" customHeight="1" x14ac:dyDescent="0.15">
      <c r="A1195" s="132">
        <v>1114601139</v>
      </c>
      <c r="B1195" s="130" t="s">
        <v>7694</v>
      </c>
      <c r="C1195" s="108" t="s">
        <v>7695</v>
      </c>
      <c r="D1195" s="108" t="s">
        <v>96</v>
      </c>
      <c r="E1195" s="108" t="s">
        <v>7696</v>
      </c>
      <c r="F1195" s="139" t="s">
        <v>7298</v>
      </c>
      <c r="G1195" s="140" t="s">
        <v>7697</v>
      </c>
      <c r="H1195" s="140" t="s">
        <v>7698</v>
      </c>
      <c r="I1195" s="141" t="s">
        <v>6457</v>
      </c>
      <c r="J1195" s="142" t="s">
        <v>6457</v>
      </c>
      <c r="K1195" s="142" t="s">
        <v>6457</v>
      </c>
      <c r="L1195" s="142" t="s">
        <v>6457</v>
      </c>
      <c r="M1195" s="142" t="s">
        <v>6457</v>
      </c>
      <c r="N1195" s="143" t="s">
        <v>6457</v>
      </c>
      <c r="O1195" s="138" t="s">
        <v>6457</v>
      </c>
      <c r="P1195" s="105"/>
      <c r="Q1195" s="137"/>
      <c r="R1195" s="138"/>
      <c r="S1195" s="105"/>
      <c r="T1195" s="105"/>
      <c r="U1195" s="105"/>
      <c r="V1195" s="137"/>
      <c r="W1195" s="138"/>
      <c r="X1195" s="137"/>
      <c r="Y1195" s="138"/>
      <c r="Z1195" s="105"/>
      <c r="AA1195" s="105">
        <v>20</v>
      </c>
      <c r="AB1195" s="105"/>
      <c r="AC1195" s="105"/>
      <c r="AD1195" s="155">
        <v>44743</v>
      </c>
      <c r="AE1195" s="108" t="s">
        <v>7699</v>
      </c>
    </row>
    <row r="1196" spans="1:207" ht="27" customHeight="1" x14ac:dyDescent="0.15">
      <c r="A1196" s="105">
        <v>1114601147</v>
      </c>
      <c r="B1196" s="106" t="s">
        <v>7957</v>
      </c>
      <c r="C1196" s="107" t="s">
        <v>7958</v>
      </c>
      <c r="D1196" s="108" t="s">
        <v>96</v>
      </c>
      <c r="E1196" s="108" t="s">
        <v>7959</v>
      </c>
      <c r="F1196" s="139" t="s">
        <v>7960</v>
      </c>
      <c r="G1196" s="140" t="s">
        <v>7961</v>
      </c>
      <c r="H1196" s="140" t="s">
        <v>7962</v>
      </c>
      <c r="I1196" s="141"/>
      <c r="J1196" s="142"/>
      <c r="K1196" s="142"/>
      <c r="L1196" s="142"/>
      <c r="M1196" s="142" t="s">
        <v>765</v>
      </c>
      <c r="N1196" s="143" t="s">
        <v>765</v>
      </c>
      <c r="O1196" s="138"/>
      <c r="P1196" s="105"/>
      <c r="Q1196" s="137"/>
      <c r="R1196" s="138"/>
      <c r="S1196" s="105"/>
      <c r="T1196" s="105"/>
      <c r="U1196" s="105"/>
      <c r="V1196" s="116"/>
      <c r="W1196" s="117"/>
      <c r="X1196" s="116"/>
      <c r="Y1196" s="138"/>
      <c r="Z1196" s="105"/>
      <c r="AA1196" s="105">
        <v>20</v>
      </c>
      <c r="AB1196" s="105"/>
      <c r="AC1196" s="105"/>
      <c r="AD1196" s="144">
        <v>44866</v>
      </c>
      <c r="AE1196" s="108" t="s">
        <v>7963</v>
      </c>
    </row>
    <row r="1197" spans="1:207" s="65" customFormat="1" ht="27" customHeight="1" x14ac:dyDescent="0.15">
      <c r="A1197" s="105">
        <v>1114601162</v>
      </c>
      <c r="B1197" s="157" t="s">
        <v>8406</v>
      </c>
      <c r="C1197" s="157" t="s">
        <v>8407</v>
      </c>
      <c r="D1197" s="108" t="s">
        <v>4589</v>
      </c>
      <c r="E1197" s="108" t="s">
        <v>8408</v>
      </c>
      <c r="F1197" s="264" t="s">
        <v>8409</v>
      </c>
      <c r="G1197" s="105" t="s">
        <v>8410</v>
      </c>
      <c r="H1197" s="105" t="s">
        <v>8411</v>
      </c>
      <c r="I1197" s="141"/>
      <c r="J1197" s="142"/>
      <c r="K1197" s="142"/>
      <c r="L1197" s="142"/>
      <c r="M1197" s="142" t="s">
        <v>49</v>
      </c>
      <c r="N1197" s="143" t="s">
        <v>49</v>
      </c>
      <c r="O1197" s="138" t="s">
        <v>49</v>
      </c>
      <c r="P1197" s="105"/>
      <c r="Q1197" s="137"/>
      <c r="R1197" s="138"/>
      <c r="S1197" s="105"/>
      <c r="T1197" s="105"/>
      <c r="U1197" s="105"/>
      <c r="V1197" s="137"/>
      <c r="W1197" s="138"/>
      <c r="X1197" s="137"/>
      <c r="Y1197" s="138"/>
      <c r="Z1197" s="105"/>
      <c r="AA1197" s="105">
        <v>20</v>
      </c>
      <c r="AB1197" s="105"/>
      <c r="AC1197" s="105"/>
      <c r="AD1197" s="155">
        <v>45078</v>
      </c>
      <c r="AE1197" s="157" t="s">
        <v>8412</v>
      </c>
    </row>
    <row r="1198" spans="1:207" s="65" customFormat="1" ht="27" customHeight="1" x14ac:dyDescent="0.15">
      <c r="A1198" s="105">
        <v>1114601204</v>
      </c>
      <c r="B1198" s="157" t="s">
        <v>8994</v>
      </c>
      <c r="C1198" s="157" t="s">
        <v>8995</v>
      </c>
      <c r="D1198" s="108" t="s">
        <v>4589</v>
      </c>
      <c r="E1198" s="108" t="s">
        <v>8996</v>
      </c>
      <c r="F1198" s="264" t="s">
        <v>8409</v>
      </c>
      <c r="G1198" s="105" t="s">
        <v>8997</v>
      </c>
      <c r="H1198" s="105" t="s">
        <v>8998</v>
      </c>
      <c r="I1198" s="141"/>
      <c r="J1198" s="142"/>
      <c r="K1198" s="142"/>
      <c r="L1198" s="142"/>
      <c r="M1198" s="142" t="s">
        <v>49</v>
      </c>
      <c r="N1198" s="143" t="s">
        <v>49</v>
      </c>
      <c r="O1198" s="138"/>
      <c r="P1198" s="105"/>
      <c r="Q1198" s="137"/>
      <c r="R1198" s="138"/>
      <c r="S1198" s="105"/>
      <c r="T1198" s="105"/>
      <c r="U1198" s="105"/>
      <c r="V1198" s="137"/>
      <c r="W1198" s="138"/>
      <c r="X1198" s="137"/>
      <c r="Y1198" s="138"/>
      <c r="Z1198" s="105">
        <v>20</v>
      </c>
      <c r="AA1198" s="105"/>
      <c r="AB1198" s="105"/>
      <c r="AC1198" s="105"/>
      <c r="AD1198" s="155">
        <v>45323</v>
      </c>
      <c r="AE1198" s="157" t="s">
        <v>8999</v>
      </c>
    </row>
    <row r="1199" spans="1:207" ht="27" customHeight="1" x14ac:dyDescent="0.15">
      <c r="A1199" s="175">
        <v>1114601212</v>
      </c>
      <c r="B1199" s="204" t="s">
        <v>9211</v>
      </c>
      <c r="C1199" s="162" t="s">
        <v>9212</v>
      </c>
      <c r="D1199" s="162" t="s">
        <v>4589</v>
      </c>
      <c r="E1199" s="162" t="s">
        <v>9213</v>
      </c>
      <c r="F1199" s="268" t="s">
        <v>6507</v>
      </c>
      <c r="G1199" s="203" t="s">
        <v>9214</v>
      </c>
      <c r="H1199" s="203" t="s">
        <v>9215</v>
      </c>
      <c r="I1199" s="357"/>
      <c r="J1199" s="358"/>
      <c r="K1199" s="358"/>
      <c r="L1199" s="358"/>
      <c r="M1199" s="358" t="s">
        <v>765</v>
      </c>
      <c r="N1199" s="359" t="s">
        <v>765</v>
      </c>
      <c r="O1199" s="359" t="s">
        <v>765</v>
      </c>
      <c r="P1199" s="175"/>
      <c r="Q1199" s="209"/>
      <c r="R1199" s="210"/>
      <c r="S1199" s="175"/>
      <c r="T1199" s="175"/>
      <c r="U1199" s="175"/>
      <c r="V1199" s="209"/>
      <c r="W1199" s="210"/>
      <c r="X1199" s="209"/>
      <c r="Y1199" s="210"/>
      <c r="Z1199" s="175"/>
      <c r="AA1199" s="175">
        <v>20</v>
      </c>
      <c r="AB1199" s="175"/>
      <c r="AC1199" s="175"/>
      <c r="AD1199" s="227">
        <v>45413</v>
      </c>
      <c r="AE1199" s="162" t="s">
        <v>9216</v>
      </c>
    </row>
    <row r="1200" spans="1:207" s="218" customFormat="1" ht="26.1" customHeight="1" x14ac:dyDescent="0.15">
      <c r="A1200" s="105">
        <v>1114601220</v>
      </c>
      <c r="B1200" s="106" t="s">
        <v>9559</v>
      </c>
      <c r="C1200" s="107" t="s">
        <v>9560</v>
      </c>
      <c r="D1200" s="108" t="s">
        <v>96</v>
      </c>
      <c r="E1200" s="108" t="s">
        <v>9561</v>
      </c>
      <c r="F1200" s="139" t="s">
        <v>9562</v>
      </c>
      <c r="G1200" s="140" t="s">
        <v>9563</v>
      </c>
      <c r="H1200" s="140" t="s">
        <v>9564</v>
      </c>
      <c r="I1200" s="133" t="s">
        <v>765</v>
      </c>
      <c r="J1200" s="134" t="s">
        <v>765</v>
      </c>
      <c r="K1200" s="134" t="s">
        <v>765</v>
      </c>
      <c r="L1200" s="134" t="s">
        <v>765</v>
      </c>
      <c r="M1200" s="134" t="s">
        <v>765</v>
      </c>
      <c r="N1200" s="135" t="s">
        <v>765</v>
      </c>
      <c r="O1200" s="136" t="s">
        <v>765</v>
      </c>
      <c r="P1200" s="105"/>
      <c r="Q1200" s="137"/>
      <c r="R1200" s="138"/>
      <c r="S1200" s="105"/>
      <c r="T1200" s="105"/>
      <c r="U1200" s="105">
        <v>35</v>
      </c>
      <c r="V1200" s="137"/>
      <c r="W1200" s="138"/>
      <c r="X1200" s="137"/>
      <c r="Y1200" s="138"/>
      <c r="Z1200" s="105"/>
      <c r="AA1200" s="105"/>
      <c r="AB1200" s="105"/>
      <c r="AC1200" s="105"/>
      <c r="AD1200" s="155">
        <v>45566</v>
      </c>
      <c r="AE1200" s="108" t="s">
        <v>9565</v>
      </c>
      <c r="AF1200" s="67"/>
      <c r="AG1200" s="67"/>
      <c r="AH1200" s="67"/>
      <c r="AI1200" s="67"/>
      <c r="AJ1200" s="67"/>
      <c r="AK1200" s="67"/>
      <c r="AL1200" s="67"/>
      <c r="AM1200" s="67"/>
      <c r="AN1200" s="67"/>
      <c r="AO1200" s="266"/>
      <c r="AP1200" s="339"/>
      <c r="AQ1200" s="340"/>
      <c r="AR1200" s="340"/>
      <c r="AS1200" s="340"/>
      <c r="AT1200" s="341"/>
      <c r="AU1200" s="342"/>
      <c r="AV1200" s="342"/>
      <c r="AW1200" s="342"/>
      <c r="AX1200" s="342"/>
      <c r="AY1200" s="342"/>
      <c r="AZ1200" s="342"/>
      <c r="BA1200" s="342"/>
      <c r="BB1200" s="342"/>
      <c r="BC1200" s="342"/>
      <c r="BD1200" s="266"/>
      <c r="BE1200" s="266"/>
      <c r="BF1200" s="266"/>
      <c r="BG1200" s="266"/>
      <c r="BH1200" s="266"/>
      <c r="BI1200" s="266"/>
      <c r="BJ1200" s="266"/>
      <c r="BK1200" s="266"/>
      <c r="BL1200" s="266"/>
      <c r="BM1200" s="266"/>
      <c r="BN1200" s="266"/>
      <c r="BO1200" s="266"/>
      <c r="BP1200" s="266"/>
      <c r="BQ1200" s="325"/>
      <c r="BR1200" s="340"/>
      <c r="BS1200" s="276"/>
      <c r="BT1200" s="276"/>
      <c r="BU1200" s="276"/>
      <c r="BV1200" s="276"/>
      <c r="BW1200" s="343"/>
      <c r="BX1200" s="344"/>
      <c r="BY1200" s="68"/>
      <c r="BZ1200" s="149"/>
      <c r="CA1200" s="149"/>
      <c r="CB1200" s="149"/>
      <c r="CC1200" s="149"/>
      <c r="CD1200" s="149"/>
      <c r="CE1200" s="149"/>
      <c r="CF1200" s="149"/>
      <c r="CG1200" s="149"/>
      <c r="CH1200" s="149"/>
      <c r="CI1200" s="149"/>
      <c r="CJ1200" s="149"/>
      <c r="CK1200" s="149"/>
      <c r="CL1200" s="149"/>
      <c r="CM1200" s="65"/>
      <c r="CN1200" s="149"/>
      <c r="CO1200" s="65"/>
      <c r="CP1200" s="65"/>
      <c r="CQ1200" s="65"/>
      <c r="CR1200" s="65"/>
      <c r="CS1200" s="65"/>
      <c r="CT1200" s="65"/>
      <c r="CU1200" s="65"/>
      <c r="CV1200" s="65"/>
      <c r="CW1200" s="65"/>
      <c r="CX1200" s="65"/>
      <c r="CY1200" s="65"/>
      <c r="CZ1200" s="65"/>
      <c r="DA1200" s="149"/>
      <c r="DB1200" s="149"/>
      <c r="DC1200" s="149"/>
      <c r="DD1200" s="149"/>
      <c r="DE1200" s="149"/>
      <c r="DF1200" s="345"/>
      <c r="DG1200" s="65"/>
      <c r="DH1200" s="65"/>
      <c r="DI1200" s="65"/>
      <c r="DJ1200" s="65"/>
      <c r="DK1200" s="65"/>
      <c r="DL1200" s="82"/>
      <c r="DM1200" s="67"/>
      <c r="DN1200" s="65"/>
      <c r="DO1200" s="67"/>
      <c r="DP1200" s="67"/>
      <c r="DQ1200" s="67"/>
      <c r="DR1200" s="67"/>
      <c r="DS1200" s="67"/>
      <c r="DT1200" s="67"/>
      <c r="DU1200" s="67"/>
      <c r="DV1200" s="67"/>
      <c r="DW1200" s="67"/>
      <c r="DX1200" s="67"/>
      <c r="DY1200" s="67"/>
      <c r="DZ1200" s="266"/>
      <c r="EA1200" s="339"/>
      <c r="EB1200" s="340"/>
      <c r="EC1200" s="340"/>
      <c r="ED1200" s="340"/>
      <c r="EE1200" s="341"/>
      <c r="EF1200" s="342"/>
      <c r="EG1200" s="342"/>
      <c r="EH1200" s="342"/>
      <c r="EI1200" s="342"/>
      <c r="EJ1200" s="342"/>
      <c r="EK1200" s="342"/>
      <c r="EL1200" s="342"/>
      <c r="EM1200" s="342"/>
      <c r="EN1200" s="342"/>
      <c r="EO1200" s="266"/>
      <c r="EP1200" s="266"/>
      <c r="EQ1200" s="266"/>
      <c r="ER1200" s="266"/>
      <c r="ES1200" s="266"/>
      <c r="ET1200" s="266"/>
      <c r="EU1200" s="266"/>
      <c r="EV1200" s="266"/>
      <c r="EW1200" s="266"/>
      <c r="EX1200" s="266"/>
      <c r="EY1200" s="266"/>
      <c r="EZ1200" s="266"/>
      <c r="FA1200" s="266"/>
      <c r="FB1200" s="325"/>
      <c r="FC1200" s="340"/>
      <c r="FD1200" s="276"/>
      <c r="FE1200" s="276"/>
      <c r="FF1200" s="276"/>
      <c r="FG1200" s="276"/>
      <c r="FH1200" s="343"/>
      <c r="FI1200" s="344"/>
      <c r="FJ1200" s="68"/>
      <c r="FK1200" s="149"/>
      <c r="FL1200" s="149"/>
      <c r="FM1200" s="149"/>
      <c r="FN1200" s="149"/>
      <c r="FO1200" s="149"/>
      <c r="FP1200" s="149"/>
      <c r="FQ1200" s="149"/>
      <c r="FR1200" s="149"/>
      <c r="FS1200" s="149"/>
      <c r="FT1200" s="149"/>
      <c r="FU1200" s="149"/>
      <c r="FV1200" s="149"/>
      <c r="FW1200" s="149"/>
      <c r="FX1200" s="65"/>
      <c r="FY1200" s="149"/>
      <c r="FZ1200" s="65"/>
      <c r="GA1200" s="65"/>
      <c r="GB1200" s="65"/>
      <c r="GC1200" s="65"/>
      <c r="GD1200" s="65"/>
      <c r="GE1200" s="65"/>
      <c r="GF1200" s="65"/>
      <c r="GG1200" s="65"/>
      <c r="GH1200" s="65"/>
      <c r="GI1200" s="65"/>
      <c r="GJ1200" s="65"/>
      <c r="GK1200" s="65"/>
      <c r="GL1200" s="149"/>
      <c r="GM1200" s="149"/>
      <c r="GN1200" s="149"/>
      <c r="GO1200" s="149"/>
      <c r="GP1200" s="149"/>
      <c r="GQ1200" s="345"/>
      <c r="GR1200" s="65"/>
      <c r="GS1200" s="65"/>
      <c r="GT1200" s="65"/>
      <c r="GU1200" s="65"/>
      <c r="GV1200" s="65"/>
      <c r="GW1200" s="82"/>
      <c r="GX1200" s="67"/>
      <c r="GY1200" s="65"/>
    </row>
    <row r="1201" spans="1:31" ht="27" customHeight="1" x14ac:dyDescent="0.15">
      <c r="A1201" s="105">
        <v>1114601279</v>
      </c>
      <c r="B1201" s="106" t="s">
        <v>10128</v>
      </c>
      <c r="C1201" s="107" t="s">
        <v>10129</v>
      </c>
      <c r="D1201" s="108" t="s">
        <v>96</v>
      </c>
      <c r="E1201" s="108" t="s">
        <v>10130</v>
      </c>
      <c r="F1201" s="139" t="s">
        <v>10131</v>
      </c>
      <c r="G1201" s="140" t="s">
        <v>10132</v>
      </c>
      <c r="H1201" s="140"/>
      <c r="I1201" s="160" t="s">
        <v>765</v>
      </c>
      <c r="J1201" s="142" t="s">
        <v>765</v>
      </c>
      <c r="K1201" s="142" t="s">
        <v>765</v>
      </c>
      <c r="L1201" s="142" t="s">
        <v>765</v>
      </c>
      <c r="M1201" s="142" t="s">
        <v>765</v>
      </c>
      <c r="N1201" s="143" t="s">
        <v>765</v>
      </c>
      <c r="O1201" s="138" t="s">
        <v>765</v>
      </c>
      <c r="P1201" s="105"/>
      <c r="Q1201" s="137"/>
      <c r="R1201" s="138"/>
      <c r="S1201" s="105"/>
      <c r="T1201" s="105">
        <v>20</v>
      </c>
      <c r="U1201" s="105"/>
      <c r="V1201" s="116"/>
      <c r="W1201" s="117"/>
      <c r="X1201" s="116"/>
      <c r="Y1201" s="138"/>
      <c r="Z1201" s="105"/>
      <c r="AA1201" s="105"/>
      <c r="AB1201" s="105"/>
      <c r="AC1201" s="105"/>
      <c r="AD1201" s="144">
        <v>45748</v>
      </c>
      <c r="AE1201" s="108" t="s">
        <v>10133</v>
      </c>
    </row>
    <row r="1202" spans="1:31" ht="27" customHeight="1" x14ac:dyDescent="0.15">
      <c r="A1202" s="132">
        <v>1114601287</v>
      </c>
      <c r="B1202" s="108" t="s">
        <v>11649</v>
      </c>
      <c r="C1202" s="108" t="s">
        <v>10456</v>
      </c>
      <c r="D1202" s="108" t="s">
        <v>96</v>
      </c>
      <c r="E1202" s="346" t="s">
        <v>10457</v>
      </c>
      <c r="F1202" s="132" t="s">
        <v>2971</v>
      </c>
      <c r="G1202" s="132" t="s">
        <v>10458</v>
      </c>
      <c r="H1202" s="132" t="s">
        <v>10458</v>
      </c>
      <c r="I1202" s="134"/>
      <c r="J1202" s="134"/>
      <c r="K1202" s="134"/>
      <c r="L1202" s="134"/>
      <c r="M1202" s="134" t="s">
        <v>765</v>
      </c>
      <c r="N1202" s="135" t="s">
        <v>765</v>
      </c>
      <c r="O1202" s="138"/>
      <c r="P1202" s="137"/>
      <c r="Q1202" s="116"/>
      <c r="R1202" s="117"/>
      <c r="S1202" s="105"/>
      <c r="T1202" s="105"/>
      <c r="U1202" s="137"/>
      <c r="V1202" s="116"/>
      <c r="W1202" s="347"/>
      <c r="X1202" s="116"/>
      <c r="Y1202" s="117"/>
      <c r="Z1202" s="105"/>
      <c r="AA1202" s="105">
        <v>20</v>
      </c>
      <c r="AB1202" s="118"/>
      <c r="AC1202" s="118"/>
      <c r="AD1202" s="132" t="s">
        <v>10363</v>
      </c>
      <c r="AE1202" s="80" t="s">
        <v>10459</v>
      </c>
    </row>
    <row r="1203" spans="1:31" s="65" customFormat="1" ht="27" customHeight="1" x14ac:dyDescent="0.15">
      <c r="A1203" s="105">
        <v>1114601295</v>
      </c>
      <c r="B1203" s="106" t="s">
        <v>11344</v>
      </c>
      <c r="C1203" s="107" t="s">
        <v>11345</v>
      </c>
      <c r="D1203" s="108" t="s">
        <v>96</v>
      </c>
      <c r="E1203" s="108" t="s">
        <v>11346</v>
      </c>
      <c r="F1203" s="139" t="s">
        <v>2971</v>
      </c>
      <c r="G1203" s="140" t="s">
        <v>11347</v>
      </c>
      <c r="H1203" s="140" t="s">
        <v>11348</v>
      </c>
      <c r="I1203" s="141"/>
      <c r="J1203" s="142"/>
      <c r="K1203" s="142"/>
      <c r="L1203" s="142"/>
      <c r="M1203" s="142" t="s">
        <v>765</v>
      </c>
      <c r="N1203" s="143" t="s">
        <v>765</v>
      </c>
      <c r="O1203" s="138"/>
      <c r="P1203" s="105"/>
      <c r="Q1203" s="137"/>
      <c r="R1203" s="138"/>
      <c r="S1203" s="105"/>
      <c r="T1203" s="105"/>
      <c r="U1203" s="105"/>
      <c r="V1203" s="137"/>
      <c r="W1203" s="138"/>
      <c r="X1203" s="137">
        <v>13</v>
      </c>
      <c r="Y1203" s="138"/>
      <c r="Z1203" s="105"/>
      <c r="AA1203" s="105"/>
      <c r="AB1203" s="105"/>
      <c r="AC1203" s="105"/>
      <c r="AD1203" s="144">
        <v>46113</v>
      </c>
      <c r="AE1203" s="108" t="s">
        <v>11349</v>
      </c>
    </row>
    <row r="1204" spans="1:31" s="65" customFormat="1" ht="27" customHeight="1" x14ac:dyDescent="0.15">
      <c r="A1204" s="105">
        <v>1114601303</v>
      </c>
      <c r="B1204" s="106" t="s">
        <v>11338</v>
      </c>
      <c r="C1204" s="107" t="s">
        <v>11339</v>
      </c>
      <c r="D1204" s="108" t="s">
        <v>96</v>
      </c>
      <c r="E1204" s="108" t="s">
        <v>11340</v>
      </c>
      <c r="F1204" s="139" t="s">
        <v>2971</v>
      </c>
      <c r="G1204" s="140" t="s">
        <v>11341</v>
      </c>
      <c r="H1204" s="140" t="s">
        <v>11342</v>
      </c>
      <c r="I1204" s="141" t="s">
        <v>765</v>
      </c>
      <c r="J1204" s="142" t="s">
        <v>765</v>
      </c>
      <c r="K1204" s="142" t="s">
        <v>765</v>
      </c>
      <c r="L1204" s="142" t="s">
        <v>765</v>
      </c>
      <c r="M1204" s="142" t="s">
        <v>765</v>
      </c>
      <c r="N1204" s="143" t="s">
        <v>765</v>
      </c>
      <c r="O1204" s="138" t="s">
        <v>765</v>
      </c>
      <c r="P1204" s="105"/>
      <c r="Q1204" s="137"/>
      <c r="R1204" s="138"/>
      <c r="S1204" s="105"/>
      <c r="T1204" s="105"/>
      <c r="U1204" s="105"/>
      <c r="V1204" s="137"/>
      <c r="W1204" s="138"/>
      <c r="X1204" s="137"/>
      <c r="Y1204" s="138"/>
      <c r="Z1204" s="105"/>
      <c r="AA1204" s="105">
        <v>20</v>
      </c>
      <c r="AB1204" s="105"/>
      <c r="AC1204" s="105"/>
      <c r="AD1204" s="144">
        <v>46113</v>
      </c>
      <c r="AE1204" s="108" t="s">
        <v>11343</v>
      </c>
    </row>
    <row r="1205" spans="1:31" s="65" customFormat="1" ht="27" customHeight="1" x14ac:dyDescent="0.15">
      <c r="A1205" s="105">
        <v>1114601311</v>
      </c>
      <c r="B1205" s="106" t="s">
        <v>11326</v>
      </c>
      <c r="C1205" s="107" t="s">
        <v>11327</v>
      </c>
      <c r="D1205" s="108" t="s">
        <v>96</v>
      </c>
      <c r="E1205" s="108" t="s">
        <v>903</v>
      </c>
      <c r="F1205" s="139">
        <v>3660811</v>
      </c>
      <c r="G1205" s="140" t="s">
        <v>11328</v>
      </c>
      <c r="H1205" s="140" t="s">
        <v>11329</v>
      </c>
      <c r="I1205" s="141" t="s">
        <v>49</v>
      </c>
      <c r="J1205" s="142" t="s">
        <v>49</v>
      </c>
      <c r="K1205" s="142" t="s">
        <v>49</v>
      </c>
      <c r="L1205" s="142" t="s">
        <v>49</v>
      </c>
      <c r="M1205" s="142"/>
      <c r="N1205" s="143"/>
      <c r="O1205" s="138"/>
      <c r="P1205" s="105"/>
      <c r="Q1205" s="137"/>
      <c r="R1205" s="138"/>
      <c r="S1205" s="105"/>
      <c r="T1205" s="105">
        <v>8</v>
      </c>
      <c r="U1205" s="105"/>
      <c r="V1205" s="137"/>
      <c r="W1205" s="138"/>
      <c r="X1205" s="137"/>
      <c r="Y1205" s="138"/>
      <c r="Z1205" s="105"/>
      <c r="AA1205" s="105"/>
      <c r="AB1205" s="105"/>
      <c r="AC1205" s="105"/>
      <c r="AD1205" s="144">
        <v>46113</v>
      </c>
      <c r="AE1205" s="108" t="s">
        <v>11330</v>
      </c>
    </row>
    <row r="1206" spans="1:31" s="65" customFormat="1" ht="27" customHeight="1" x14ac:dyDescent="0.15">
      <c r="A1206" s="150">
        <v>1114820010</v>
      </c>
      <c r="B1206" s="106" t="s">
        <v>437</v>
      </c>
      <c r="C1206" s="107" t="s">
        <v>10</v>
      </c>
      <c r="D1206" s="108" t="s">
        <v>11</v>
      </c>
      <c r="E1206" s="108" t="s">
        <v>12</v>
      </c>
      <c r="F1206" s="139">
        <v>3691622</v>
      </c>
      <c r="G1206" s="132" t="s">
        <v>13</v>
      </c>
      <c r="H1206" s="132" t="s">
        <v>14</v>
      </c>
      <c r="I1206" s="133" t="s">
        <v>284</v>
      </c>
      <c r="J1206" s="154" t="s">
        <v>284</v>
      </c>
      <c r="K1206" s="154" t="s">
        <v>284</v>
      </c>
      <c r="L1206" s="154" t="s">
        <v>284</v>
      </c>
      <c r="M1206" s="154"/>
      <c r="N1206" s="143"/>
      <c r="O1206" s="138"/>
      <c r="P1206" s="105">
        <v>50</v>
      </c>
      <c r="Q1206" s="137" t="s">
        <v>2681</v>
      </c>
      <c r="R1206" s="138">
        <v>2</v>
      </c>
      <c r="S1206" s="150"/>
      <c r="T1206" s="105">
        <v>53</v>
      </c>
      <c r="U1206" s="105"/>
      <c r="V1206" s="116"/>
      <c r="W1206" s="117"/>
      <c r="X1206" s="116"/>
      <c r="Y1206" s="187"/>
      <c r="Z1206" s="105"/>
      <c r="AA1206" s="105"/>
      <c r="AB1206" s="105"/>
      <c r="AC1206" s="105"/>
      <c r="AD1206" s="144">
        <v>39904</v>
      </c>
      <c r="AE1206" s="108" t="s">
        <v>1578</v>
      </c>
    </row>
    <row r="1207" spans="1:31" s="65" customFormat="1" ht="27" customHeight="1" x14ac:dyDescent="0.15">
      <c r="A1207" s="150">
        <v>1114860024</v>
      </c>
      <c r="B1207" s="130" t="s">
        <v>434</v>
      </c>
      <c r="C1207" s="107" t="s">
        <v>245</v>
      </c>
      <c r="D1207" s="108" t="s">
        <v>246</v>
      </c>
      <c r="E1207" s="108" t="s">
        <v>247</v>
      </c>
      <c r="F1207" s="151">
        <v>3680112</v>
      </c>
      <c r="G1207" s="152" t="s">
        <v>248</v>
      </c>
      <c r="H1207" s="132" t="s">
        <v>249</v>
      </c>
      <c r="I1207" s="183"/>
      <c r="J1207" s="154"/>
      <c r="K1207" s="154"/>
      <c r="L1207" s="154"/>
      <c r="M1207" s="154" t="s">
        <v>342</v>
      </c>
      <c r="N1207" s="143"/>
      <c r="O1207" s="138"/>
      <c r="P1207" s="105">
        <v>50</v>
      </c>
      <c r="Q1207" s="137" t="s">
        <v>2681</v>
      </c>
      <c r="R1207" s="138">
        <v>4</v>
      </c>
      <c r="S1207" s="150"/>
      <c r="T1207" s="105">
        <v>50</v>
      </c>
      <c r="U1207" s="105"/>
      <c r="V1207" s="116"/>
      <c r="W1207" s="138"/>
      <c r="X1207" s="137"/>
      <c r="Y1207" s="187"/>
      <c r="Z1207" s="105"/>
      <c r="AA1207" s="105"/>
      <c r="AB1207" s="105"/>
      <c r="AC1207" s="105"/>
      <c r="AD1207" s="144">
        <v>40087</v>
      </c>
      <c r="AE1207" s="108" t="s">
        <v>1579</v>
      </c>
    </row>
    <row r="1208" spans="1:31" ht="27" customHeight="1" x14ac:dyDescent="0.15">
      <c r="A1208" s="105">
        <v>1114860073</v>
      </c>
      <c r="B1208" s="213" t="s">
        <v>1834</v>
      </c>
      <c r="C1208" s="214" t="s">
        <v>1833</v>
      </c>
      <c r="D1208" s="108" t="s">
        <v>1950</v>
      </c>
      <c r="E1208" s="108" t="s">
        <v>1951</v>
      </c>
      <c r="F1208" s="139" t="s">
        <v>1952</v>
      </c>
      <c r="G1208" s="152" t="s">
        <v>1953</v>
      </c>
      <c r="H1208" s="132" t="s">
        <v>2025</v>
      </c>
      <c r="I1208" s="183"/>
      <c r="J1208" s="154"/>
      <c r="K1208" s="154"/>
      <c r="L1208" s="154"/>
      <c r="M1208" s="154" t="s">
        <v>1920</v>
      </c>
      <c r="N1208" s="143"/>
      <c r="O1208" s="138"/>
      <c r="P1208" s="105"/>
      <c r="Q1208" s="137"/>
      <c r="R1208" s="138"/>
      <c r="S1208" s="150"/>
      <c r="T1208" s="105"/>
      <c r="U1208" s="105"/>
      <c r="V1208" s="137"/>
      <c r="W1208" s="138"/>
      <c r="X1208" s="137"/>
      <c r="Y1208" s="187"/>
      <c r="Z1208" s="105"/>
      <c r="AA1208" s="105">
        <v>20</v>
      </c>
      <c r="AB1208" s="105"/>
      <c r="AC1208" s="105"/>
      <c r="AD1208" s="144">
        <v>41000</v>
      </c>
      <c r="AE1208" s="108" t="s">
        <v>1954</v>
      </c>
    </row>
    <row r="1209" spans="1:31" ht="27" customHeight="1" x14ac:dyDescent="0.15">
      <c r="A1209" s="105">
        <v>1114860115</v>
      </c>
      <c r="B1209" s="130" t="s">
        <v>2326</v>
      </c>
      <c r="C1209" s="108" t="s">
        <v>2327</v>
      </c>
      <c r="D1209" s="108" t="s">
        <v>1950</v>
      </c>
      <c r="E1209" s="108" t="s">
        <v>2328</v>
      </c>
      <c r="F1209" s="131" t="s">
        <v>2329</v>
      </c>
      <c r="G1209" s="132" t="s">
        <v>2330</v>
      </c>
      <c r="H1209" s="132" t="s">
        <v>2330</v>
      </c>
      <c r="I1209" s="133" t="s">
        <v>2331</v>
      </c>
      <c r="J1209" s="134"/>
      <c r="K1209" s="134"/>
      <c r="L1209" s="134" t="s">
        <v>2331</v>
      </c>
      <c r="M1209" s="134" t="s">
        <v>2331</v>
      </c>
      <c r="N1209" s="135" t="s">
        <v>2331</v>
      </c>
      <c r="O1209" s="136" t="s">
        <v>2331</v>
      </c>
      <c r="P1209" s="105"/>
      <c r="Q1209" s="137"/>
      <c r="R1209" s="138"/>
      <c r="S1209" s="105"/>
      <c r="T1209" s="105"/>
      <c r="U1209" s="105"/>
      <c r="V1209" s="137"/>
      <c r="W1209" s="138"/>
      <c r="X1209" s="137"/>
      <c r="Y1209" s="138"/>
      <c r="Z1209" s="105"/>
      <c r="AA1209" s="105">
        <v>20</v>
      </c>
      <c r="AB1209" s="105"/>
      <c r="AC1209" s="105"/>
      <c r="AD1209" s="118">
        <v>41609</v>
      </c>
      <c r="AE1209" s="108" t="s">
        <v>2332</v>
      </c>
    </row>
    <row r="1210" spans="1:31" s="65" customFormat="1" ht="27" customHeight="1" x14ac:dyDescent="0.15">
      <c r="A1210" s="105">
        <v>1114860123</v>
      </c>
      <c r="B1210" s="130" t="s">
        <v>2438</v>
      </c>
      <c r="C1210" s="108" t="s">
        <v>2439</v>
      </c>
      <c r="D1210" s="108" t="s">
        <v>2440</v>
      </c>
      <c r="E1210" s="108" t="s">
        <v>2441</v>
      </c>
      <c r="F1210" s="131" t="s">
        <v>2442</v>
      </c>
      <c r="G1210" s="132" t="s">
        <v>2443</v>
      </c>
      <c r="H1210" s="132" t="s">
        <v>2444</v>
      </c>
      <c r="I1210" s="133"/>
      <c r="J1210" s="134"/>
      <c r="K1210" s="134"/>
      <c r="L1210" s="134"/>
      <c r="M1210" s="134" t="s">
        <v>2414</v>
      </c>
      <c r="N1210" s="135"/>
      <c r="O1210" s="136"/>
      <c r="P1210" s="105"/>
      <c r="Q1210" s="137"/>
      <c r="R1210" s="138"/>
      <c r="S1210" s="105"/>
      <c r="T1210" s="105"/>
      <c r="U1210" s="105"/>
      <c r="V1210" s="137"/>
      <c r="W1210" s="138"/>
      <c r="X1210" s="152"/>
      <c r="Y1210" s="138"/>
      <c r="Z1210" s="105"/>
      <c r="AA1210" s="105">
        <v>20</v>
      </c>
      <c r="AB1210" s="105"/>
      <c r="AC1210" s="105"/>
      <c r="AD1210" s="118">
        <v>41730</v>
      </c>
      <c r="AE1210" s="108" t="s">
        <v>2445</v>
      </c>
    </row>
    <row r="1211" spans="1:31" s="218" customFormat="1" ht="27" customHeight="1" x14ac:dyDescent="0.15">
      <c r="A1211" s="105">
        <v>1114860156</v>
      </c>
      <c r="B1211" s="106" t="s">
        <v>3267</v>
      </c>
      <c r="C1211" s="107" t="s">
        <v>2973</v>
      </c>
      <c r="D1211" s="108" t="s">
        <v>2974</v>
      </c>
      <c r="E1211" s="108" t="s">
        <v>2975</v>
      </c>
      <c r="F1211" s="139" t="s">
        <v>2976</v>
      </c>
      <c r="G1211" s="140" t="s">
        <v>2977</v>
      </c>
      <c r="H1211" s="140" t="s">
        <v>2978</v>
      </c>
      <c r="I1211" s="141"/>
      <c r="J1211" s="142"/>
      <c r="K1211" s="142"/>
      <c r="L1211" s="142"/>
      <c r="M1211" s="142" t="s">
        <v>2959</v>
      </c>
      <c r="N1211" s="143"/>
      <c r="O1211" s="138"/>
      <c r="P1211" s="105"/>
      <c r="Q1211" s="137"/>
      <c r="R1211" s="138"/>
      <c r="S1211" s="105"/>
      <c r="T1211" s="105"/>
      <c r="U1211" s="105"/>
      <c r="V1211" s="116"/>
      <c r="W1211" s="117"/>
      <c r="X1211" s="116"/>
      <c r="Y1211" s="138"/>
      <c r="Z1211" s="105"/>
      <c r="AA1211" s="105">
        <v>20</v>
      </c>
      <c r="AB1211" s="105"/>
      <c r="AC1211" s="105"/>
      <c r="AD1211" s="144">
        <v>42125</v>
      </c>
      <c r="AE1211" s="108" t="s">
        <v>2979</v>
      </c>
    </row>
    <row r="1212" spans="1:31" s="65" customFormat="1" ht="27" customHeight="1" x14ac:dyDescent="0.15">
      <c r="A1212" s="105">
        <v>1114860230</v>
      </c>
      <c r="B1212" s="130" t="s">
        <v>9837</v>
      </c>
      <c r="C1212" s="108" t="s">
        <v>9838</v>
      </c>
      <c r="D1212" s="108" t="s">
        <v>9636</v>
      </c>
      <c r="E1212" s="108" t="s">
        <v>9839</v>
      </c>
      <c r="F1212" s="131" t="s">
        <v>9638</v>
      </c>
      <c r="G1212" s="132" t="s">
        <v>9840</v>
      </c>
      <c r="H1212" s="132" t="s">
        <v>9841</v>
      </c>
      <c r="I1212" s="133" t="s">
        <v>6100</v>
      </c>
      <c r="J1212" s="134"/>
      <c r="K1212" s="134" t="s">
        <v>393</v>
      </c>
      <c r="L1212" s="134"/>
      <c r="M1212" s="134" t="s">
        <v>49</v>
      </c>
      <c r="N1212" s="134" t="s">
        <v>49</v>
      </c>
      <c r="O1212" s="134"/>
      <c r="P1212" s="105"/>
      <c r="Q1212" s="137"/>
      <c r="R1212" s="138"/>
      <c r="S1212" s="105"/>
      <c r="T1212" s="105"/>
      <c r="U1212" s="105"/>
      <c r="V1212" s="137"/>
      <c r="W1212" s="138"/>
      <c r="X1212" s="137"/>
      <c r="Y1212" s="138"/>
      <c r="Z1212" s="105"/>
      <c r="AA1212" s="105">
        <v>20</v>
      </c>
      <c r="AB1212" s="105"/>
      <c r="AC1212" s="105"/>
      <c r="AD1212" s="118">
        <v>45658</v>
      </c>
      <c r="AE1212" s="108" t="s">
        <v>9842</v>
      </c>
    </row>
    <row r="1213" spans="1:31" ht="27" customHeight="1" x14ac:dyDescent="0.15">
      <c r="A1213" s="132">
        <v>1114860248</v>
      </c>
      <c r="B1213" s="130" t="s">
        <v>11482</v>
      </c>
      <c r="C1213" s="108" t="s">
        <v>1755</v>
      </c>
      <c r="D1213" s="108" t="s">
        <v>11483</v>
      </c>
      <c r="E1213" s="108" t="s">
        <v>11484</v>
      </c>
      <c r="F1213" s="139" t="s">
        <v>11485</v>
      </c>
      <c r="G1213" s="140" t="s">
        <v>11486</v>
      </c>
      <c r="H1213" s="140" t="s">
        <v>11487</v>
      </c>
      <c r="I1213" s="141" t="s">
        <v>6457</v>
      </c>
      <c r="J1213" s="141" t="s">
        <v>6457</v>
      </c>
      <c r="K1213" s="141" t="s">
        <v>6457</v>
      </c>
      <c r="L1213" s="141" t="s">
        <v>6457</v>
      </c>
      <c r="M1213" s="142" t="s">
        <v>765</v>
      </c>
      <c r="N1213" s="143"/>
      <c r="O1213" s="138"/>
      <c r="P1213" s="105"/>
      <c r="Q1213" s="137"/>
      <c r="R1213" s="138"/>
      <c r="S1213" s="105"/>
      <c r="T1213" s="105">
        <v>20</v>
      </c>
      <c r="U1213" s="105"/>
      <c r="V1213" s="137"/>
      <c r="W1213" s="138"/>
      <c r="X1213" s="137"/>
      <c r="Y1213" s="138"/>
      <c r="Z1213" s="105"/>
      <c r="AA1213" s="105"/>
      <c r="AB1213" s="105"/>
      <c r="AC1213" s="105"/>
      <c r="AD1213" s="155">
        <v>46143</v>
      </c>
      <c r="AE1213" s="108" t="s">
        <v>11488</v>
      </c>
    </row>
    <row r="1214" spans="1:31" s="65" customFormat="1" ht="27" customHeight="1" x14ac:dyDescent="0.15">
      <c r="A1214" s="105">
        <v>1114900044</v>
      </c>
      <c r="B1214" s="130" t="s">
        <v>493</v>
      </c>
      <c r="C1214" s="108" t="s">
        <v>5378</v>
      </c>
      <c r="D1214" s="108" t="s">
        <v>97</v>
      </c>
      <c r="E1214" s="108" t="s">
        <v>204</v>
      </c>
      <c r="F1214" s="131">
        <v>3680004</v>
      </c>
      <c r="G1214" s="132" t="s">
        <v>731</v>
      </c>
      <c r="H1214" s="132" t="s">
        <v>732</v>
      </c>
      <c r="I1214" s="133"/>
      <c r="J1214" s="134"/>
      <c r="K1214" s="134"/>
      <c r="L1214" s="134"/>
      <c r="M1214" s="134" t="s">
        <v>49</v>
      </c>
      <c r="N1214" s="135"/>
      <c r="O1214" s="136"/>
      <c r="P1214" s="105">
        <v>30</v>
      </c>
      <c r="Q1214" s="137" t="s">
        <v>49</v>
      </c>
      <c r="R1214" s="138">
        <v>10</v>
      </c>
      <c r="S1214" s="105"/>
      <c r="T1214" s="105">
        <v>220</v>
      </c>
      <c r="U1214" s="105"/>
      <c r="V1214" s="137">
        <v>10</v>
      </c>
      <c r="W1214" s="138"/>
      <c r="X1214" s="137">
        <v>10</v>
      </c>
      <c r="Y1214" s="138"/>
      <c r="Z1214" s="105"/>
      <c r="AA1214" s="105">
        <v>50</v>
      </c>
      <c r="AB1214" s="105"/>
      <c r="AC1214" s="105"/>
      <c r="AD1214" s="118">
        <v>39173</v>
      </c>
      <c r="AE1214" s="108" t="s">
        <v>3359</v>
      </c>
    </row>
    <row r="1215" spans="1:31" s="65" customFormat="1" ht="27" customHeight="1" x14ac:dyDescent="0.15">
      <c r="A1215" s="105">
        <v>1114900085</v>
      </c>
      <c r="B1215" s="130" t="s">
        <v>415</v>
      </c>
      <c r="C1215" s="108" t="s">
        <v>538</v>
      </c>
      <c r="D1215" s="108" t="s">
        <v>97</v>
      </c>
      <c r="E1215" s="108" t="s">
        <v>205</v>
      </c>
      <c r="F1215" s="131">
        <v>3680051</v>
      </c>
      <c r="G1215" s="132" t="s">
        <v>733</v>
      </c>
      <c r="H1215" s="132" t="s">
        <v>733</v>
      </c>
      <c r="I1215" s="133"/>
      <c r="J1215" s="134"/>
      <c r="K1215" s="134"/>
      <c r="L1215" s="134"/>
      <c r="M1215" s="134"/>
      <c r="N1215" s="135" t="s">
        <v>303</v>
      </c>
      <c r="O1215" s="136"/>
      <c r="P1215" s="105"/>
      <c r="Q1215" s="137"/>
      <c r="R1215" s="138"/>
      <c r="S1215" s="105"/>
      <c r="T1215" s="105"/>
      <c r="U1215" s="105"/>
      <c r="V1215" s="137"/>
      <c r="W1215" s="138"/>
      <c r="X1215" s="137"/>
      <c r="Y1215" s="138"/>
      <c r="Z1215" s="105"/>
      <c r="AA1215" s="105">
        <v>20</v>
      </c>
      <c r="AB1215" s="105"/>
      <c r="AC1215" s="105"/>
      <c r="AD1215" s="118">
        <v>39173</v>
      </c>
      <c r="AE1215" s="108" t="s">
        <v>15</v>
      </c>
    </row>
    <row r="1216" spans="1:31" s="65" customFormat="1" ht="27" customHeight="1" x14ac:dyDescent="0.15">
      <c r="A1216" s="105">
        <v>1114900093</v>
      </c>
      <c r="B1216" s="130" t="s">
        <v>497</v>
      </c>
      <c r="C1216" s="108" t="s">
        <v>524</v>
      </c>
      <c r="D1216" s="108" t="s">
        <v>97</v>
      </c>
      <c r="E1216" s="108" t="s">
        <v>207</v>
      </c>
      <c r="F1216" s="131">
        <v>3680053</v>
      </c>
      <c r="G1216" s="132" t="s">
        <v>734</v>
      </c>
      <c r="H1216" s="132" t="s">
        <v>735</v>
      </c>
      <c r="I1216" s="133"/>
      <c r="J1216" s="134"/>
      <c r="K1216" s="134"/>
      <c r="L1216" s="134"/>
      <c r="M1216" s="134" t="s">
        <v>63</v>
      </c>
      <c r="N1216" s="135"/>
      <c r="O1216" s="136"/>
      <c r="P1216" s="105"/>
      <c r="Q1216" s="137"/>
      <c r="R1216" s="138"/>
      <c r="S1216" s="105"/>
      <c r="T1216" s="105"/>
      <c r="U1216" s="105"/>
      <c r="V1216" s="137"/>
      <c r="W1216" s="138"/>
      <c r="X1216" s="137"/>
      <c r="Y1216" s="138"/>
      <c r="Z1216" s="105"/>
      <c r="AA1216" s="105">
        <v>40</v>
      </c>
      <c r="AB1216" s="105"/>
      <c r="AC1216" s="105"/>
      <c r="AD1216" s="118">
        <v>39173</v>
      </c>
      <c r="AE1216" s="108" t="s">
        <v>16</v>
      </c>
    </row>
    <row r="1217" spans="1:31" ht="27" customHeight="1" x14ac:dyDescent="0.15">
      <c r="A1217" s="105">
        <v>1114900150</v>
      </c>
      <c r="B1217" s="130" t="s">
        <v>948</v>
      </c>
      <c r="C1217" s="108" t="s">
        <v>949</v>
      </c>
      <c r="D1217" s="108" t="s">
        <v>97</v>
      </c>
      <c r="E1217" s="108" t="s">
        <v>989</v>
      </c>
      <c r="F1217" s="131">
        <v>3680051</v>
      </c>
      <c r="G1217" s="132" t="s">
        <v>987</v>
      </c>
      <c r="H1217" s="132" t="s">
        <v>987</v>
      </c>
      <c r="I1217" s="116"/>
      <c r="J1217" s="154"/>
      <c r="K1217" s="154"/>
      <c r="L1217" s="154"/>
      <c r="M1217" s="154" t="s">
        <v>988</v>
      </c>
      <c r="N1217" s="143"/>
      <c r="O1217" s="138"/>
      <c r="P1217" s="132"/>
      <c r="Q1217" s="152"/>
      <c r="R1217" s="136"/>
      <c r="S1217" s="132"/>
      <c r="T1217" s="132"/>
      <c r="U1217" s="132"/>
      <c r="V1217" s="152"/>
      <c r="W1217" s="138"/>
      <c r="X1217" s="152"/>
      <c r="Y1217" s="136"/>
      <c r="Z1217" s="132"/>
      <c r="AA1217" s="105">
        <v>20</v>
      </c>
      <c r="AB1217" s="105"/>
      <c r="AC1217" s="105"/>
      <c r="AD1217" s="155">
        <v>40269</v>
      </c>
      <c r="AE1217" s="108" t="s">
        <v>15</v>
      </c>
    </row>
    <row r="1218" spans="1:31" ht="27" customHeight="1" x14ac:dyDescent="0.15">
      <c r="A1218" s="105">
        <v>1114900176</v>
      </c>
      <c r="B1218" s="130" t="s">
        <v>1267</v>
      </c>
      <c r="C1218" s="108" t="s">
        <v>5753</v>
      </c>
      <c r="D1218" s="108" t="s">
        <v>97</v>
      </c>
      <c r="E1218" s="108" t="s">
        <v>5750</v>
      </c>
      <c r="F1218" s="131">
        <v>3691872</v>
      </c>
      <c r="G1218" s="132" t="s">
        <v>5751</v>
      </c>
      <c r="H1218" s="132" t="s">
        <v>5751</v>
      </c>
      <c r="I1218" s="116"/>
      <c r="J1218" s="154"/>
      <c r="K1218" s="154"/>
      <c r="L1218" s="154"/>
      <c r="M1218" s="154" t="s">
        <v>49</v>
      </c>
      <c r="N1218" s="143" t="s">
        <v>765</v>
      </c>
      <c r="O1218" s="138"/>
      <c r="P1218" s="132"/>
      <c r="Q1218" s="152"/>
      <c r="R1218" s="136"/>
      <c r="S1218" s="132"/>
      <c r="T1218" s="132">
        <v>15</v>
      </c>
      <c r="U1218" s="132"/>
      <c r="V1218" s="152"/>
      <c r="W1218" s="138"/>
      <c r="X1218" s="152"/>
      <c r="Y1218" s="136"/>
      <c r="Z1218" s="132"/>
      <c r="AA1218" s="105">
        <v>15</v>
      </c>
      <c r="AB1218" s="105"/>
      <c r="AC1218" s="105"/>
      <c r="AD1218" s="155">
        <v>40634</v>
      </c>
      <c r="AE1218" s="108" t="s">
        <v>5752</v>
      </c>
    </row>
    <row r="1219" spans="1:31" s="65" customFormat="1" ht="27" customHeight="1" x14ac:dyDescent="0.15">
      <c r="A1219" s="105">
        <v>1114900192</v>
      </c>
      <c r="B1219" s="130" t="s">
        <v>1505</v>
      </c>
      <c r="C1219" s="108" t="s">
        <v>1506</v>
      </c>
      <c r="D1219" s="108" t="s">
        <v>97</v>
      </c>
      <c r="E1219" s="108" t="s">
        <v>2721</v>
      </c>
      <c r="F1219" s="131">
        <v>3680056</v>
      </c>
      <c r="G1219" s="132" t="s">
        <v>5209</v>
      </c>
      <c r="H1219" s="132" t="s">
        <v>5210</v>
      </c>
      <c r="I1219" s="116"/>
      <c r="J1219" s="154"/>
      <c r="K1219" s="154"/>
      <c r="L1219" s="154"/>
      <c r="M1219" s="154" t="s">
        <v>49</v>
      </c>
      <c r="N1219" s="143" t="s">
        <v>49</v>
      </c>
      <c r="O1219" s="138"/>
      <c r="P1219" s="132"/>
      <c r="Q1219" s="152"/>
      <c r="R1219" s="136"/>
      <c r="S1219" s="132"/>
      <c r="T1219" s="132"/>
      <c r="U1219" s="132"/>
      <c r="V1219" s="152">
        <v>24</v>
      </c>
      <c r="W1219" s="138">
        <v>20</v>
      </c>
      <c r="X1219" s="152">
        <v>6</v>
      </c>
      <c r="Y1219" s="136"/>
      <c r="Z1219" s="132"/>
      <c r="AA1219" s="105">
        <v>10</v>
      </c>
      <c r="AB1219" s="105"/>
      <c r="AC1219" s="105"/>
      <c r="AD1219" s="155">
        <v>40817</v>
      </c>
      <c r="AE1219" s="108" t="s">
        <v>1507</v>
      </c>
    </row>
    <row r="1220" spans="1:31" ht="27" customHeight="1" x14ac:dyDescent="0.15">
      <c r="A1220" s="105">
        <v>1114900291</v>
      </c>
      <c r="B1220" s="106" t="s">
        <v>3403</v>
      </c>
      <c r="C1220" s="107" t="s">
        <v>10177</v>
      </c>
      <c r="D1220" s="108" t="s">
        <v>97</v>
      </c>
      <c r="E1220" s="108" t="s">
        <v>10178</v>
      </c>
      <c r="F1220" s="139" t="s">
        <v>3404</v>
      </c>
      <c r="G1220" s="140" t="s">
        <v>3405</v>
      </c>
      <c r="H1220" s="140" t="s">
        <v>3406</v>
      </c>
      <c r="I1220" s="141"/>
      <c r="J1220" s="142"/>
      <c r="K1220" s="142"/>
      <c r="L1220" s="142"/>
      <c r="M1220" s="142" t="s">
        <v>49</v>
      </c>
      <c r="N1220" s="143" t="s">
        <v>49</v>
      </c>
      <c r="O1220" s="138"/>
      <c r="P1220" s="105"/>
      <c r="Q1220" s="137"/>
      <c r="R1220" s="138"/>
      <c r="S1220" s="105"/>
      <c r="T1220" s="105"/>
      <c r="U1220" s="105"/>
      <c r="V1220" s="137"/>
      <c r="W1220" s="138"/>
      <c r="X1220" s="137"/>
      <c r="Y1220" s="138"/>
      <c r="Z1220" s="105"/>
      <c r="AA1220" s="105">
        <v>40</v>
      </c>
      <c r="AB1220" s="105"/>
      <c r="AC1220" s="105"/>
      <c r="AD1220" s="144">
        <v>42491</v>
      </c>
      <c r="AE1220" s="108" t="s">
        <v>10179</v>
      </c>
    </row>
    <row r="1221" spans="1:31" s="65" customFormat="1" ht="27" customHeight="1" x14ac:dyDescent="0.15">
      <c r="A1221" s="105">
        <v>1114900309</v>
      </c>
      <c r="B1221" s="106" t="s">
        <v>3644</v>
      </c>
      <c r="C1221" s="107" t="s">
        <v>3645</v>
      </c>
      <c r="D1221" s="108" t="s">
        <v>97</v>
      </c>
      <c r="E1221" s="108" t="s">
        <v>9288</v>
      </c>
      <c r="F1221" s="139" t="s">
        <v>3650</v>
      </c>
      <c r="G1221" s="140" t="s">
        <v>3651</v>
      </c>
      <c r="H1221" s="140" t="s">
        <v>3652</v>
      </c>
      <c r="I1221" s="141"/>
      <c r="J1221" s="142"/>
      <c r="K1221" s="142"/>
      <c r="L1221" s="142"/>
      <c r="M1221" s="142" t="s">
        <v>49</v>
      </c>
      <c r="N1221" s="143" t="s">
        <v>49</v>
      </c>
      <c r="O1221" s="138"/>
      <c r="P1221" s="105"/>
      <c r="Q1221" s="137"/>
      <c r="R1221" s="138"/>
      <c r="S1221" s="105"/>
      <c r="T1221" s="105"/>
      <c r="U1221" s="105"/>
      <c r="V1221" s="137"/>
      <c r="W1221" s="138"/>
      <c r="X1221" s="152"/>
      <c r="Y1221" s="138"/>
      <c r="Z1221" s="105"/>
      <c r="AA1221" s="105">
        <v>20</v>
      </c>
      <c r="AB1221" s="105"/>
      <c r="AC1221" s="105"/>
      <c r="AD1221" s="144">
        <v>42705</v>
      </c>
      <c r="AE1221" s="108" t="s">
        <v>9289</v>
      </c>
    </row>
    <row r="1222" spans="1:31" s="65" customFormat="1" ht="27" customHeight="1" x14ac:dyDescent="0.15">
      <c r="A1222" s="132">
        <v>1114900325</v>
      </c>
      <c r="B1222" s="130" t="s">
        <v>6216</v>
      </c>
      <c r="C1222" s="108" t="s">
        <v>6217</v>
      </c>
      <c r="D1222" s="108" t="s">
        <v>97</v>
      </c>
      <c r="E1222" s="108" t="s">
        <v>6218</v>
      </c>
      <c r="F1222" s="131" t="s">
        <v>6219</v>
      </c>
      <c r="G1222" s="132" t="s">
        <v>6220</v>
      </c>
      <c r="H1222" s="132" t="s">
        <v>6221</v>
      </c>
      <c r="I1222" s="116" t="s">
        <v>49</v>
      </c>
      <c r="J1222" s="154" t="s">
        <v>49</v>
      </c>
      <c r="K1222" s="154" t="s">
        <v>49</v>
      </c>
      <c r="L1222" s="154" t="s">
        <v>49</v>
      </c>
      <c r="M1222" s="154" t="s">
        <v>49</v>
      </c>
      <c r="N1222" s="143" t="s">
        <v>49</v>
      </c>
      <c r="O1222" s="138" t="s">
        <v>49</v>
      </c>
      <c r="P1222" s="105"/>
      <c r="Q1222" s="137"/>
      <c r="R1222" s="138"/>
      <c r="S1222" s="105"/>
      <c r="T1222" s="105">
        <v>20</v>
      </c>
      <c r="U1222" s="105"/>
      <c r="V1222" s="137"/>
      <c r="W1222" s="138"/>
      <c r="X1222" s="137"/>
      <c r="Y1222" s="138"/>
      <c r="Z1222" s="105"/>
      <c r="AA1222" s="105"/>
      <c r="AB1222" s="105"/>
      <c r="AC1222" s="105"/>
      <c r="AD1222" s="118">
        <v>44044</v>
      </c>
      <c r="AE1222" s="108" t="s">
        <v>6222</v>
      </c>
    </row>
    <row r="1223" spans="1:31" s="65" customFormat="1" ht="27" customHeight="1" x14ac:dyDescent="0.15">
      <c r="A1223" s="105">
        <v>1114900341</v>
      </c>
      <c r="B1223" s="106" t="s">
        <v>6427</v>
      </c>
      <c r="C1223" s="107" t="s">
        <v>6428</v>
      </c>
      <c r="D1223" s="108" t="s">
        <v>97</v>
      </c>
      <c r="E1223" s="108" t="s">
        <v>6429</v>
      </c>
      <c r="F1223" s="139" t="s">
        <v>6430</v>
      </c>
      <c r="G1223" s="140" t="s">
        <v>6431</v>
      </c>
      <c r="H1223" s="140" t="s">
        <v>6432</v>
      </c>
      <c r="I1223" s="141" t="s">
        <v>6433</v>
      </c>
      <c r="J1223" s="142"/>
      <c r="K1223" s="142"/>
      <c r="L1223" s="142" t="s">
        <v>6433</v>
      </c>
      <c r="M1223" s="142" t="s">
        <v>49</v>
      </c>
      <c r="N1223" s="143" t="s">
        <v>49</v>
      </c>
      <c r="O1223" s="138"/>
      <c r="P1223" s="105"/>
      <c r="Q1223" s="137"/>
      <c r="R1223" s="138"/>
      <c r="S1223" s="105"/>
      <c r="T1223" s="105"/>
      <c r="U1223" s="105"/>
      <c r="V1223" s="137"/>
      <c r="W1223" s="138"/>
      <c r="X1223" s="152"/>
      <c r="Y1223" s="138"/>
      <c r="Z1223" s="105"/>
      <c r="AA1223" s="105">
        <v>20</v>
      </c>
      <c r="AB1223" s="105"/>
      <c r="AC1223" s="105"/>
      <c r="AD1223" s="118">
        <v>44166</v>
      </c>
      <c r="AE1223" s="108" t="s">
        <v>6434</v>
      </c>
    </row>
    <row r="1224" spans="1:31" ht="27" customHeight="1" x14ac:dyDescent="0.15">
      <c r="A1224" s="105">
        <v>1114900358</v>
      </c>
      <c r="B1224" s="130" t="s">
        <v>6543</v>
      </c>
      <c r="C1224" s="108" t="s">
        <v>6544</v>
      </c>
      <c r="D1224" s="108" t="s">
        <v>97</v>
      </c>
      <c r="E1224" s="108" t="s">
        <v>6545</v>
      </c>
      <c r="F1224" s="131" t="s">
        <v>6546</v>
      </c>
      <c r="G1224" s="132" t="s">
        <v>6547</v>
      </c>
      <c r="H1224" s="132" t="s">
        <v>6548</v>
      </c>
      <c r="I1224" s="133" t="s">
        <v>6457</v>
      </c>
      <c r="J1224" s="134" t="s">
        <v>6457</v>
      </c>
      <c r="K1224" s="135" t="s">
        <v>6457</v>
      </c>
      <c r="L1224" s="134" t="s">
        <v>6457</v>
      </c>
      <c r="M1224" s="134" t="s">
        <v>765</v>
      </c>
      <c r="N1224" s="135" t="s">
        <v>765</v>
      </c>
      <c r="O1224" s="136" t="s">
        <v>6457</v>
      </c>
      <c r="P1224" s="105"/>
      <c r="Q1224" s="137"/>
      <c r="R1224" s="138"/>
      <c r="S1224" s="105"/>
      <c r="T1224" s="105"/>
      <c r="U1224" s="105"/>
      <c r="V1224" s="137"/>
      <c r="W1224" s="138"/>
      <c r="X1224" s="137"/>
      <c r="Y1224" s="138"/>
      <c r="Z1224" s="105">
        <v>10</v>
      </c>
      <c r="AA1224" s="105"/>
      <c r="AB1224" s="105"/>
      <c r="AC1224" s="105"/>
      <c r="AD1224" s="118">
        <v>44228</v>
      </c>
      <c r="AE1224" s="108" t="s">
        <v>6549</v>
      </c>
    </row>
    <row r="1225" spans="1:31" ht="27" customHeight="1" x14ac:dyDescent="0.15">
      <c r="A1225" s="105">
        <v>1114900366</v>
      </c>
      <c r="B1225" s="130" t="s">
        <v>6626</v>
      </c>
      <c r="C1225" s="108" t="s">
        <v>6627</v>
      </c>
      <c r="D1225" s="108" t="s">
        <v>97</v>
      </c>
      <c r="E1225" s="108" t="s">
        <v>6628</v>
      </c>
      <c r="F1225" s="131" t="s">
        <v>6629</v>
      </c>
      <c r="G1225" s="132" t="s">
        <v>6630</v>
      </c>
      <c r="H1225" s="132" t="s">
        <v>6630</v>
      </c>
      <c r="I1225" s="133"/>
      <c r="J1225" s="134"/>
      <c r="K1225" s="135"/>
      <c r="L1225" s="134"/>
      <c r="M1225" s="134" t="s">
        <v>765</v>
      </c>
      <c r="N1225" s="135" t="s">
        <v>765</v>
      </c>
      <c r="O1225" s="136"/>
      <c r="P1225" s="105"/>
      <c r="Q1225" s="137"/>
      <c r="R1225" s="138"/>
      <c r="S1225" s="105"/>
      <c r="T1225" s="105"/>
      <c r="U1225" s="105"/>
      <c r="V1225" s="137"/>
      <c r="W1225" s="138"/>
      <c r="X1225" s="137"/>
      <c r="Y1225" s="138"/>
      <c r="Z1225" s="105"/>
      <c r="AA1225" s="105">
        <v>20</v>
      </c>
      <c r="AB1225" s="105"/>
      <c r="AC1225" s="105"/>
      <c r="AD1225" s="118">
        <v>44287</v>
      </c>
      <c r="AE1225" s="108" t="s">
        <v>6631</v>
      </c>
    </row>
    <row r="1226" spans="1:31" ht="27" customHeight="1" x14ac:dyDescent="0.15">
      <c r="A1226" s="81">
        <v>1114900408</v>
      </c>
      <c r="B1226" s="310" t="s">
        <v>8917</v>
      </c>
      <c r="C1226" s="310" t="s">
        <v>8918</v>
      </c>
      <c r="D1226" s="84" t="s">
        <v>97</v>
      </c>
      <c r="E1226" s="84" t="s">
        <v>8919</v>
      </c>
      <c r="F1226" s="85" t="s">
        <v>5668</v>
      </c>
      <c r="G1226" s="310" t="s">
        <v>8920</v>
      </c>
      <c r="H1226" s="310" t="s">
        <v>8921</v>
      </c>
      <c r="I1226" s="76" t="s">
        <v>391</v>
      </c>
      <c r="J1226" s="76" t="s">
        <v>392</v>
      </c>
      <c r="K1226" s="76" t="s">
        <v>393</v>
      </c>
      <c r="L1226" s="76" t="s">
        <v>394</v>
      </c>
      <c r="M1226" s="76" t="s">
        <v>395</v>
      </c>
      <c r="N1226" s="76" t="s">
        <v>396</v>
      </c>
      <c r="O1226" s="76" t="s">
        <v>2178</v>
      </c>
      <c r="P1226" s="76"/>
      <c r="Q1226" s="366"/>
      <c r="R1226" s="366"/>
      <c r="S1226" s="76"/>
      <c r="T1226" s="76"/>
      <c r="U1226" s="76"/>
      <c r="V1226" s="76"/>
      <c r="W1226" s="76"/>
      <c r="X1226" s="76"/>
      <c r="Y1226" s="76"/>
      <c r="Z1226" s="76"/>
      <c r="AA1226" s="76">
        <v>20</v>
      </c>
      <c r="AB1226" s="76"/>
      <c r="AC1226" s="76"/>
      <c r="AD1226" s="145">
        <v>45292</v>
      </c>
      <c r="AE1226" s="147" t="s">
        <v>8922</v>
      </c>
    </row>
    <row r="1227" spans="1:31" ht="27" customHeight="1" x14ac:dyDescent="0.15">
      <c r="A1227" s="105">
        <v>1115100065</v>
      </c>
      <c r="B1227" s="130" t="s">
        <v>494</v>
      </c>
      <c r="C1227" s="108" t="s">
        <v>505</v>
      </c>
      <c r="D1227" s="108" t="s">
        <v>98</v>
      </c>
      <c r="E1227" s="108" t="s">
        <v>208</v>
      </c>
      <c r="F1227" s="131">
        <v>3520017</v>
      </c>
      <c r="G1227" s="132" t="s">
        <v>736</v>
      </c>
      <c r="H1227" s="132" t="s">
        <v>737</v>
      </c>
      <c r="I1227" s="133"/>
      <c r="J1227" s="134"/>
      <c r="K1227" s="134"/>
      <c r="L1227" s="134"/>
      <c r="M1227" s="134" t="s">
        <v>49</v>
      </c>
      <c r="N1227" s="135" t="s">
        <v>765</v>
      </c>
      <c r="O1227" s="136" t="s">
        <v>765</v>
      </c>
      <c r="P1227" s="105"/>
      <c r="Q1227" s="137"/>
      <c r="R1227" s="138"/>
      <c r="S1227" s="105"/>
      <c r="T1227" s="105"/>
      <c r="U1227" s="105"/>
      <c r="V1227" s="137"/>
      <c r="W1227" s="138"/>
      <c r="X1227" s="137">
        <v>10</v>
      </c>
      <c r="Y1227" s="138"/>
      <c r="Z1227" s="105"/>
      <c r="AA1227" s="105"/>
      <c r="AB1227" s="105"/>
      <c r="AC1227" s="105"/>
      <c r="AD1227" s="118">
        <v>38991</v>
      </c>
      <c r="AE1227" s="108" t="s">
        <v>17</v>
      </c>
    </row>
    <row r="1228" spans="1:31" ht="27" customHeight="1" x14ac:dyDescent="0.15">
      <c r="A1228" s="105">
        <v>1115100065</v>
      </c>
      <c r="B1228" s="130" t="s">
        <v>494</v>
      </c>
      <c r="C1228" s="108" t="s">
        <v>505</v>
      </c>
      <c r="D1228" s="108" t="s">
        <v>98</v>
      </c>
      <c r="E1228" s="108" t="s">
        <v>208</v>
      </c>
      <c r="F1228" s="131">
        <v>3520017</v>
      </c>
      <c r="G1228" s="132" t="s">
        <v>736</v>
      </c>
      <c r="H1228" s="132" t="s">
        <v>737</v>
      </c>
      <c r="I1228" s="133"/>
      <c r="J1228" s="134"/>
      <c r="K1228" s="134"/>
      <c r="L1228" s="134"/>
      <c r="M1228" s="134" t="s">
        <v>4686</v>
      </c>
      <c r="N1228" s="135" t="s">
        <v>4686</v>
      </c>
      <c r="O1228" s="135" t="s">
        <v>765</v>
      </c>
      <c r="P1228" s="105"/>
      <c r="Q1228" s="137"/>
      <c r="R1228" s="138"/>
      <c r="S1228" s="105"/>
      <c r="T1228" s="105"/>
      <c r="U1228" s="105"/>
      <c r="V1228" s="137"/>
      <c r="W1228" s="138"/>
      <c r="X1228" s="137"/>
      <c r="Y1228" s="138"/>
      <c r="Z1228" s="105"/>
      <c r="AA1228" s="105"/>
      <c r="AB1228" s="105" t="s">
        <v>4686</v>
      </c>
      <c r="AC1228" s="105"/>
      <c r="AD1228" s="118">
        <v>43374</v>
      </c>
      <c r="AE1228" s="108" t="s">
        <v>17</v>
      </c>
    </row>
    <row r="1229" spans="1:31" ht="27" customHeight="1" x14ac:dyDescent="0.15">
      <c r="A1229" s="150">
        <v>1115100065</v>
      </c>
      <c r="B1229" s="106" t="s">
        <v>494</v>
      </c>
      <c r="C1229" s="107" t="s">
        <v>11205</v>
      </c>
      <c r="D1229" s="108" t="s">
        <v>98</v>
      </c>
      <c r="E1229" s="108" t="s">
        <v>11206</v>
      </c>
      <c r="F1229" s="139" t="s">
        <v>11207</v>
      </c>
      <c r="G1229" s="132" t="s">
        <v>11208</v>
      </c>
      <c r="H1229" s="132" t="s">
        <v>11209</v>
      </c>
      <c r="I1229" s="133"/>
      <c r="J1229" s="134"/>
      <c r="K1229" s="134"/>
      <c r="L1229" s="134"/>
      <c r="M1229" s="134" t="s">
        <v>10951</v>
      </c>
      <c r="N1229" s="135" t="s">
        <v>10951</v>
      </c>
      <c r="O1229" s="136" t="s">
        <v>10951</v>
      </c>
      <c r="P1229" s="105"/>
      <c r="Q1229" s="152"/>
      <c r="R1229" s="138"/>
      <c r="S1229" s="105"/>
      <c r="T1229" s="105"/>
      <c r="U1229" s="105"/>
      <c r="V1229" s="137"/>
      <c r="W1229" s="138"/>
      <c r="X1229" s="137"/>
      <c r="Y1229" s="138"/>
      <c r="Z1229" s="105"/>
      <c r="AA1229" s="105"/>
      <c r="AB1229" s="105"/>
      <c r="AC1229" s="105">
        <v>10</v>
      </c>
      <c r="AD1229" s="144">
        <v>46082</v>
      </c>
      <c r="AE1229" s="108" t="s">
        <v>11210</v>
      </c>
    </row>
    <row r="1230" spans="1:31" ht="27" customHeight="1" x14ac:dyDescent="0.15">
      <c r="A1230" s="105">
        <v>1115100289</v>
      </c>
      <c r="B1230" s="106" t="s">
        <v>438</v>
      </c>
      <c r="C1230" s="107" t="s">
        <v>965</v>
      </c>
      <c r="D1230" s="157" t="s">
        <v>98</v>
      </c>
      <c r="E1230" s="108" t="s">
        <v>482</v>
      </c>
      <c r="F1230" s="139">
        <v>3520023</v>
      </c>
      <c r="G1230" s="140" t="s">
        <v>18</v>
      </c>
      <c r="H1230" s="140" t="s">
        <v>19</v>
      </c>
      <c r="I1230" s="141" t="s">
        <v>254</v>
      </c>
      <c r="J1230" s="142" t="s">
        <v>254</v>
      </c>
      <c r="K1230" s="142" t="s">
        <v>254</v>
      </c>
      <c r="L1230" s="142" t="s">
        <v>254</v>
      </c>
      <c r="M1230" s="142" t="s">
        <v>254</v>
      </c>
      <c r="N1230" s="143" t="s">
        <v>254</v>
      </c>
      <c r="O1230" s="138" t="s">
        <v>2170</v>
      </c>
      <c r="P1230" s="105"/>
      <c r="Q1230" s="137"/>
      <c r="R1230" s="138"/>
      <c r="S1230" s="105"/>
      <c r="T1230" s="105"/>
      <c r="U1230" s="105"/>
      <c r="V1230" s="116"/>
      <c r="W1230" s="117"/>
      <c r="X1230" s="116"/>
      <c r="Y1230" s="138"/>
      <c r="Z1230" s="105">
        <v>40</v>
      </c>
      <c r="AA1230" s="105"/>
      <c r="AB1230" s="105"/>
      <c r="AC1230" s="105"/>
      <c r="AD1230" s="144">
        <v>39904</v>
      </c>
      <c r="AE1230" s="108" t="s">
        <v>447</v>
      </c>
    </row>
    <row r="1231" spans="1:31" ht="27" customHeight="1" x14ac:dyDescent="0.15">
      <c r="A1231" s="105">
        <v>1115100321</v>
      </c>
      <c r="B1231" s="106" t="s">
        <v>1437</v>
      </c>
      <c r="C1231" s="107" t="s">
        <v>1251</v>
      </c>
      <c r="D1231" s="108" t="s">
        <v>98</v>
      </c>
      <c r="E1231" s="108" t="s">
        <v>1250</v>
      </c>
      <c r="F1231" s="139">
        <v>3520023</v>
      </c>
      <c r="G1231" s="140" t="s">
        <v>1249</v>
      </c>
      <c r="H1231" s="140" t="s">
        <v>1249</v>
      </c>
      <c r="I1231" s="141"/>
      <c r="J1231" s="142"/>
      <c r="K1231" s="142"/>
      <c r="L1231" s="142"/>
      <c r="M1231" s="142" t="s">
        <v>1213</v>
      </c>
      <c r="N1231" s="143"/>
      <c r="O1231" s="138"/>
      <c r="P1231" s="105"/>
      <c r="Q1231" s="137"/>
      <c r="R1231" s="138"/>
      <c r="S1231" s="105"/>
      <c r="T1231" s="105"/>
      <c r="U1231" s="105"/>
      <c r="V1231" s="116"/>
      <c r="W1231" s="117"/>
      <c r="X1231" s="116"/>
      <c r="Y1231" s="138"/>
      <c r="Z1231" s="105"/>
      <c r="AA1231" s="105">
        <v>23</v>
      </c>
      <c r="AB1231" s="105"/>
      <c r="AC1231" s="105"/>
      <c r="AD1231" s="144">
        <v>40634</v>
      </c>
      <c r="AE1231" s="108" t="s">
        <v>1248</v>
      </c>
    </row>
    <row r="1232" spans="1:31" s="65" customFormat="1" ht="27" customHeight="1" x14ac:dyDescent="0.15">
      <c r="A1232" s="105">
        <v>1115100347</v>
      </c>
      <c r="B1232" s="106" t="s">
        <v>1330</v>
      </c>
      <c r="C1232" s="107" t="s">
        <v>1331</v>
      </c>
      <c r="D1232" s="108" t="s">
        <v>98</v>
      </c>
      <c r="E1232" s="108" t="s">
        <v>1332</v>
      </c>
      <c r="F1232" s="139">
        <v>3520023</v>
      </c>
      <c r="G1232" s="140" t="s">
        <v>1333</v>
      </c>
      <c r="H1232" s="140" t="s">
        <v>1333</v>
      </c>
      <c r="I1232" s="141"/>
      <c r="J1232" s="142"/>
      <c r="K1232" s="142"/>
      <c r="L1232" s="142"/>
      <c r="M1232" s="142"/>
      <c r="N1232" s="143" t="s">
        <v>1334</v>
      </c>
      <c r="O1232" s="138"/>
      <c r="P1232" s="105"/>
      <c r="Q1232" s="137"/>
      <c r="R1232" s="138"/>
      <c r="S1232" s="105"/>
      <c r="T1232" s="105"/>
      <c r="U1232" s="105"/>
      <c r="V1232" s="116"/>
      <c r="W1232" s="117"/>
      <c r="X1232" s="116">
        <v>10</v>
      </c>
      <c r="Y1232" s="138"/>
      <c r="Z1232" s="105"/>
      <c r="AA1232" s="105">
        <v>30</v>
      </c>
      <c r="AB1232" s="105"/>
      <c r="AC1232" s="105"/>
      <c r="AD1232" s="144">
        <v>40634</v>
      </c>
      <c r="AE1232" s="108" t="s">
        <v>1335</v>
      </c>
    </row>
    <row r="1233" spans="1:31" ht="27" customHeight="1" x14ac:dyDescent="0.15">
      <c r="A1233" s="105">
        <v>1115100347</v>
      </c>
      <c r="B1233" s="106" t="s">
        <v>1330</v>
      </c>
      <c r="C1233" s="107" t="s">
        <v>1331</v>
      </c>
      <c r="D1233" s="108" t="s">
        <v>98</v>
      </c>
      <c r="E1233" s="108" t="s">
        <v>1332</v>
      </c>
      <c r="F1233" s="139">
        <v>3520023</v>
      </c>
      <c r="G1233" s="140" t="s">
        <v>4703</v>
      </c>
      <c r="H1233" s="140" t="s">
        <v>4703</v>
      </c>
      <c r="I1233" s="141"/>
      <c r="J1233" s="142"/>
      <c r="K1233" s="142"/>
      <c r="L1233" s="142"/>
      <c r="M1233" s="142"/>
      <c r="N1233" s="143" t="s">
        <v>4686</v>
      </c>
      <c r="O1233" s="138"/>
      <c r="P1233" s="105"/>
      <c r="Q1233" s="137"/>
      <c r="R1233" s="138"/>
      <c r="S1233" s="105"/>
      <c r="T1233" s="105"/>
      <c r="U1233" s="105"/>
      <c r="V1233" s="116"/>
      <c r="W1233" s="117"/>
      <c r="X1233" s="137"/>
      <c r="Y1233" s="138"/>
      <c r="Z1233" s="105"/>
      <c r="AA1233" s="105"/>
      <c r="AB1233" s="105" t="s">
        <v>4686</v>
      </c>
      <c r="AC1233" s="105"/>
      <c r="AD1233" s="118">
        <v>43374</v>
      </c>
      <c r="AE1233" s="108" t="s">
        <v>1335</v>
      </c>
    </row>
    <row r="1234" spans="1:31" ht="27" customHeight="1" x14ac:dyDescent="0.15">
      <c r="A1234" s="105">
        <v>1115100370</v>
      </c>
      <c r="B1234" s="130" t="s">
        <v>1845</v>
      </c>
      <c r="C1234" s="108" t="s">
        <v>1844</v>
      </c>
      <c r="D1234" s="108" t="s">
        <v>98</v>
      </c>
      <c r="E1234" s="108" t="s">
        <v>1976</v>
      </c>
      <c r="F1234" s="139" t="s">
        <v>1977</v>
      </c>
      <c r="G1234" s="140" t="s">
        <v>1985</v>
      </c>
      <c r="H1234" s="140" t="s">
        <v>2935</v>
      </c>
      <c r="I1234" s="141"/>
      <c r="J1234" s="142"/>
      <c r="K1234" s="142"/>
      <c r="L1234" s="142"/>
      <c r="M1234" s="142" t="s">
        <v>1962</v>
      </c>
      <c r="N1234" s="143"/>
      <c r="O1234" s="138"/>
      <c r="P1234" s="105"/>
      <c r="Q1234" s="137"/>
      <c r="R1234" s="138"/>
      <c r="S1234" s="105"/>
      <c r="T1234" s="105"/>
      <c r="U1234" s="105"/>
      <c r="V1234" s="116"/>
      <c r="W1234" s="117"/>
      <c r="X1234" s="137"/>
      <c r="Y1234" s="138"/>
      <c r="Z1234" s="105"/>
      <c r="AA1234" s="105">
        <v>20</v>
      </c>
      <c r="AB1234" s="105"/>
      <c r="AC1234" s="105"/>
      <c r="AD1234" s="144">
        <v>41000</v>
      </c>
      <c r="AE1234" s="108" t="s">
        <v>1978</v>
      </c>
    </row>
    <row r="1235" spans="1:31" s="65" customFormat="1" ht="27" customHeight="1" x14ac:dyDescent="0.15">
      <c r="A1235" s="105">
        <v>1115100396</v>
      </c>
      <c r="B1235" s="130" t="s">
        <v>2156</v>
      </c>
      <c r="C1235" s="108" t="s">
        <v>986</v>
      </c>
      <c r="D1235" s="108" t="s">
        <v>98</v>
      </c>
      <c r="E1235" s="108" t="s">
        <v>982</v>
      </c>
      <c r="F1235" s="131">
        <v>3520024</v>
      </c>
      <c r="G1235" s="132" t="s">
        <v>983</v>
      </c>
      <c r="H1235" s="132" t="s">
        <v>984</v>
      </c>
      <c r="I1235" s="116" t="s">
        <v>49</v>
      </c>
      <c r="J1235" s="154" t="s">
        <v>49</v>
      </c>
      <c r="K1235" s="154" t="s">
        <v>49</v>
      </c>
      <c r="L1235" s="154" t="s">
        <v>49</v>
      </c>
      <c r="M1235" s="154" t="s">
        <v>49</v>
      </c>
      <c r="N1235" s="143"/>
      <c r="O1235" s="138"/>
      <c r="P1235" s="132"/>
      <c r="Q1235" s="152"/>
      <c r="R1235" s="136"/>
      <c r="S1235" s="132"/>
      <c r="T1235" s="132">
        <v>34</v>
      </c>
      <c r="U1235" s="132"/>
      <c r="V1235" s="152"/>
      <c r="W1235" s="138"/>
      <c r="X1235" s="152"/>
      <c r="Y1235" s="136"/>
      <c r="Z1235" s="132"/>
      <c r="AA1235" s="105"/>
      <c r="AB1235" s="105"/>
      <c r="AC1235" s="105"/>
      <c r="AD1235" s="155">
        <v>41365</v>
      </c>
      <c r="AE1235" s="108" t="s">
        <v>985</v>
      </c>
    </row>
    <row r="1236" spans="1:31" ht="27" customHeight="1" x14ac:dyDescent="0.15">
      <c r="A1236" s="105">
        <v>1115100412</v>
      </c>
      <c r="B1236" s="106" t="s">
        <v>2262</v>
      </c>
      <c r="C1236" s="107" t="s">
        <v>1253</v>
      </c>
      <c r="D1236" s="108" t="s">
        <v>98</v>
      </c>
      <c r="E1236" s="108" t="s">
        <v>4170</v>
      </c>
      <c r="F1236" s="139">
        <v>3520004</v>
      </c>
      <c r="G1236" s="140" t="s">
        <v>4171</v>
      </c>
      <c r="H1236" s="140" t="s">
        <v>4172</v>
      </c>
      <c r="I1236" s="141"/>
      <c r="J1236" s="142"/>
      <c r="K1236" s="142"/>
      <c r="L1236" s="142"/>
      <c r="M1236" s="142" t="s">
        <v>4173</v>
      </c>
      <c r="N1236" s="143"/>
      <c r="O1236" s="138"/>
      <c r="P1236" s="105"/>
      <c r="Q1236" s="137"/>
      <c r="R1236" s="138"/>
      <c r="S1236" s="105"/>
      <c r="T1236" s="105"/>
      <c r="U1236" s="105"/>
      <c r="V1236" s="116"/>
      <c r="W1236" s="117"/>
      <c r="X1236" s="116"/>
      <c r="Y1236" s="138"/>
      <c r="Z1236" s="105"/>
      <c r="AA1236" s="105">
        <v>25</v>
      </c>
      <c r="AB1236" s="105"/>
      <c r="AC1236" s="105"/>
      <c r="AD1236" s="144">
        <v>41548</v>
      </c>
      <c r="AE1236" s="108" t="s">
        <v>1252</v>
      </c>
    </row>
    <row r="1237" spans="1:31" ht="27" customHeight="1" x14ac:dyDescent="0.15">
      <c r="A1237" s="105">
        <v>1115100420</v>
      </c>
      <c r="B1237" s="106" t="s">
        <v>2263</v>
      </c>
      <c r="C1237" s="107" t="s">
        <v>1806</v>
      </c>
      <c r="D1237" s="108" t="s">
        <v>98</v>
      </c>
      <c r="E1237" s="108" t="s">
        <v>1807</v>
      </c>
      <c r="F1237" s="139" t="s">
        <v>2264</v>
      </c>
      <c r="G1237" s="140" t="s">
        <v>2265</v>
      </c>
      <c r="H1237" s="140" t="s">
        <v>2266</v>
      </c>
      <c r="I1237" s="141"/>
      <c r="J1237" s="142"/>
      <c r="K1237" s="142"/>
      <c r="L1237" s="142"/>
      <c r="M1237" s="142" t="s">
        <v>49</v>
      </c>
      <c r="N1237" s="143"/>
      <c r="O1237" s="138"/>
      <c r="P1237" s="105"/>
      <c r="Q1237" s="137"/>
      <c r="R1237" s="138"/>
      <c r="S1237" s="105"/>
      <c r="T1237" s="105">
        <v>30</v>
      </c>
      <c r="U1237" s="105"/>
      <c r="V1237" s="116"/>
      <c r="W1237" s="117"/>
      <c r="X1237" s="137"/>
      <c r="Y1237" s="138"/>
      <c r="Z1237" s="105"/>
      <c r="AA1237" s="105">
        <v>30</v>
      </c>
      <c r="AB1237" s="105"/>
      <c r="AC1237" s="105"/>
      <c r="AD1237" s="144">
        <v>41548</v>
      </c>
      <c r="AE1237" s="108" t="s">
        <v>1808</v>
      </c>
    </row>
    <row r="1238" spans="1:31" ht="27" customHeight="1" x14ac:dyDescent="0.15">
      <c r="A1238" s="105">
        <v>1115100651</v>
      </c>
      <c r="B1238" s="130" t="s">
        <v>3426</v>
      </c>
      <c r="C1238" s="108" t="s">
        <v>3664</v>
      </c>
      <c r="D1238" s="108" t="s">
        <v>98</v>
      </c>
      <c r="E1238" s="108" t="s">
        <v>8646</v>
      </c>
      <c r="F1238" s="131">
        <v>3520014</v>
      </c>
      <c r="G1238" s="132" t="s">
        <v>3668</v>
      </c>
      <c r="H1238" s="132" t="s">
        <v>3666</v>
      </c>
      <c r="I1238" s="116"/>
      <c r="J1238" s="154"/>
      <c r="K1238" s="154"/>
      <c r="L1238" s="154"/>
      <c r="M1238" s="154" t="s">
        <v>49</v>
      </c>
      <c r="N1238" s="154" t="s">
        <v>49</v>
      </c>
      <c r="O1238" s="138"/>
      <c r="P1238" s="132"/>
      <c r="Q1238" s="152"/>
      <c r="R1238" s="136"/>
      <c r="S1238" s="132"/>
      <c r="T1238" s="132">
        <v>20</v>
      </c>
      <c r="U1238" s="132"/>
      <c r="V1238" s="152"/>
      <c r="W1238" s="138"/>
      <c r="X1238" s="152"/>
      <c r="Y1238" s="136"/>
      <c r="Z1238" s="132"/>
      <c r="AA1238" s="105"/>
      <c r="AB1238" s="105"/>
      <c r="AC1238" s="105"/>
      <c r="AD1238" s="155">
        <v>42736</v>
      </c>
      <c r="AE1238" s="108" t="s">
        <v>8942</v>
      </c>
    </row>
    <row r="1239" spans="1:31" s="65" customFormat="1" ht="27" customHeight="1" x14ac:dyDescent="0.15">
      <c r="A1239" s="105">
        <v>1115100933</v>
      </c>
      <c r="B1239" s="130" t="s">
        <v>8647</v>
      </c>
      <c r="C1239" s="108" t="s">
        <v>8648</v>
      </c>
      <c r="D1239" s="108" t="s">
        <v>98</v>
      </c>
      <c r="E1239" s="108" t="s">
        <v>3665</v>
      </c>
      <c r="F1239" s="131">
        <v>3520014</v>
      </c>
      <c r="G1239" s="132" t="s">
        <v>8649</v>
      </c>
      <c r="H1239" s="132" t="s">
        <v>8650</v>
      </c>
      <c r="I1239" s="116"/>
      <c r="J1239" s="154"/>
      <c r="K1239" s="154"/>
      <c r="L1239" s="154"/>
      <c r="M1239" s="154" t="s">
        <v>49</v>
      </c>
      <c r="N1239" s="154" t="s">
        <v>49</v>
      </c>
      <c r="O1239" s="138"/>
      <c r="P1239" s="132"/>
      <c r="Q1239" s="152"/>
      <c r="R1239" s="136"/>
      <c r="S1239" s="132"/>
      <c r="T1239" s="132">
        <v>20</v>
      </c>
      <c r="U1239" s="132"/>
      <c r="V1239" s="152"/>
      <c r="W1239" s="138"/>
      <c r="X1239" s="152"/>
      <c r="Y1239" s="136"/>
      <c r="Z1239" s="132"/>
      <c r="AA1239" s="105"/>
      <c r="AB1239" s="105"/>
      <c r="AC1239" s="105"/>
      <c r="AD1239" s="155">
        <v>45170</v>
      </c>
      <c r="AE1239" s="108" t="s">
        <v>3667</v>
      </c>
    </row>
    <row r="1240" spans="1:31" ht="27" customHeight="1" x14ac:dyDescent="0.15">
      <c r="A1240" s="105">
        <v>1115100768</v>
      </c>
      <c r="B1240" s="106" t="s">
        <v>1437</v>
      </c>
      <c r="C1240" s="107" t="s">
        <v>4941</v>
      </c>
      <c r="D1240" s="108" t="s">
        <v>98</v>
      </c>
      <c r="E1240" s="108" t="s">
        <v>4942</v>
      </c>
      <c r="F1240" s="139" t="s">
        <v>4943</v>
      </c>
      <c r="G1240" s="140" t="s">
        <v>4944</v>
      </c>
      <c r="H1240" s="140" t="s">
        <v>4945</v>
      </c>
      <c r="I1240" s="141" t="s">
        <v>49</v>
      </c>
      <c r="J1240" s="142" t="s">
        <v>49</v>
      </c>
      <c r="K1240" s="142" t="s">
        <v>765</v>
      </c>
      <c r="L1240" s="142" t="s">
        <v>765</v>
      </c>
      <c r="M1240" s="142" t="s">
        <v>765</v>
      </c>
      <c r="N1240" s="143" t="s">
        <v>765</v>
      </c>
      <c r="O1240" s="138" t="s">
        <v>49</v>
      </c>
      <c r="P1240" s="105"/>
      <c r="Q1240" s="137"/>
      <c r="R1240" s="138"/>
      <c r="S1240" s="105"/>
      <c r="T1240" s="105"/>
      <c r="U1240" s="105"/>
      <c r="V1240" s="116"/>
      <c r="W1240" s="117"/>
      <c r="X1240" s="116"/>
      <c r="Y1240" s="138"/>
      <c r="Z1240" s="105"/>
      <c r="AA1240" s="105">
        <v>20</v>
      </c>
      <c r="AB1240" s="105"/>
      <c r="AC1240" s="105"/>
      <c r="AD1240" s="144">
        <v>43556</v>
      </c>
      <c r="AE1240" s="108" t="s">
        <v>4946</v>
      </c>
    </row>
    <row r="1241" spans="1:31" ht="27" customHeight="1" x14ac:dyDescent="0.15">
      <c r="A1241" s="105">
        <v>1115100792</v>
      </c>
      <c r="B1241" s="130" t="s">
        <v>3415</v>
      </c>
      <c r="C1241" s="108" t="s">
        <v>5530</v>
      </c>
      <c r="D1241" s="108" t="s">
        <v>98</v>
      </c>
      <c r="E1241" s="108" t="s">
        <v>5531</v>
      </c>
      <c r="F1241" s="131" t="s">
        <v>5532</v>
      </c>
      <c r="G1241" s="132" t="s">
        <v>5533</v>
      </c>
      <c r="H1241" s="132" t="s">
        <v>5534</v>
      </c>
      <c r="I1241" s="133"/>
      <c r="J1241" s="134"/>
      <c r="K1241" s="134"/>
      <c r="L1241" s="134"/>
      <c r="M1241" s="134" t="s">
        <v>49</v>
      </c>
      <c r="N1241" s="135" t="s">
        <v>49</v>
      </c>
      <c r="O1241" s="136"/>
      <c r="P1241" s="105"/>
      <c r="Q1241" s="137"/>
      <c r="R1241" s="138"/>
      <c r="S1241" s="105"/>
      <c r="T1241" s="105">
        <v>30</v>
      </c>
      <c r="U1241" s="105"/>
      <c r="V1241" s="270"/>
      <c r="W1241" s="271"/>
      <c r="X1241" s="152"/>
      <c r="Y1241" s="138"/>
      <c r="Z1241" s="105"/>
      <c r="AA1241" s="105"/>
      <c r="AB1241" s="105"/>
      <c r="AC1241" s="105"/>
      <c r="AD1241" s="118">
        <v>43831</v>
      </c>
      <c r="AE1241" s="108" t="s">
        <v>5535</v>
      </c>
    </row>
    <row r="1242" spans="1:31" s="65" customFormat="1" ht="27" customHeight="1" x14ac:dyDescent="0.15">
      <c r="A1242" s="105">
        <v>1115100818</v>
      </c>
      <c r="B1242" s="130" t="s">
        <v>5689</v>
      </c>
      <c r="C1242" s="108" t="s">
        <v>5690</v>
      </c>
      <c r="D1242" s="108" t="s">
        <v>98</v>
      </c>
      <c r="E1242" s="108" t="s">
        <v>5691</v>
      </c>
      <c r="F1242" s="131" t="s">
        <v>5692</v>
      </c>
      <c r="G1242" s="132" t="s">
        <v>5693</v>
      </c>
      <c r="H1242" s="132" t="s">
        <v>5694</v>
      </c>
      <c r="I1242" s="133"/>
      <c r="J1242" s="134"/>
      <c r="K1242" s="135"/>
      <c r="L1242" s="134"/>
      <c r="M1242" s="134" t="s">
        <v>49</v>
      </c>
      <c r="N1242" s="135"/>
      <c r="O1242" s="136"/>
      <c r="P1242" s="132"/>
      <c r="Q1242" s="152"/>
      <c r="R1242" s="136"/>
      <c r="S1242" s="132"/>
      <c r="T1242" s="105">
        <v>10</v>
      </c>
      <c r="U1242" s="132"/>
      <c r="V1242" s="152"/>
      <c r="W1242" s="136"/>
      <c r="X1242" s="152"/>
      <c r="Y1242" s="136"/>
      <c r="Z1242" s="132"/>
      <c r="AA1242" s="132">
        <v>10</v>
      </c>
      <c r="AB1242" s="132"/>
      <c r="AC1242" s="132"/>
      <c r="AD1242" s="118">
        <v>43922</v>
      </c>
      <c r="AE1242" s="108" t="s">
        <v>11394</v>
      </c>
    </row>
    <row r="1243" spans="1:31" s="65" customFormat="1" ht="27" customHeight="1" x14ac:dyDescent="0.15">
      <c r="A1243" s="105">
        <v>1115100842</v>
      </c>
      <c r="B1243" s="106" t="s">
        <v>4273</v>
      </c>
      <c r="C1243" s="107" t="s">
        <v>7904</v>
      </c>
      <c r="D1243" s="108" t="s">
        <v>85</v>
      </c>
      <c r="E1243" s="108" t="s">
        <v>7905</v>
      </c>
      <c r="F1243" s="139" t="s">
        <v>4297</v>
      </c>
      <c r="G1243" s="140" t="s">
        <v>7906</v>
      </c>
      <c r="H1243" s="140" t="s">
        <v>7907</v>
      </c>
      <c r="I1243" s="141"/>
      <c r="J1243" s="142"/>
      <c r="K1243" s="142"/>
      <c r="L1243" s="142"/>
      <c r="M1243" s="134" t="s">
        <v>49</v>
      </c>
      <c r="N1243" s="135" t="s">
        <v>49</v>
      </c>
      <c r="O1243" s="138"/>
      <c r="P1243" s="105"/>
      <c r="Q1243" s="137"/>
      <c r="R1243" s="138"/>
      <c r="S1243" s="105"/>
      <c r="T1243" s="105"/>
      <c r="U1243" s="105"/>
      <c r="V1243" s="137"/>
      <c r="W1243" s="138"/>
      <c r="X1243" s="137"/>
      <c r="Y1243" s="138"/>
      <c r="Z1243" s="105"/>
      <c r="AA1243" s="105">
        <v>20</v>
      </c>
      <c r="AB1243" s="105"/>
      <c r="AC1243" s="105"/>
      <c r="AD1243" s="144">
        <v>44228</v>
      </c>
      <c r="AE1243" s="108" t="s">
        <v>7908</v>
      </c>
    </row>
    <row r="1244" spans="1:31" ht="26.25" customHeight="1" x14ac:dyDescent="0.15">
      <c r="A1244" s="105">
        <v>1115100867</v>
      </c>
      <c r="B1244" s="130" t="s">
        <v>7069</v>
      </c>
      <c r="C1244" s="108" t="s">
        <v>7070</v>
      </c>
      <c r="D1244" s="108" t="s">
        <v>98</v>
      </c>
      <c r="E1244" s="108" t="s">
        <v>7071</v>
      </c>
      <c r="F1244" s="131" t="s">
        <v>7072</v>
      </c>
      <c r="G1244" s="132" t="s">
        <v>7073</v>
      </c>
      <c r="H1244" s="132" t="s">
        <v>7074</v>
      </c>
      <c r="I1244" s="133" t="s">
        <v>49</v>
      </c>
      <c r="J1244" s="134" t="s">
        <v>49</v>
      </c>
      <c r="K1244" s="134" t="s">
        <v>49</v>
      </c>
      <c r="L1244" s="134" t="s">
        <v>49</v>
      </c>
      <c r="M1244" s="134" t="s">
        <v>765</v>
      </c>
      <c r="N1244" s="135" t="s">
        <v>765</v>
      </c>
      <c r="O1244" s="136" t="s">
        <v>49</v>
      </c>
      <c r="P1244" s="105"/>
      <c r="Q1244" s="137"/>
      <c r="R1244" s="138"/>
      <c r="S1244" s="105"/>
      <c r="T1244" s="105">
        <v>20</v>
      </c>
      <c r="U1244" s="105"/>
      <c r="V1244" s="116"/>
      <c r="W1244" s="117"/>
      <c r="X1244" s="116"/>
      <c r="Y1244" s="138"/>
      <c r="Z1244" s="105"/>
      <c r="AA1244" s="105">
        <v>10</v>
      </c>
      <c r="AB1244" s="105"/>
      <c r="AC1244" s="105"/>
      <c r="AD1244" s="144">
        <v>44470</v>
      </c>
      <c r="AE1244" s="108" t="s">
        <v>7075</v>
      </c>
    </row>
    <row r="1245" spans="1:31" ht="27" customHeight="1" x14ac:dyDescent="0.15">
      <c r="A1245" s="105">
        <v>1115100958</v>
      </c>
      <c r="B1245" s="106" t="s">
        <v>8875</v>
      </c>
      <c r="C1245" s="107" t="s">
        <v>8876</v>
      </c>
      <c r="D1245" s="108" t="s">
        <v>98</v>
      </c>
      <c r="E1245" s="108" t="s">
        <v>8877</v>
      </c>
      <c r="F1245" s="139" t="s">
        <v>8878</v>
      </c>
      <c r="G1245" s="140" t="s">
        <v>8879</v>
      </c>
      <c r="H1245" s="140"/>
      <c r="I1245" s="141" t="s">
        <v>765</v>
      </c>
      <c r="J1245" s="142"/>
      <c r="K1245" s="142" t="s">
        <v>765</v>
      </c>
      <c r="L1245" s="142" t="s">
        <v>765</v>
      </c>
      <c r="M1245" s="142" t="s">
        <v>765</v>
      </c>
      <c r="N1245" s="143" t="s">
        <v>765</v>
      </c>
      <c r="O1245" s="138"/>
      <c r="P1245" s="105"/>
      <c r="Q1245" s="137"/>
      <c r="R1245" s="138"/>
      <c r="S1245" s="105"/>
      <c r="T1245" s="105"/>
      <c r="U1245" s="105"/>
      <c r="V1245" s="137"/>
      <c r="W1245" s="138"/>
      <c r="X1245" s="137">
        <v>10</v>
      </c>
      <c r="Y1245" s="138"/>
      <c r="Z1245" s="105">
        <v>10</v>
      </c>
      <c r="AA1245" s="105"/>
      <c r="AB1245" s="105"/>
      <c r="AC1245" s="105"/>
      <c r="AD1245" s="118">
        <v>45261</v>
      </c>
      <c r="AE1245" s="108" t="s">
        <v>8880</v>
      </c>
    </row>
    <row r="1246" spans="1:31" s="65" customFormat="1" ht="27" customHeight="1" x14ac:dyDescent="0.15">
      <c r="A1246" s="105">
        <v>1115101006</v>
      </c>
      <c r="B1246" s="130" t="s">
        <v>11951</v>
      </c>
      <c r="C1246" s="108" t="s">
        <v>10577</v>
      </c>
      <c r="D1246" s="108" t="s">
        <v>98</v>
      </c>
      <c r="E1246" s="108" t="s">
        <v>10578</v>
      </c>
      <c r="F1246" s="131" t="s">
        <v>10579</v>
      </c>
      <c r="G1246" s="132" t="s">
        <v>10580</v>
      </c>
      <c r="H1246" s="132"/>
      <c r="I1246" s="133"/>
      <c r="J1246" s="134" t="s">
        <v>765</v>
      </c>
      <c r="K1246" s="134" t="s">
        <v>765</v>
      </c>
      <c r="L1246" s="134" t="s">
        <v>765</v>
      </c>
      <c r="M1246" s="134" t="s">
        <v>765</v>
      </c>
      <c r="N1246" s="135" t="s">
        <v>765</v>
      </c>
      <c r="O1246" s="136" t="s">
        <v>765</v>
      </c>
      <c r="P1246" s="105"/>
      <c r="Q1246" s="137"/>
      <c r="R1246" s="138"/>
      <c r="S1246" s="105"/>
      <c r="T1246" s="105"/>
      <c r="U1246" s="105"/>
      <c r="V1246" s="116"/>
      <c r="W1246" s="117"/>
      <c r="X1246" s="116"/>
      <c r="Y1246" s="138"/>
      <c r="Z1246" s="105"/>
      <c r="AA1246" s="105">
        <v>20</v>
      </c>
      <c r="AB1246" s="105"/>
      <c r="AC1246" s="105"/>
      <c r="AD1246" s="118">
        <v>45901</v>
      </c>
      <c r="AE1246" s="108" t="s">
        <v>10581</v>
      </c>
    </row>
    <row r="1247" spans="1:31" s="523" customFormat="1" ht="27" customHeight="1" x14ac:dyDescent="0.15">
      <c r="A1247" s="564">
        <v>1115101014</v>
      </c>
      <c r="B1247" s="525" t="s">
        <v>11952</v>
      </c>
      <c r="C1247" s="526" t="s">
        <v>10591</v>
      </c>
      <c r="D1247" s="526" t="s">
        <v>10592</v>
      </c>
      <c r="E1247" s="526" t="s">
        <v>10593</v>
      </c>
      <c r="F1247" s="527" t="s">
        <v>10594</v>
      </c>
      <c r="G1247" s="528" t="s">
        <v>10595</v>
      </c>
      <c r="H1247" s="528" t="s">
        <v>10596</v>
      </c>
      <c r="I1247" s="529"/>
      <c r="J1247" s="530"/>
      <c r="K1247" s="530"/>
      <c r="L1247" s="530"/>
      <c r="M1247" s="530" t="s">
        <v>49</v>
      </c>
      <c r="N1247" s="531"/>
      <c r="O1247" s="532"/>
      <c r="P1247" s="564"/>
      <c r="Q1247" s="565"/>
      <c r="R1247" s="566"/>
      <c r="S1247" s="564"/>
      <c r="T1247" s="564"/>
      <c r="U1247" s="564"/>
      <c r="V1247" s="567"/>
      <c r="W1247" s="568"/>
      <c r="X1247" s="567"/>
      <c r="Y1247" s="566"/>
      <c r="Z1247" s="564"/>
      <c r="AA1247" s="564">
        <v>10</v>
      </c>
      <c r="AB1247" s="564"/>
      <c r="AC1247" s="564"/>
      <c r="AD1247" s="570">
        <v>45901</v>
      </c>
      <c r="AE1247" s="611" t="s">
        <v>12296</v>
      </c>
    </row>
    <row r="1248" spans="1:31" s="65" customFormat="1" ht="27" customHeight="1" x14ac:dyDescent="0.15">
      <c r="A1248" s="105">
        <v>1115101022</v>
      </c>
      <c r="B1248" s="130" t="s">
        <v>12053</v>
      </c>
      <c r="C1248" s="108" t="s">
        <v>10811</v>
      </c>
      <c r="D1248" s="108" t="s">
        <v>10812</v>
      </c>
      <c r="E1248" s="108" t="s">
        <v>10813</v>
      </c>
      <c r="F1248" s="131" t="s">
        <v>5692</v>
      </c>
      <c r="G1248" s="132" t="s">
        <v>10814</v>
      </c>
      <c r="H1248" s="367" t="s">
        <v>10815</v>
      </c>
      <c r="I1248" s="133" t="s">
        <v>765</v>
      </c>
      <c r="J1248" s="134" t="s">
        <v>765</v>
      </c>
      <c r="K1248" s="134" t="s">
        <v>765</v>
      </c>
      <c r="L1248" s="134" t="s">
        <v>765</v>
      </c>
      <c r="M1248" s="134" t="s">
        <v>765</v>
      </c>
      <c r="N1248" s="135" t="s">
        <v>765</v>
      </c>
      <c r="O1248" s="136" t="s">
        <v>765</v>
      </c>
      <c r="P1248" s="105"/>
      <c r="Q1248" s="152"/>
      <c r="R1248" s="138"/>
      <c r="S1248" s="132"/>
      <c r="T1248" s="105"/>
      <c r="U1248" s="132"/>
      <c r="V1248" s="152"/>
      <c r="W1248" s="136"/>
      <c r="X1248" s="152"/>
      <c r="Y1248" s="136"/>
      <c r="Z1248" s="132"/>
      <c r="AA1248" s="132">
        <v>20</v>
      </c>
      <c r="AB1248" s="132"/>
      <c r="AC1248" s="132"/>
      <c r="AD1248" s="155">
        <v>45931</v>
      </c>
      <c r="AE1248" s="108" t="s">
        <v>10816</v>
      </c>
    </row>
    <row r="1249" spans="1:33" s="65" customFormat="1" ht="27" customHeight="1" x14ac:dyDescent="0.15">
      <c r="A1249" s="105">
        <v>1115101048</v>
      </c>
      <c r="B1249" s="130" t="s">
        <v>11804</v>
      </c>
      <c r="C1249" s="108" t="s">
        <v>11380</v>
      </c>
      <c r="D1249" s="108" t="s">
        <v>98</v>
      </c>
      <c r="E1249" s="108" t="s">
        <v>11381</v>
      </c>
      <c r="F1249" s="131" t="s">
        <v>11382</v>
      </c>
      <c r="G1249" s="132" t="s">
        <v>11383</v>
      </c>
      <c r="H1249" s="132" t="s">
        <v>11384</v>
      </c>
      <c r="I1249" s="133" t="s">
        <v>10951</v>
      </c>
      <c r="J1249" s="135"/>
      <c r="K1249" s="134"/>
      <c r="L1249" s="134"/>
      <c r="M1249" s="134" t="s">
        <v>11225</v>
      </c>
      <c r="N1249" s="135" t="s">
        <v>11225</v>
      </c>
      <c r="O1249" s="136"/>
      <c r="P1249" s="132"/>
      <c r="Q1249" s="152"/>
      <c r="R1249" s="136"/>
      <c r="S1249" s="132"/>
      <c r="T1249" s="132">
        <v>10</v>
      </c>
      <c r="U1249" s="132"/>
      <c r="V1249" s="152"/>
      <c r="W1249" s="136"/>
      <c r="X1249" s="152"/>
      <c r="Y1249" s="136"/>
      <c r="Z1249" s="132"/>
      <c r="AA1249" s="105">
        <v>10</v>
      </c>
      <c r="AB1249" s="105"/>
      <c r="AC1249" s="105"/>
      <c r="AD1249" s="155">
        <v>46113</v>
      </c>
      <c r="AE1249" s="108" t="s">
        <v>11385</v>
      </c>
    </row>
    <row r="1250" spans="1:33" s="65" customFormat="1" ht="27" customHeight="1" x14ac:dyDescent="0.15">
      <c r="A1250" s="105">
        <v>1115200030</v>
      </c>
      <c r="B1250" s="130" t="s">
        <v>495</v>
      </c>
      <c r="C1250" s="108" t="s">
        <v>598</v>
      </c>
      <c r="D1250" s="108" t="s">
        <v>99</v>
      </c>
      <c r="E1250" s="108" t="s">
        <v>209</v>
      </c>
      <c r="F1250" s="131">
        <v>3630006</v>
      </c>
      <c r="G1250" s="132" t="s">
        <v>740</v>
      </c>
      <c r="H1250" s="132" t="s">
        <v>741</v>
      </c>
      <c r="I1250" s="133"/>
      <c r="J1250" s="134"/>
      <c r="K1250" s="134"/>
      <c r="L1250" s="134"/>
      <c r="M1250" s="134" t="s">
        <v>49</v>
      </c>
      <c r="N1250" s="135"/>
      <c r="O1250" s="136"/>
      <c r="P1250" s="105">
        <v>40</v>
      </c>
      <c r="Q1250" s="137" t="s">
        <v>49</v>
      </c>
      <c r="R1250" s="138">
        <v>4</v>
      </c>
      <c r="S1250" s="132"/>
      <c r="T1250" s="105">
        <v>56</v>
      </c>
      <c r="U1250" s="132"/>
      <c r="V1250" s="152"/>
      <c r="W1250" s="136"/>
      <c r="X1250" s="152"/>
      <c r="Y1250" s="136"/>
      <c r="Z1250" s="132"/>
      <c r="AA1250" s="105"/>
      <c r="AB1250" s="105"/>
      <c r="AC1250" s="105"/>
      <c r="AD1250" s="155">
        <v>39539</v>
      </c>
      <c r="AE1250" s="108" t="s">
        <v>1580</v>
      </c>
    </row>
    <row r="1251" spans="1:33" s="65" customFormat="1" ht="27" customHeight="1" x14ac:dyDescent="0.15">
      <c r="A1251" s="105">
        <v>1115200097</v>
      </c>
      <c r="B1251" s="130" t="s">
        <v>1846</v>
      </c>
      <c r="C1251" s="108" t="s">
        <v>499</v>
      </c>
      <c r="D1251" s="108" t="s">
        <v>99</v>
      </c>
      <c r="E1251" s="108" t="s">
        <v>10176</v>
      </c>
      <c r="F1251" s="131">
        <v>3630027</v>
      </c>
      <c r="G1251" s="132" t="s">
        <v>738</v>
      </c>
      <c r="H1251" s="132" t="s">
        <v>739</v>
      </c>
      <c r="I1251" s="133"/>
      <c r="J1251" s="134"/>
      <c r="K1251" s="134"/>
      <c r="L1251" s="134"/>
      <c r="M1251" s="134" t="s">
        <v>49</v>
      </c>
      <c r="N1251" s="135"/>
      <c r="O1251" s="136"/>
      <c r="P1251" s="105"/>
      <c r="Q1251" s="137"/>
      <c r="R1251" s="138"/>
      <c r="S1251" s="105"/>
      <c r="T1251" s="105">
        <v>35</v>
      </c>
      <c r="U1251" s="105"/>
      <c r="V1251" s="137"/>
      <c r="W1251" s="138"/>
      <c r="X1251" s="137"/>
      <c r="Y1251" s="138"/>
      <c r="Z1251" s="105"/>
      <c r="AA1251" s="105">
        <v>10</v>
      </c>
      <c r="AB1251" s="105"/>
      <c r="AC1251" s="105"/>
      <c r="AD1251" s="118">
        <v>41000</v>
      </c>
      <c r="AE1251" s="108" t="s">
        <v>1979</v>
      </c>
    </row>
    <row r="1252" spans="1:33" s="65" customFormat="1" ht="27" customHeight="1" x14ac:dyDescent="0.15">
      <c r="A1252" s="105">
        <v>1115200147</v>
      </c>
      <c r="B1252" s="130" t="s">
        <v>2346</v>
      </c>
      <c r="C1252" s="108" t="s">
        <v>2347</v>
      </c>
      <c r="D1252" s="108" t="s">
        <v>99</v>
      </c>
      <c r="E1252" s="108" t="s">
        <v>2348</v>
      </c>
      <c r="F1252" s="131" t="s">
        <v>2349</v>
      </c>
      <c r="G1252" s="132" t="s">
        <v>2350</v>
      </c>
      <c r="H1252" s="132" t="s">
        <v>2351</v>
      </c>
      <c r="I1252" s="133"/>
      <c r="J1252" s="134" t="s">
        <v>2352</v>
      </c>
      <c r="K1252" s="134" t="s">
        <v>2352</v>
      </c>
      <c r="L1252" s="134" t="s">
        <v>2352</v>
      </c>
      <c r="M1252" s="134" t="s">
        <v>2352</v>
      </c>
      <c r="N1252" s="134" t="s">
        <v>2352</v>
      </c>
      <c r="O1252" s="136" t="s">
        <v>2352</v>
      </c>
      <c r="P1252" s="105"/>
      <c r="Q1252" s="137"/>
      <c r="R1252" s="138"/>
      <c r="S1252" s="105"/>
      <c r="T1252" s="105"/>
      <c r="U1252" s="105"/>
      <c r="V1252" s="137"/>
      <c r="W1252" s="138"/>
      <c r="X1252" s="137">
        <v>20</v>
      </c>
      <c r="Y1252" s="138"/>
      <c r="Z1252" s="105"/>
      <c r="AA1252" s="105"/>
      <c r="AB1252" s="105"/>
      <c r="AC1252" s="105"/>
      <c r="AD1252" s="118">
        <v>41699</v>
      </c>
      <c r="AE1252" s="108" t="s">
        <v>2353</v>
      </c>
    </row>
    <row r="1253" spans="1:33" s="65" customFormat="1" ht="27" customHeight="1" x14ac:dyDescent="0.15">
      <c r="A1253" s="105">
        <v>1115200147</v>
      </c>
      <c r="B1253" s="130" t="s">
        <v>2346</v>
      </c>
      <c r="C1253" s="108" t="s">
        <v>4755</v>
      </c>
      <c r="D1253" s="108" t="s">
        <v>99</v>
      </c>
      <c r="E1253" s="108" t="s">
        <v>2348</v>
      </c>
      <c r="F1253" s="131" t="s">
        <v>4756</v>
      </c>
      <c r="G1253" s="132" t="s">
        <v>4757</v>
      </c>
      <c r="H1253" s="132" t="s">
        <v>4758</v>
      </c>
      <c r="I1253" s="133"/>
      <c r="J1253" s="134" t="s">
        <v>4754</v>
      </c>
      <c r="K1253" s="134" t="s">
        <v>4754</v>
      </c>
      <c r="L1253" s="134" t="s">
        <v>4754</v>
      </c>
      <c r="M1253" s="134" t="s">
        <v>4754</v>
      </c>
      <c r="N1253" s="134" t="s">
        <v>4754</v>
      </c>
      <c r="O1253" s="136" t="s">
        <v>4754</v>
      </c>
      <c r="P1253" s="105"/>
      <c r="Q1253" s="137"/>
      <c r="R1253" s="138"/>
      <c r="S1253" s="105"/>
      <c r="T1253" s="105"/>
      <c r="U1253" s="105"/>
      <c r="V1253" s="137"/>
      <c r="W1253" s="138"/>
      <c r="X1253" s="137"/>
      <c r="Y1253" s="138"/>
      <c r="Z1253" s="105"/>
      <c r="AA1253" s="105"/>
      <c r="AB1253" s="105" t="s">
        <v>4754</v>
      </c>
      <c r="AC1253" s="105"/>
      <c r="AD1253" s="144">
        <v>43374</v>
      </c>
      <c r="AE1253" s="108" t="s">
        <v>2353</v>
      </c>
    </row>
    <row r="1254" spans="1:33" ht="27" customHeight="1" x14ac:dyDescent="0.15">
      <c r="A1254" s="105">
        <v>1115200188</v>
      </c>
      <c r="B1254" s="106" t="s">
        <v>3431</v>
      </c>
      <c r="C1254" s="107" t="s">
        <v>3621</v>
      </c>
      <c r="D1254" s="108" t="s">
        <v>99</v>
      </c>
      <c r="E1254" s="108" t="s">
        <v>3622</v>
      </c>
      <c r="F1254" s="139" t="s">
        <v>3623</v>
      </c>
      <c r="G1254" s="140" t="s">
        <v>3624</v>
      </c>
      <c r="H1254" s="140" t="s">
        <v>3625</v>
      </c>
      <c r="I1254" s="141"/>
      <c r="J1254" s="142" t="s">
        <v>3626</v>
      </c>
      <c r="K1254" s="142" t="s">
        <v>3626</v>
      </c>
      <c r="L1254" s="142" t="s">
        <v>3626</v>
      </c>
      <c r="M1254" s="142" t="s">
        <v>3626</v>
      </c>
      <c r="N1254" s="143" t="s">
        <v>3626</v>
      </c>
      <c r="O1254" s="138" t="s">
        <v>3626</v>
      </c>
      <c r="P1254" s="105"/>
      <c r="Q1254" s="137"/>
      <c r="R1254" s="138"/>
      <c r="S1254" s="105"/>
      <c r="T1254" s="105"/>
      <c r="U1254" s="105"/>
      <c r="V1254" s="137"/>
      <c r="W1254" s="138"/>
      <c r="X1254" s="137"/>
      <c r="Y1254" s="138"/>
      <c r="Z1254" s="105">
        <v>20</v>
      </c>
      <c r="AA1254" s="105"/>
      <c r="AB1254" s="105"/>
      <c r="AC1254" s="105"/>
      <c r="AD1254" s="144">
        <v>42675</v>
      </c>
      <c r="AE1254" s="108" t="s">
        <v>3627</v>
      </c>
    </row>
    <row r="1255" spans="1:33" s="65" customFormat="1" ht="27" customHeight="1" x14ac:dyDescent="0.15">
      <c r="A1255" s="105">
        <v>1115200261</v>
      </c>
      <c r="B1255" s="106" t="s">
        <v>5581</v>
      </c>
      <c r="C1255" s="107" t="s">
        <v>5582</v>
      </c>
      <c r="D1255" s="108" t="s">
        <v>99</v>
      </c>
      <c r="E1255" s="108" t="s">
        <v>5583</v>
      </c>
      <c r="F1255" s="139" t="s">
        <v>2349</v>
      </c>
      <c r="G1255" s="140" t="s">
        <v>5584</v>
      </c>
      <c r="H1255" s="140" t="s">
        <v>5585</v>
      </c>
      <c r="I1255" s="141" t="s">
        <v>765</v>
      </c>
      <c r="J1255" s="142"/>
      <c r="K1255" s="142"/>
      <c r="L1255" s="142" t="s">
        <v>765</v>
      </c>
      <c r="M1255" s="142" t="s">
        <v>765</v>
      </c>
      <c r="N1255" s="142" t="s">
        <v>765</v>
      </c>
      <c r="O1255" s="142" t="s">
        <v>765</v>
      </c>
      <c r="P1255" s="105"/>
      <c r="Q1255" s="137"/>
      <c r="R1255" s="138"/>
      <c r="S1255" s="105"/>
      <c r="T1255" s="105"/>
      <c r="U1255" s="105"/>
      <c r="V1255" s="137"/>
      <c r="W1255" s="138"/>
      <c r="X1255" s="137">
        <v>12</v>
      </c>
      <c r="Y1255" s="138"/>
      <c r="Z1255" s="105"/>
      <c r="AA1255" s="105"/>
      <c r="AB1255" s="105"/>
      <c r="AC1255" s="105"/>
      <c r="AD1255" s="144">
        <v>43891</v>
      </c>
      <c r="AE1255" s="108" t="s">
        <v>5586</v>
      </c>
    </row>
    <row r="1256" spans="1:33" ht="27" customHeight="1" x14ac:dyDescent="0.15">
      <c r="A1256" s="105">
        <v>1115200261</v>
      </c>
      <c r="B1256" s="108" t="s">
        <v>8437</v>
      </c>
      <c r="C1256" s="108" t="s">
        <v>8414</v>
      </c>
      <c r="D1256" s="108" t="s">
        <v>99</v>
      </c>
      <c r="E1256" s="108" t="s">
        <v>8415</v>
      </c>
      <c r="F1256" s="264" t="s">
        <v>2349</v>
      </c>
      <c r="G1256" s="105" t="s">
        <v>5584</v>
      </c>
      <c r="H1256" s="105" t="s">
        <v>5585</v>
      </c>
      <c r="I1256" s="141" t="s">
        <v>765</v>
      </c>
      <c r="J1256" s="142" t="s">
        <v>765</v>
      </c>
      <c r="K1256" s="142" t="s">
        <v>765</v>
      </c>
      <c r="L1256" s="142" t="s">
        <v>765</v>
      </c>
      <c r="M1256" s="142" t="s">
        <v>49</v>
      </c>
      <c r="N1256" s="143" t="s">
        <v>49</v>
      </c>
      <c r="O1256" s="138" t="s">
        <v>765</v>
      </c>
      <c r="P1256" s="105"/>
      <c r="Q1256" s="137"/>
      <c r="R1256" s="138"/>
      <c r="S1256" s="105"/>
      <c r="T1256" s="105"/>
      <c r="U1256" s="105"/>
      <c r="V1256" s="137"/>
      <c r="W1256" s="138"/>
      <c r="X1256" s="137"/>
      <c r="Y1256" s="138"/>
      <c r="Z1256" s="105"/>
      <c r="AA1256" s="105"/>
      <c r="AB1256" s="105" t="s">
        <v>49</v>
      </c>
      <c r="AC1256" s="105"/>
      <c r="AD1256" s="155">
        <v>45078</v>
      </c>
      <c r="AE1256" s="157" t="s">
        <v>8416</v>
      </c>
    </row>
    <row r="1257" spans="1:33" ht="27" customHeight="1" x14ac:dyDescent="0.15">
      <c r="A1257" s="105">
        <v>1115200287</v>
      </c>
      <c r="B1257" s="130" t="s">
        <v>6592</v>
      </c>
      <c r="C1257" s="108" t="s">
        <v>6593</v>
      </c>
      <c r="D1257" s="108" t="s">
        <v>99</v>
      </c>
      <c r="E1257" s="108" t="s">
        <v>6594</v>
      </c>
      <c r="F1257" s="131" t="s">
        <v>6595</v>
      </c>
      <c r="G1257" s="132" t="s">
        <v>6596</v>
      </c>
      <c r="H1257" s="132" t="s">
        <v>6597</v>
      </c>
      <c r="I1257" s="133" t="s">
        <v>49</v>
      </c>
      <c r="J1257" s="134" t="s">
        <v>49</v>
      </c>
      <c r="K1257" s="134" t="s">
        <v>49</v>
      </c>
      <c r="L1257" s="134" t="s">
        <v>49</v>
      </c>
      <c r="M1257" s="134" t="s">
        <v>765</v>
      </c>
      <c r="N1257" s="135" t="s">
        <v>49</v>
      </c>
      <c r="O1257" s="136"/>
      <c r="P1257" s="105"/>
      <c r="Q1257" s="137"/>
      <c r="R1257" s="138"/>
      <c r="S1257" s="105"/>
      <c r="T1257" s="105">
        <v>25</v>
      </c>
      <c r="U1257" s="105"/>
      <c r="V1257" s="137"/>
      <c r="W1257" s="138"/>
      <c r="X1257" s="137"/>
      <c r="Y1257" s="138"/>
      <c r="Z1257" s="105"/>
      <c r="AA1257" s="105"/>
      <c r="AB1257" s="105"/>
      <c r="AC1257" s="105"/>
      <c r="AD1257" s="118">
        <v>44287</v>
      </c>
      <c r="AE1257" s="108" t="s">
        <v>6598</v>
      </c>
    </row>
    <row r="1258" spans="1:33" s="65" customFormat="1" ht="27" customHeight="1" x14ac:dyDescent="0.15">
      <c r="A1258" s="105">
        <v>1115200303</v>
      </c>
      <c r="B1258" s="130" t="s">
        <v>7057</v>
      </c>
      <c r="C1258" s="108" t="s">
        <v>7058</v>
      </c>
      <c r="D1258" s="108" t="s">
        <v>99</v>
      </c>
      <c r="E1258" s="108" t="s">
        <v>7317</v>
      </c>
      <c r="F1258" s="131" t="s">
        <v>7059</v>
      </c>
      <c r="G1258" s="132" t="s">
        <v>7060</v>
      </c>
      <c r="H1258" s="132" t="s">
        <v>7061</v>
      </c>
      <c r="I1258" s="133" t="s">
        <v>765</v>
      </c>
      <c r="J1258" s="134" t="s">
        <v>765</v>
      </c>
      <c r="K1258" s="134" t="s">
        <v>765</v>
      </c>
      <c r="L1258" s="134" t="s">
        <v>765</v>
      </c>
      <c r="M1258" s="134" t="s">
        <v>765</v>
      </c>
      <c r="N1258" s="135" t="s">
        <v>765</v>
      </c>
      <c r="O1258" s="136" t="s">
        <v>765</v>
      </c>
      <c r="P1258" s="105"/>
      <c r="Q1258" s="137"/>
      <c r="R1258" s="138"/>
      <c r="S1258" s="105"/>
      <c r="T1258" s="105"/>
      <c r="U1258" s="105"/>
      <c r="V1258" s="116"/>
      <c r="W1258" s="117"/>
      <c r="X1258" s="116"/>
      <c r="Y1258" s="138"/>
      <c r="Z1258" s="105"/>
      <c r="AA1258" s="105">
        <v>20</v>
      </c>
      <c r="AB1258" s="105"/>
      <c r="AC1258" s="105"/>
      <c r="AD1258" s="144">
        <v>44470</v>
      </c>
      <c r="AE1258" s="108" t="s">
        <v>7062</v>
      </c>
    </row>
    <row r="1259" spans="1:33" s="76" customFormat="1" ht="27" customHeight="1" x14ac:dyDescent="0.15">
      <c r="A1259" s="105">
        <v>1115200345</v>
      </c>
      <c r="B1259" s="157" t="s">
        <v>11649</v>
      </c>
      <c r="C1259" s="108" t="s">
        <v>7858</v>
      </c>
      <c r="D1259" s="108" t="s">
        <v>7859</v>
      </c>
      <c r="E1259" s="108" t="s">
        <v>7860</v>
      </c>
      <c r="F1259" s="264" t="s">
        <v>7861</v>
      </c>
      <c r="G1259" s="105" t="s">
        <v>7862</v>
      </c>
      <c r="H1259" s="105" t="s">
        <v>7862</v>
      </c>
      <c r="I1259" s="160"/>
      <c r="J1259" s="142"/>
      <c r="K1259" s="142"/>
      <c r="L1259" s="142"/>
      <c r="M1259" s="142" t="s">
        <v>6457</v>
      </c>
      <c r="N1259" s="143" t="s">
        <v>6457</v>
      </c>
      <c r="O1259" s="138"/>
      <c r="P1259" s="105"/>
      <c r="Q1259" s="116"/>
      <c r="R1259" s="117"/>
      <c r="S1259" s="105"/>
      <c r="T1259" s="105"/>
      <c r="U1259" s="105"/>
      <c r="V1259" s="137"/>
      <c r="W1259" s="138"/>
      <c r="X1259" s="116"/>
      <c r="Y1259" s="117"/>
      <c r="Z1259" s="105"/>
      <c r="AA1259" s="105">
        <v>20</v>
      </c>
      <c r="AB1259" s="105"/>
      <c r="AC1259" s="105"/>
      <c r="AD1259" s="144">
        <v>44805</v>
      </c>
      <c r="AE1259" s="157" t="s">
        <v>7805</v>
      </c>
    </row>
    <row r="1260" spans="1:33" s="65" customFormat="1" ht="27" customHeight="1" x14ac:dyDescent="0.15">
      <c r="A1260" s="105">
        <v>1115200352</v>
      </c>
      <c r="B1260" s="106" t="s">
        <v>8049</v>
      </c>
      <c r="C1260" s="107" t="s">
        <v>8050</v>
      </c>
      <c r="D1260" s="108" t="s">
        <v>99</v>
      </c>
      <c r="E1260" s="108" t="s">
        <v>8051</v>
      </c>
      <c r="F1260" s="139" t="s">
        <v>8052</v>
      </c>
      <c r="G1260" s="140" t="s">
        <v>8053</v>
      </c>
      <c r="H1260" s="140" t="s">
        <v>8054</v>
      </c>
      <c r="I1260" s="160" t="s">
        <v>765</v>
      </c>
      <c r="J1260" s="142" t="s">
        <v>765</v>
      </c>
      <c r="K1260" s="142" t="s">
        <v>765</v>
      </c>
      <c r="L1260" s="142" t="s">
        <v>765</v>
      </c>
      <c r="M1260" s="142" t="s">
        <v>765</v>
      </c>
      <c r="N1260" s="143" t="s">
        <v>765</v>
      </c>
      <c r="O1260" s="138" t="s">
        <v>765</v>
      </c>
      <c r="P1260" s="105"/>
      <c r="Q1260" s="137"/>
      <c r="R1260" s="138"/>
      <c r="S1260" s="105"/>
      <c r="T1260" s="105">
        <v>20</v>
      </c>
      <c r="U1260" s="105"/>
      <c r="V1260" s="137"/>
      <c r="W1260" s="138"/>
      <c r="X1260" s="137"/>
      <c r="Y1260" s="138"/>
      <c r="Z1260" s="105"/>
      <c r="AA1260" s="105"/>
      <c r="AB1260" s="105"/>
      <c r="AC1260" s="105"/>
      <c r="AD1260" s="155">
        <v>44927</v>
      </c>
      <c r="AE1260" s="108" t="s">
        <v>8055</v>
      </c>
    </row>
    <row r="1261" spans="1:33" ht="27" customHeight="1" x14ac:dyDescent="0.15">
      <c r="A1261" s="132">
        <v>1115200360</v>
      </c>
      <c r="B1261" s="130" t="s">
        <v>8252</v>
      </c>
      <c r="C1261" s="108" t="s">
        <v>8253</v>
      </c>
      <c r="D1261" s="108" t="s">
        <v>99</v>
      </c>
      <c r="E1261" s="108" t="s">
        <v>8254</v>
      </c>
      <c r="F1261" s="139" t="s">
        <v>7129</v>
      </c>
      <c r="G1261" s="140" t="s">
        <v>5135</v>
      </c>
      <c r="H1261" s="140" t="s">
        <v>43</v>
      </c>
      <c r="I1261" s="105" t="s">
        <v>49</v>
      </c>
      <c r="J1261" s="105" t="s">
        <v>49</v>
      </c>
      <c r="K1261" s="105" t="s">
        <v>49</v>
      </c>
      <c r="L1261" s="105" t="s">
        <v>49</v>
      </c>
      <c r="M1261" s="105" t="s">
        <v>49</v>
      </c>
      <c r="N1261" s="105" t="s">
        <v>49</v>
      </c>
      <c r="O1261" s="105" t="s">
        <v>49</v>
      </c>
      <c r="P1261" s="105"/>
      <c r="Q1261" s="105"/>
      <c r="R1261" s="105"/>
      <c r="S1261" s="105"/>
      <c r="T1261" s="105">
        <v>20</v>
      </c>
      <c r="U1261" s="105"/>
      <c r="V1261" s="105"/>
      <c r="W1261" s="105"/>
      <c r="X1261" s="105"/>
      <c r="Y1261" s="105"/>
      <c r="Z1261" s="105"/>
      <c r="AA1261" s="105"/>
      <c r="AB1261" s="105"/>
      <c r="AC1261" s="105"/>
      <c r="AD1261" s="155">
        <v>45017</v>
      </c>
      <c r="AE1261" s="108" t="s">
        <v>10549</v>
      </c>
      <c r="AF1261" s="65"/>
      <c r="AG1261" s="65"/>
    </row>
    <row r="1262" spans="1:33" s="65" customFormat="1" ht="27" customHeight="1" x14ac:dyDescent="0.15">
      <c r="A1262" s="175">
        <v>1115200386</v>
      </c>
      <c r="B1262" s="204" t="s">
        <v>11669</v>
      </c>
      <c r="C1262" s="162" t="s">
        <v>9444</v>
      </c>
      <c r="D1262" s="162" t="s">
        <v>99</v>
      </c>
      <c r="E1262" s="162" t="s">
        <v>9445</v>
      </c>
      <c r="F1262" s="268" t="s">
        <v>9446</v>
      </c>
      <c r="G1262" s="203" t="s">
        <v>9447</v>
      </c>
      <c r="H1262" s="203" t="s">
        <v>9447</v>
      </c>
      <c r="I1262" s="133" t="s">
        <v>765</v>
      </c>
      <c r="J1262" s="134" t="s">
        <v>765</v>
      </c>
      <c r="K1262" s="134" t="s">
        <v>765</v>
      </c>
      <c r="L1262" s="134" t="s">
        <v>765</v>
      </c>
      <c r="M1262" s="134" t="s">
        <v>765</v>
      </c>
      <c r="N1262" s="135" t="s">
        <v>765</v>
      </c>
      <c r="O1262" s="136" t="s">
        <v>765</v>
      </c>
      <c r="P1262" s="175"/>
      <c r="Q1262" s="209"/>
      <c r="R1262" s="210"/>
      <c r="S1262" s="175"/>
      <c r="T1262" s="175"/>
      <c r="U1262" s="175"/>
      <c r="V1262" s="209"/>
      <c r="W1262" s="210"/>
      <c r="X1262" s="209"/>
      <c r="Y1262" s="210"/>
      <c r="Z1262" s="175"/>
      <c r="AA1262" s="175">
        <v>20</v>
      </c>
      <c r="AB1262" s="175"/>
      <c r="AC1262" s="175"/>
      <c r="AD1262" s="227">
        <v>45505</v>
      </c>
      <c r="AE1262" s="162" t="s">
        <v>9448</v>
      </c>
    </row>
    <row r="1263" spans="1:33" s="65" customFormat="1" ht="27" customHeight="1" x14ac:dyDescent="0.15">
      <c r="A1263" s="132">
        <v>1115200444</v>
      </c>
      <c r="B1263" s="130" t="s">
        <v>12036</v>
      </c>
      <c r="C1263" s="108" t="s">
        <v>10872</v>
      </c>
      <c r="D1263" s="108" t="s">
        <v>99</v>
      </c>
      <c r="E1263" s="108" t="s">
        <v>10873</v>
      </c>
      <c r="F1263" s="131" t="s">
        <v>2349</v>
      </c>
      <c r="G1263" s="132" t="s">
        <v>11438</v>
      </c>
      <c r="H1263" s="132" t="s">
        <v>11439</v>
      </c>
      <c r="I1263" s="133" t="s">
        <v>765</v>
      </c>
      <c r="J1263" s="134" t="s">
        <v>765</v>
      </c>
      <c r="K1263" s="134" t="s">
        <v>765</v>
      </c>
      <c r="L1263" s="134" t="s">
        <v>765</v>
      </c>
      <c r="M1263" s="134" t="s">
        <v>765</v>
      </c>
      <c r="N1263" s="135" t="s">
        <v>765</v>
      </c>
      <c r="O1263" s="136" t="s">
        <v>765</v>
      </c>
      <c r="P1263" s="105"/>
      <c r="Q1263" s="152"/>
      <c r="R1263" s="138"/>
      <c r="S1263" s="132"/>
      <c r="T1263" s="105"/>
      <c r="U1263" s="132"/>
      <c r="V1263" s="116"/>
      <c r="W1263" s="117"/>
      <c r="X1263" s="152"/>
      <c r="Y1263" s="136"/>
      <c r="Z1263" s="132"/>
      <c r="AA1263" s="132">
        <v>20</v>
      </c>
      <c r="AB1263" s="132"/>
      <c r="AC1263" s="132"/>
      <c r="AD1263" s="118">
        <v>45962</v>
      </c>
      <c r="AE1263" s="108" t="s">
        <v>10874</v>
      </c>
    </row>
    <row r="1264" spans="1:33" ht="27" customHeight="1" x14ac:dyDescent="0.15">
      <c r="A1264" s="76">
        <v>1115300285</v>
      </c>
      <c r="B1264" s="147" t="s">
        <v>8923</v>
      </c>
      <c r="C1264" s="147" t="s">
        <v>8924</v>
      </c>
      <c r="D1264" s="166" t="s">
        <v>544</v>
      </c>
      <c r="E1264" s="166" t="s">
        <v>8925</v>
      </c>
      <c r="F1264" s="328" t="s">
        <v>2764</v>
      </c>
      <c r="G1264" s="147" t="s">
        <v>8926</v>
      </c>
      <c r="H1264" s="147" t="s">
        <v>8927</v>
      </c>
      <c r="I1264" s="133"/>
      <c r="J1264" s="134"/>
      <c r="K1264" s="134"/>
      <c r="L1264" s="134"/>
      <c r="M1264" s="134" t="s">
        <v>765</v>
      </c>
      <c r="N1264" s="135" t="s">
        <v>49</v>
      </c>
      <c r="O1264" s="136" t="s">
        <v>49</v>
      </c>
      <c r="P1264" s="132"/>
      <c r="Q1264" s="152"/>
      <c r="R1264" s="136"/>
      <c r="S1264" s="132"/>
      <c r="T1264" s="132"/>
      <c r="U1264" s="132"/>
      <c r="V1264" s="152">
        <v>20</v>
      </c>
      <c r="W1264" s="136"/>
      <c r="X1264" s="152"/>
      <c r="Y1264" s="136"/>
      <c r="Z1264" s="132"/>
      <c r="AA1264" s="105"/>
      <c r="AB1264" s="105"/>
      <c r="AC1264" s="105"/>
      <c r="AD1264" s="155">
        <v>45292</v>
      </c>
      <c r="AE1264" s="108" t="s">
        <v>8928</v>
      </c>
    </row>
    <row r="1265" spans="1:207" ht="27" customHeight="1" x14ac:dyDescent="0.15">
      <c r="A1265" s="105">
        <v>1115300061</v>
      </c>
      <c r="B1265" s="130" t="s">
        <v>1839</v>
      </c>
      <c r="C1265" s="108" t="s">
        <v>1838</v>
      </c>
      <c r="D1265" s="108" t="s">
        <v>544</v>
      </c>
      <c r="E1265" s="108" t="s">
        <v>1959</v>
      </c>
      <c r="F1265" s="131" t="s">
        <v>1960</v>
      </c>
      <c r="G1265" s="132" t="s">
        <v>1961</v>
      </c>
      <c r="H1265" s="132" t="s">
        <v>1840</v>
      </c>
      <c r="I1265" s="133"/>
      <c r="J1265" s="134"/>
      <c r="K1265" s="134"/>
      <c r="L1265" s="134"/>
      <c r="M1265" s="134" t="s">
        <v>1962</v>
      </c>
      <c r="N1265" s="135"/>
      <c r="O1265" s="136"/>
      <c r="P1265" s="105"/>
      <c r="Q1265" s="137"/>
      <c r="R1265" s="138"/>
      <c r="S1265" s="132"/>
      <c r="T1265" s="105">
        <v>25</v>
      </c>
      <c r="U1265" s="132"/>
      <c r="V1265" s="152"/>
      <c r="W1265" s="136"/>
      <c r="X1265" s="152"/>
      <c r="Y1265" s="136"/>
      <c r="Z1265" s="132"/>
      <c r="AA1265" s="105">
        <v>25</v>
      </c>
      <c r="AB1265" s="105"/>
      <c r="AC1265" s="105"/>
      <c r="AD1265" s="155">
        <v>41000</v>
      </c>
      <c r="AE1265" s="108" t="s">
        <v>1963</v>
      </c>
    </row>
    <row r="1266" spans="1:207" ht="27" customHeight="1" x14ac:dyDescent="0.15">
      <c r="A1266" s="105">
        <v>1115300103</v>
      </c>
      <c r="B1266" s="130" t="s">
        <v>4549</v>
      </c>
      <c r="C1266" s="108" t="s">
        <v>566</v>
      </c>
      <c r="D1266" s="108" t="s">
        <v>544</v>
      </c>
      <c r="E1266" s="108" t="s">
        <v>210</v>
      </c>
      <c r="F1266" s="131">
        <v>3640034</v>
      </c>
      <c r="G1266" s="132" t="s">
        <v>742</v>
      </c>
      <c r="H1266" s="132" t="s">
        <v>745</v>
      </c>
      <c r="I1266" s="133" t="s">
        <v>49</v>
      </c>
      <c r="J1266" s="134" t="s">
        <v>49</v>
      </c>
      <c r="K1266" s="134" t="s">
        <v>49</v>
      </c>
      <c r="L1266" s="134" t="s">
        <v>49</v>
      </c>
      <c r="M1266" s="134" t="s">
        <v>49</v>
      </c>
      <c r="N1266" s="135" t="s">
        <v>49</v>
      </c>
      <c r="O1266" s="136"/>
      <c r="P1266" s="105"/>
      <c r="Q1266" s="137"/>
      <c r="R1266" s="138"/>
      <c r="S1266" s="105"/>
      <c r="T1266" s="105">
        <v>20</v>
      </c>
      <c r="U1266" s="105"/>
      <c r="V1266" s="137"/>
      <c r="W1266" s="138"/>
      <c r="X1266" s="137"/>
      <c r="Y1266" s="138"/>
      <c r="Z1266" s="105"/>
      <c r="AA1266" s="105"/>
      <c r="AB1266" s="105"/>
      <c r="AC1266" s="105"/>
      <c r="AD1266" s="118">
        <v>39356</v>
      </c>
      <c r="AE1266" s="108" t="s">
        <v>20</v>
      </c>
    </row>
    <row r="1267" spans="1:207" ht="27" customHeight="1" x14ac:dyDescent="0.15">
      <c r="A1267" s="105">
        <v>1115300129</v>
      </c>
      <c r="B1267" s="106" t="s">
        <v>416</v>
      </c>
      <c r="C1267" s="107" t="s">
        <v>458</v>
      </c>
      <c r="D1267" s="108" t="s">
        <v>544</v>
      </c>
      <c r="E1267" s="108" t="s">
        <v>4529</v>
      </c>
      <c r="F1267" s="139">
        <v>3640021</v>
      </c>
      <c r="G1267" s="140" t="s">
        <v>56</v>
      </c>
      <c r="H1267" s="140" t="s">
        <v>56</v>
      </c>
      <c r="I1267" s="141" t="s">
        <v>237</v>
      </c>
      <c r="J1267" s="142" t="s">
        <v>237</v>
      </c>
      <c r="K1267" s="142" t="s">
        <v>237</v>
      </c>
      <c r="L1267" s="142" t="s">
        <v>237</v>
      </c>
      <c r="M1267" s="142" t="s">
        <v>237</v>
      </c>
      <c r="N1267" s="143"/>
      <c r="O1267" s="138"/>
      <c r="P1267" s="105"/>
      <c r="Q1267" s="137"/>
      <c r="R1267" s="138"/>
      <c r="S1267" s="105"/>
      <c r="T1267" s="105">
        <v>50</v>
      </c>
      <c r="U1267" s="105"/>
      <c r="V1267" s="116"/>
      <c r="W1267" s="117"/>
      <c r="X1267" s="116"/>
      <c r="Y1267" s="138"/>
      <c r="Z1267" s="105"/>
      <c r="AA1267" s="105"/>
      <c r="AB1267" s="105"/>
      <c r="AC1267" s="105"/>
      <c r="AD1267" s="144">
        <v>39904</v>
      </c>
      <c r="AE1267" s="108" t="s">
        <v>459</v>
      </c>
    </row>
    <row r="1268" spans="1:207" s="65" customFormat="1" ht="27" customHeight="1" x14ac:dyDescent="0.15">
      <c r="A1268" s="132">
        <v>1115300178</v>
      </c>
      <c r="B1268" s="130" t="s">
        <v>2719</v>
      </c>
      <c r="C1268" s="108" t="s">
        <v>2762</v>
      </c>
      <c r="D1268" s="108" t="s">
        <v>544</v>
      </c>
      <c r="E1268" s="108" t="s">
        <v>2763</v>
      </c>
      <c r="F1268" s="139" t="s">
        <v>2764</v>
      </c>
      <c r="G1268" s="140" t="s">
        <v>2765</v>
      </c>
      <c r="H1268" s="140" t="s">
        <v>2766</v>
      </c>
      <c r="I1268" s="141"/>
      <c r="J1268" s="142"/>
      <c r="K1268" s="142"/>
      <c r="L1268" s="142"/>
      <c r="M1268" s="142"/>
      <c r="N1268" s="143" t="s">
        <v>2767</v>
      </c>
      <c r="O1268" s="138"/>
      <c r="P1268" s="105"/>
      <c r="Q1268" s="137"/>
      <c r="R1268" s="138"/>
      <c r="S1268" s="105"/>
      <c r="T1268" s="105"/>
      <c r="U1268" s="105"/>
      <c r="V1268" s="116"/>
      <c r="W1268" s="117"/>
      <c r="X1268" s="137">
        <v>20</v>
      </c>
      <c r="Y1268" s="138"/>
      <c r="Z1268" s="105"/>
      <c r="AA1268" s="105"/>
      <c r="AB1268" s="105"/>
      <c r="AC1268" s="105"/>
      <c r="AD1268" s="144">
        <v>41913</v>
      </c>
      <c r="AE1268" s="108" t="s">
        <v>2720</v>
      </c>
    </row>
    <row r="1269" spans="1:207" ht="27" customHeight="1" x14ac:dyDescent="0.15">
      <c r="A1269" s="132">
        <v>1115300178</v>
      </c>
      <c r="B1269" s="130" t="s">
        <v>2719</v>
      </c>
      <c r="C1269" s="108" t="s">
        <v>2762</v>
      </c>
      <c r="D1269" s="108" t="s">
        <v>544</v>
      </c>
      <c r="E1269" s="108" t="s">
        <v>4759</v>
      </c>
      <c r="F1269" s="139" t="s">
        <v>4760</v>
      </c>
      <c r="G1269" s="140" t="s">
        <v>4761</v>
      </c>
      <c r="H1269" s="140" t="s">
        <v>4762</v>
      </c>
      <c r="I1269" s="141"/>
      <c r="J1269" s="142"/>
      <c r="K1269" s="142"/>
      <c r="L1269" s="142"/>
      <c r="M1269" s="142" t="s">
        <v>4754</v>
      </c>
      <c r="N1269" s="143" t="s">
        <v>4754</v>
      </c>
      <c r="O1269" s="138"/>
      <c r="P1269" s="105"/>
      <c r="Q1269" s="137"/>
      <c r="R1269" s="138"/>
      <c r="S1269" s="105"/>
      <c r="T1269" s="105"/>
      <c r="U1269" s="105"/>
      <c r="V1269" s="116"/>
      <c r="W1269" s="117"/>
      <c r="X1269" s="137"/>
      <c r="Y1269" s="138"/>
      <c r="Z1269" s="105"/>
      <c r="AA1269" s="105"/>
      <c r="AB1269" s="105" t="s">
        <v>4754</v>
      </c>
      <c r="AC1269" s="105"/>
      <c r="AD1269" s="144">
        <v>43374</v>
      </c>
      <c r="AE1269" s="108" t="s">
        <v>2720</v>
      </c>
    </row>
    <row r="1270" spans="1:207" s="561" customFormat="1" ht="27" customHeight="1" x14ac:dyDescent="0.15">
      <c r="A1270" s="547">
        <v>1115300178</v>
      </c>
      <c r="B1270" s="544" t="s">
        <v>2719</v>
      </c>
      <c r="C1270" s="545" t="s">
        <v>2762</v>
      </c>
      <c r="D1270" s="545" t="s">
        <v>544</v>
      </c>
      <c r="E1270" s="545" t="s">
        <v>2763</v>
      </c>
      <c r="F1270" s="627" t="s">
        <v>2764</v>
      </c>
      <c r="G1270" s="628" t="s">
        <v>2765</v>
      </c>
      <c r="H1270" s="628" t="s">
        <v>2766</v>
      </c>
      <c r="I1270" s="629"/>
      <c r="J1270" s="630"/>
      <c r="K1270" s="630"/>
      <c r="L1270" s="630"/>
      <c r="M1270" s="630" t="s">
        <v>49</v>
      </c>
      <c r="N1270" s="631" t="s">
        <v>49</v>
      </c>
      <c r="O1270" s="587"/>
      <c r="P1270" s="569"/>
      <c r="Q1270" s="582"/>
      <c r="R1270" s="587"/>
      <c r="S1270" s="569"/>
      <c r="T1270" s="569"/>
      <c r="U1270" s="569"/>
      <c r="V1270" s="622"/>
      <c r="W1270" s="623"/>
      <c r="X1270" s="582"/>
      <c r="Y1270" s="587"/>
      <c r="Z1270" s="569"/>
      <c r="AA1270" s="569"/>
      <c r="AB1270" s="569"/>
      <c r="AC1270" s="569" t="s">
        <v>49</v>
      </c>
      <c r="AD1270" s="632">
        <v>46235</v>
      </c>
      <c r="AE1270" s="545" t="s">
        <v>2720</v>
      </c>
    </row>
    <row r="1271" spans="1:207" s="218" customFormat="1" ht="26.1" customHeight="1" x14ac:dyDescent="0.15">
      <c r="A1271" s="105">
        <v>1115300251</v>
      </c>
      <c r="B1271" s="130" t="s">
        <v>12270</v>
      </c>
      <c r="C1271" s="107" t="s">
        <v>4542</v>
      </c>
      <c r="D1271" s="108" t="s">
        <v>4543</v>
      </c>
      <c r="E1271" s="108" t="s">
        <v>4544</v>
      </c>
      <c r="F1271" s="139" t="s">
        <v>4545</v>
      </c>
      <c r="G1271" s="140" t="s">
        <v>4546</v>
      </c>
      <c r="H1271" s="140" t="s">
        <v>4578</v>
      </c>
      <c r="I1271" s="141" t="s">
        <v>49</v>
      </c>
      <c r="J1271" s="142"/>
      <c r="K1271" s="142"/>
      <c r="L1271" s="142"/>
      <c r="M1271" s="142" t="s">
        <v>49</v>
      </c>
      <c r="N1271" s="143" t="s">
        <v>49</v>
      </c>
      <c r="O1271" s="138"/>
      <c r="P1271" s="105"/>
      <c r="Q1271" s="137"/>
      <c r="R1271" s="138"/>
      <c r="S1271" s="105"/>
      <c r="T1271" s="105">
        <v>10</v>
      </c>
      <c r="U1271" s="105"/>
      <c r="V1271" s="137"/>
      <c r="W1271" s="138"/>
      <c r="X1271" s="137"/>
      <c r="Y1271" s="138"/>
      <c r="Z1271" s="105"/>
      <c r="AA1271" s="105">
        <v>10</v>
      </c>
      <c r="AB1271" s="105"/>
      <c r="AC1271" s="105"/>
      <c r="AD1271" s="144">
        <v>43282</v>
      </c>
      <c r="AE1271" s="108" t="s">
        <v>4547</v>
      </c>
      <c r="AF1271" s="67"/>
      <c r="AG1271" s="67"/>
      <c r="AH1271" s="67"/>
      <c r="AI1271" s="67"/>
      <c r="AJ1271" s="67"/>
      <c r="AK1271" s="67"/>
      <c r="AL1271" s="67"/>
      <c r="AM1271" s="67"/>
      <c r="AN1271" s="67"/>
      <c r="AO1271" s="105"/>
      <c r="AP1271" s="130"/>
      <c r="AQ1271" s="108"/>
      <c r="AR1271" s="108"/>
      <c r="AS1271" s="108"/>
      <c r="AT1271" s="131"/>
      <c r="AU1271" s="132"/>
      <c r="AV1271" s="132"/>
      <c r="AW1271" s="133"/>
      <c r="AX1271" s="134"/>
      <c r="AY1271" s="134"/>
      <c r="AZ1271" s="134"/>
      <c r="BA1271" s="134"/>
      <c r="BB1271" s="135"/>
      <c r="BC1271" s="136"/>
      <c r="BD1271" s="105"/>
      <c r="BE1271" s="116"/>
      <c r="BF1271" s="138"/>
      <c r="BG1271" s="105"/>
      <c r="BH1271" s="105"/>
      <c r="BI1271" s="105"/>
      <c r="BJ1271" s="116"/>
      <c r="BK1271" s="138"/>
      <c r="BL1271" s="116"/>
      <c r="BM1271" s="138"/>
      <c r="BN1271" s="105"/>
      <c r="BO1271" s="105"/>
      <c r="BP1271" s="105"/>
      <c r="BQ1271" s="118"/>
      <c r="BR1271" s="108"/>
      <c r="BS1271" s="104"/>
      <c r="BT1271" s="104"/>
      <c r="BU1271" s="119"/>
      <c r="BV1271" s="119"/>
      <c r="BW1271" s="120"/>
      <c r="BX1271" s="121"/>
      <c r="BY1271" s="231"/>
      <c r="BZ1271" s="123"/>
      <c r="CA1271" s="124"/>
      <c r="CB1271" s="125"/>
      <c r="CC1271" s="72"/>
      <c r="CD1271" s="126"/>
      <c r="CE1271" s="127"/>
      <c r="CF1271" s="127"/>
      <c r="CG1271" s="123"/>
      <c r="CH1271" s="124"/>
      <c r="CI1271" s="74"/>
      <c r="CJ1271" s="72"/>
      <c r="CK1271" s="72"/>
      <c r="CL1271" s="73"/>
      <c r="CM1271" s="92"/>
      <c r="CN1271" s="72"/>
      <c r="CO1271" s="76"/>
      <c r="CP1271" s="76"/>
      <c r="CQ1271" s="70"/>
      <c r="CR1271" s="92"/>
      <c r="CS1271" s="103"/>
      <c r="CT1271" s="75"/>
      <c r="CU1271" s="76"/>
      <c r="CV1271" s="76"/>
      <c r="CW1271" s="76"/>
      <c r="CX1271" s="76"/>
      <c r="CY1271" s="76"/>
      <c r="CZ1271" s="76"/>
      <c r="DA1271" s="72"/>
      <c r="DB1271" s="72"/>
      <c r="DC1271" s="73"/>
      <c r="DD1271" s="128"/>
      <c r="DE1271" s="91"/>
      <c r="DF1271" s="129"/>
      <c r="DG1271" s="65"/>
      <c r="DH1271" s="65"/>
      <c r="DI1271" s="65"/>
      <c r="DJ1271" s="65"/>
      <c r="DK1271" s="65"/>
      <c r="DL1271" s="82"/>
      <c r="DM1271" s="67"/>
      <c r="DN1271" s="65"/>
      <c r="DO1271" s="67"/>
      <c r="DP1271" s="67"/>
      <c r="DQ1271" s="67"/>
      <c r="DR1271" s="67"/>
      <c r="DS1271" s="67"/>
      <c r="DT1271" s="67"/>
      <c r="DU1271" s="67"/>
      <c r="DV1271" s="67"/>
      <c r="DW1271" s="67"/>
      <c r="DX1271" s="67"/>
      <c r="DY1271" s="67"/>
      <c r="DZ1271" s="105"/>
      <c r="EA1271" s="130"/>
      <c r="EB1271" s="108"/>
      <c r="EC1271" s="108"/>
      <c r="ED1271" s="108"/>
      <c r="EE1271" s="131"/>
      <c r="EF1271" s="132"/>
      <c r="EG1271" s="132"/>
      <c r="EH1271" s="133"/>
      <c r="EI1271" s="134"/>
      <c r="EJ1271" s="134"/>
      <c r="EK1271" s="134"/>
      <c r="EL1271" s="134"/>
      <c r="EM1271" s="135"/>
      <c r="EN1271" s="136"/>
      <c r="EO1271" s="105"/>
      <c r="EP1271" s="116"/>
      <c r="EQ1271" s="138"/>
      <c r="ER1271" s="105"/>
      <c r="ES1271" s="105"/>
      <c r="ET1271" s="105"/>
      <c r="EU1271" s="116"/>
      <c r="EV1271" s="138"/>
      <c r="EW1271" s="116"/>
      <c r="EX1271" s="138"/>
      <c r="EY1271" s="105"/>
      <c r="EZ1271" s="105"/>
      <c r="FA1271" s="105"/>
      <c r="FB1271" s="118"/>
      <c r="FC1271" s="108"/>
      <c r="FD1271" s="104"/>
      <c r="FE1271" s="104"/>
      <c r="FF1271" s="119"/>
      <c r="FG1271" s="119"/>
      <c r="FH1271" s="120"/>
      <c r="FI1271" s="121"/>
      <c r="FJ1271" s="231"/>
      <c r="FK1271" s="123"/>
      <c r="FL1271" s="124"/>
      <c r="FM1271" s="125"/>
      <c r="FN1271" s="72"/>
      <c r="FO1271" s="126"/>
      <c r="FP1271" s="127"/>
      <c r="FQ1271" s="127"/>
      <c r="FR1271" s="123"/>
      <c r="FS1271" s="124"/>
      <c r="FT1271" s="74"/>
      <c r="FU1271" s="72"/>
      <c r="FV1271" s="72"/>
      <c r="FW1271" s="73"/>
      <c r="FX1271" s="92"/>
      <c r="FY1271" s="72"/>
      <c r="FZ1271" s="76"/>
      <c r="GA1271" s="76"/>
      <c r="GB1271" s="70"/>
      <c r="GC1271" s="92"/>
      <c r="GD1271" s="103"/>
      <c r="GE1271" s="75"/>
      <c r="GF1271" s="76"/>
      <c r="GG1271" s="76"/>
      <c r="GH1271" s="76"/>
      <c r="GI1271" s="76"/>
      <c r="GJ1271" s="76"/>
      <c r="GK1271" s="76"/>
      <c r="GL1271" s="72"/>
      <c r="GM1271" s="72"/>
      <c r="GN1271" s="73"/>
      <c r="GO1271" s="128"/>
      <c r="GP1271" s="91"/>
      <c r="GQ1271" s="129"/>
      <c r="GR1271" s="65"/>
      <c r="GS1271" s="65"/>
      <c r="GT1271" s="65"/>
      <c r="GU1271" s="65"/>
      <c r="GV1271" s="65"/>
      <c r="GW1271" s="82"/>
      <c r="GX1271" s="67"/>
      <c r="GY1271" s="65"/>
    </row>
    <row r="1272" spans="1:207" s="65" customFormat="1" ht="27" customHeight="1" x14ac:dyDescent="0.15">
      <c r="A1272" s="105">
        <v>1115300269</v>
      </c>
      <c r="B1272" s="213" t="s">
        <v>770</v>
      </c>
      <c r="C1272" s="108" t="s">
        <v>7357</v>
      </c>
      <c r="D1272" s="108" t="s">
        <v>544</v>
      </c>
      <c r="E1272" s="108" t="s">
        <v>7358</v>
      </c>
      <c r="F1272" s="131">
        <v>3640013</v>
      </c>
      <c r="G1272" s="152" t="s">
        <v>7359</v>
      </c>
      <c r="H1272" s="132" t="s">
        <v>7360</v>
      </c>
      <c r="I1272" s="183"/>
      <c r="J1272" s="134"/>
      <c r="K1272" s="134"/>
      <c r="L1272" s="134"/>
      <c r="M1272" s="134" t="s">
        <v>49</v>
      </c>
      <c r="N1272" s="135"/>
      <c r="O1272" s="136"/>
      <c r="P1272" s="105">
        <v>30</v>
      </c>
      <c r="Q1272" s="152" t="s">
        <v>456</v>
      </c>
      <c r="R1272" s="138">
        <v>2</v>
      </c>
      <c r="S1272" s="105"/>
      <c r="T1272" s="105">
        <v>44</v>
      </c>
      <c r="U1272" s="105"/>
      <c r="V1272" s="137"/>
      <c r="W1272" s="138"/>
      <c r="X1272" s="137"/>
      <c r="Y1272" s="138"/>
      <c r="Z1272" s="105"/>
      <c r="AA1272" s="105">
        <v>16</v>
      </c>
      <c r="AB1272" s="105"/>
      <c r="AC1272" s="105"/>
      <c r="AD1272" s="118">
        <v>44652</v>
      </c>
      <c r="AE1272" s="108" t="s">
        <v>7361</v>
      </c>
    </row>
    <row r="1273" spans="1:207" ht="27" customHeight="1" x14ac:dyDescent="0.15">
      <c r="A1273" s="132">
        <v>1115300301</v>
      </c>
      <c r="B1273" s="108" t="s">
        <v>11649</v>
      </c>
      <c r="C1273" s="108" t="s">
        <v>10359</v>
      </c>
      <c r="D1273" s="108" t="s">
        <v>544</v>
      </c>
      <c r="E1273" s="346" t="s">
        <v>10360</v>
      </c>
      <c r="F1273" s="132" t="s">
        <v>10361</v>
      </c>
      <c r="G1273" s="132" t="s">
        <v>10362</v>
      </c>
      <c r="H1273" s="132" t="s">
        <v>10362</v>
      </c>
      <c r="I1273" s="134"/>
      <c r="J1273" s="134"/>
      <c r="K1273" s="134"/>
      <c r="L1273" s="134"/>
      <c r="M1273" s="135" t="s">
        <v>765</v>
      </c>
      <c r="N1273" s="136" t="s">
        <v>765</v>
      </c>
      <c r="O1273" s="105"/>
      <c r="P1273" s="116"/>
      <c r="Q1273" s="138"/>
      <c r="R1273" s="105"/>
      <c r="S1273" s="105"/>
      <c r="T1273" s="105"/>
      <c r="U1273" s="116"/>
      <c r="V1273" s="138"/>
      <c r="W1273" s="116"/>
      <c r="X1273" s="138"/>
      <c r="Y1273" s="105"/>
      <c r="Z1273" s="105"/>
      <c r="AA1273" s="105">
        <v>20</v>
      </c>
      <c r="AB1273" s="118"/>
      <c r="AC1273" s="118"/>
      <c r="AD1273" s="132" t="s">
        <v>10363</v>
      </c>
      <c r="AE1273" s="80" t="s">
        <v>10364</v>
      </c>
    </row>
    <row r="1274" spans="1:207" s="65" customFormat="1" ht="27" customHeight="1" x14ac:dyDescent="0.15">
      <c r="A1274" s="105">
        <v>1115300327</v>
      </c>
      <c r="B1274" s="106" t="s">
        <v>11805</v>
      </c>
      <c r="C1274" s="106" t="s">
        <v>11470</v>
      </c>
      <c r="D1274" s="108" t="s">
        <v>11471</v>
      </c>
      <c r="E1274" s="108" t="s">
        <v>11472</v>
      </c>
      <c r="F1274" s="139" t="s">
        <v>11473</v>
      </c>
      <c r="G1274" s="140" t="s">
        <v>11474</v>
      </c>
      <c r="H1274" s="140"/>
      <c r="I1274" s="141"/>
      <c r="J1274" s="142"/>
      <c r="K1274" s="142" t="s">
        <v>11469</v>
      </c>
      <c r="L1274" s="142" t="s">
        <v>11469</v>
      </c>
      <c r="M1274" s="142" t="s">
        <v>10951</v>
      </c>
      <c r="N1274" s="143" t="s">
        <v>10951</v>
      </c>
      <c r="O1274" s="138" t="s">
        <v>11469</v>
      </c>
      <c r="P1274" s="105"/>
      <c r="Q1274" s="137"/>
      <c r="R1274" s="138"/>
      <c r="S1274" s="105"/>
      <c r="T1274" s="105"/>
      <c r="U1274" s="105"/>
      <c r="V1274" s="137"/>
      <c r="W1274" s="117"/>
      <c r="X1274" s="137"/>
      <c r="Y1274" s="138"/>
      <c r="Z1274" s="105"/>
      <c r="AA1274" s="105">
        <v>20</v>
      </c>
      <c r="AB1274" s="105"/>
      <c r="AC1274" s="105"/>
      <c r="AD1274" s="144">
        <v>46143</v>
      </c>
      <c r="AE1274" s="108" t="s">
        <v>11475</v>
      </c>
      <c r="AU1274" s="229"/>
      <c r="AV1274" s="229"/>
      <c r="AW1274" s="229"/>
      <c r="AX1274" s="229"/>
      <c r="AY1274" s="229"/>
      <c r="AZ1274" s="229"/>
      <c r="BA1274" s="229"/>
      <c r="BB1274" s="229"/>
      <c r="BC1274" s="229"/>
      <c r="BD1274" s="229"/>
      <c r="BE1274" s="229"/>
      <c r="BF1274" s="229"/>
      <c r="BG1274" s="229"/>
      <c r="BH1274" s="229"/>
      <c r="BI1274" s="229"/>
      <c r="BJ1274" s="229"/>
      <c r="BK1274" s="229"/>
      <c r="BL1274" s="229"/>
      <c r="BM1274" s="229"/>
      <c r="BN1274" s="229"/>
      <c r="BO1274" s="229"/>
      <c r="BP1274" s="229"/>
      <c r="BQ1274" s="229"/>
      <c r="BR1274" s="229"/>
      <c r="BS1274" s="229"/>
      <c r="BT1274" s="229"/>
      <c r="BU1274" s="229"/>
      <c r="BV1274" s="229"/>
      <c r="BW1274" s="229"/>
      <c r="BX1274" s="229"/>
      <c r="BY1274" s="229"/>
      <c r="BZ1274" s="229"/>
      <c r="CA1274" s="229"/>
      <c r="CB1274" s="229"/>
      <c r="CC1274" s="229"/>
      <c r="CD1274" s="229"/>
      <c r="CE1274" s="229"/>
      <c r="CF1274" s="229"/>
      <c r="CG1274" s="229"/>
      <c r="CH1274" s="229"/>
      <c r="CI1274" s="229"/>
      <c r="CJ1274" s="229"/>
      <c r="CK1274" s="229"/>
      <c r="CL1274" s="229"/>
      <c r="CM1274" s="229"/>
      <c r="CN1274" s="229"/>
      <c r="CO1274" s="229"/>
      <c r="CP1274" s="229"/>
      <c r="CQ1274" s="229"/>
      <c r="CR1274" s="229"/>
      <c r="CS1274" s="229"/>
      <c r="CT1274" s="229"/>
      <c r="CU1274" s="229"/>
      <c r="CV1274" s="229"/>
      <c r="CW1274" s="229"/>
      <c r="CX1274" s="229"/>
      <c r="CY1274" s="229"/>
      <c r="CZ1274" s="229"/>
      <c r="DA1274" s="229"/>
      <c r="DB1274" s="229"/>
      <c r="DC1274" s="229"/>
      <c r="DD1274" s="229"/>
      <c r="DE1274" s="229"/>
      <c r="DF1274" s="229"/>
      <c r="DG1274" s="229"/>
      <c r="DH1274" s="229"/>
      <c r="DI1274" s="229"/>
      <c r="DJ1274" s="229"/>
      <c r="DK1274" s="229"/>
      <c r="DL1274" s="229"/>
      <c r="DM1274" s="229"/>
      <c r="DN1274" s="229"/>
      <c r="DO1274" s="229"/>
      <c r="DP1274" s="229"/>
      <c r="DQ1274" s="229"/>
      <c r="DR1274" s="229"/>
      <c r="DS1274" s="229"/>
      <c r="DT1274" s="229"/>
      <c r="DU1274" s="229"/>
      <c r="DV1274" s="229"/>
      <c r="DW1274" s="229"/>
      <c r="DX1274" s="229"/>
      <c r="DY1274" s="229"/>
      <c r="DZ1274" s="229"/>
      <c r="EA1274" s="229"/>
      <c r="EB1274" s="229"/>
      <c r="EC1274" s="229"/>
      <c r="ED1274" s="229"/>
      <c r="EE1274" s="229"/>
      <c r="EF1274" s="229"/>
      <c r="EG1274" s="229"/>
      <c r="EH1274" s="229"/>
      <c r="EI1274" s="229"/>
      <c r="EJ1274" s="229"/>
      <c r="EK1274" s="229"/>
      <c r="EL1274" s="229"/>
      <c r="EM1274" s="229"/>
      <c r="EN1274" s="229"/>
      <c r="EO1274" s="229"/>
      <c r="EP1274" s="229"/>
      <c r="EQ1274" s="229"/>
      <c r="ER1274" s="229"/>
      <c r="ES1274" s="229"/>
      <c r="ET1274" s="229"/>
      <c r="EU1274" s="229"/>
      <c r="EV1274" s="229"/>
      <c r="EW1274" s="229"/>
      <c r="EX1274" s="229"/>
      <c r="EY1274" s="229"/>
      <c r="EZ1274" s="229"/>
      <c r="FA1274" s="229"/>
    </row>
    <row r="1275" spans="1:207" s="65" customFormat="1" ht="27" customHeight="1" x14ac:dyDescent="0.15">
      <c r="A1275" s="105">
        <v>1115700054</v>
      </c>
      <c r="B1275" s="130" t="s">
        <v>757</v>
      </c>
      <c r="C1275" s="108" t="s">
        <v>533</v>
      </c>
      <c r="D1275" s="108" t="s">
        <v>100</v>
      </c>
      <c r="E1275" s="108" t="s">
        <v>212</v>
      </c>
      <c r="F1275" s="131">
        <v>3490101</v>
      </c>
      <c r="G1275" s="132" t="s">
        <v>747</v>
      </c>
      <c r="H1275" s="132" t="s">
        <v>748</v>
      </c>
      <c r="I1275" s="133" t="s">
        <v>63</v>
      </c>
      <c r="J1275" s="134" t="s">
        <v>63</v>
      </c>
      <c r="K1275" s="134" t="s">
        <v>63</v>
      </c>
      <c r="L1275" s="134" t="s">
        <v>63</v>
      </c>
      <c r="M1275" s="134"/>
      <c r="N1275" s="135"/>
      <c r="O1275" s="136"/>
      <c r="P1275" s="105">
        <v>30</v>
      </c>
      <c r="Q1275" s="152" t="s">
        <v>2610</v>
      </c>
      <c r="R1275" s="138">
        <v>2</v>
      </c>
      <c r="S1275" s="105"/>
      <c r="T1275" s="105">
        <v>38</v>
      </c>
      <c r="U1275" s="105"/>
      <c r="V1275" s="137"/>
      <c r="W1275" s="138"/>
      <c r="X1275" s="137"/>
      <c r="Y1275" s="138"/>
      <c r="Z1275" s="105"/>
      <c r="AA1275" s="105"/>
      <c r="AB1275" s="105"/>
      <c r="AC1275" s="105"/>
      <c r="AD1275" s="118">
        <v>39173</v>
      </c>
      <c r="AE1275" s="108" t="s">
        <v>2670</v>
      </c>
    </row>
    <row r="1276" spans="1:207" s="65" customFormat="1" ht="27" customHeight="1" x14ac:dyDescent="0.15">
      <c r="A1276" s="105">
        <v>1115700070</v>
      </c>
      <c r="B1276" s="130" t="s">
        <v>21</v>
      </c>
      <c r="C1276" s="108" t="s">
        <v>374</v>
      </c>
      <c r="D1276" s="108" t="s">
        <v>100</v>
      </c>
      <c r="E1276" s="108" t="s">
        <v>213</v>
      </c>
      <c r="F1276" s="131">
        <v>3490101</v>
      </c>
      <c r="G1276" s="132" t="s">
        <v>749</v>
      </c>
      <c r="H1276" s="132" t="s">
        <v>750</v>
      </c>
      <c r="I1276" s="133" t="s">
        <v>765</v>
      </c>
      <c r="J1276" s="134"/>
      <c r="K1276" s="134"/>
      <c r="L1276" s="134"/>
      <c r="M1276" s="134"/>
      <c r="N1276" s="135"/>
      <c r="O1276" s="136"/>
      <c r="P1276" s="105"/>
      <c r="Q1276" s="152" t="s">
        <v>2610</v>
      </c>
      <c r="R1276" s="138"/>
      <c r="S1276" s="105">
        <v>80</v>
      </c>
      <c r="T1276" s="105"/>
      <c r="U1276" s="105"/>
      <c r="V1276" s="137"/>
      <c r="W1276" s="138"/>
      <c r="X1276" s="137"/>
      <c r="Y1276" s="138"/>
      <c r="Z1276" s="105"/>
      <c r="AA1276" s="105"/>
      <c r="AB1276" s="105"/>
      <c r="AC1276" s="105"/>
      <c r="AD1276" s="118">
        <v>38991</v>
      </c>
      <c r="AE1276" s="108" t="s">
        <v>11415</v>
      </c>
    </row>
    <row r="1277" spans="1:207" s="65" customFormat="1" ht="27" customHeight="1" x14ac:dyDescent="0.15">
      <c r="A1277" s="105">
        <v>1115700146</v>
      </c>
      <c r="B1277" s="106" t="s">
        <v>1438</v>
      </c>
      <c r="C1277" s="107" t="s">
        <v>2513</v>
      </c>
      <c r="D1277" s="108" t="s">
        <v>100</v>
      </c>
      <c r="E1277" s="108" t="s">
        <v>1256</v>
      </c>
      <c r="F1277" s="139">
        <v>3490101</v>
      </c>
      <c r="G1277" s="140" t="s">
        <v>1255</v>
      </c>
      <c r="H1277" s="140" t="s">
        <v>1255</v>
      </c>
      <c r="I1277" s="141"/>
      <c r="J1277" s="142"/>
      <c r="K1277" s="142"/>
      <c r="L1277" s="142"/>
      <c r="M1277" s="142"/>
      <c r="N1277" s="143" t="s">
        <v>1213</v>
      </c>
      <c r="O1277" s="138"/>
      <c r="P1277" s="105"/>
      <c r="Q1277" s="137"/>
      <c r="R1277" s="138"/>
      <c r="S1277" s="105"/>
      <c r="T1277" s="105"/>
      <c r="U1277" s="105"/>
      <c r="V1277" s="116"/>
      <c r="W1277" s="117"/>
      <c r="X1277" s="116"/>
      <c r="Y1277" s="138"/>
      <c r="Z1277" s="105"/>
      <c r="AA1277" s="105">
        <v>20</v>
      </c>
      <c r="AB1277" s="105"/>
      <c r="AC1277" s="105"/>
      <c r="AD1277" s="144">
        <v>40634</v>
      </c>
      <c r="AE1277" s="108" t="s">
        <v>1254</v>
      </c>
    </row>
    <row r="1278" spans="1:207" s="65" customFormat="1" ht="27" customHeight="1" x14ac:dyDescent="0.15">
      <c r="A1278" s="105">
        <v>1115700161</v>
      </c>
      <c r="B1278" s="130" t="s">
        <v>1706</v>
      </c>
      <c r="C1278" s="108" t="s">
        <v>1730</v>
      </c>
      <c r="D1278" s="108" t="s">
        <v>100</v>
      </c>
      <c r="E1278" s="108" t="s">
        <v>3504</v>
      </c>
      <c r="F1278" s="131">
        <v>3490112</v>
      </c>
      <c r="G1278" s="132" t="s">
        <v>3505</v>
      </c>
      <c r="H1278" s="132" t="s">
        <v>3506</v>
      </c>
      <c r="I1278" s="133"/>
      <c r="J1278" s="134"/>
      <c r="K1278" s="134"/>
      <c r="L1278" s="134"/>
      <c r="M1278" s="134" t="s">
        <v>3507</v>
      </c>
      <c r="N1278" s="135"/>
      <c r="O1278" s="136"/>
      <c r="P1278" s="105"/>
      <c r="Q1278" s="137"/>
      <c r="R1278" s="138"/>
      <c r="S1278" s="105"/>
      <c r="T1278" s="105">
        <v>20</v>
      </c>
      <c r="U1278" s="105"/>
      <c r="V1278" s="137"/>
      <c r="W1278" s="138"/>
      <c r="X1278" s="137"/>
      <c r="Y1278" s="138"/>
      <c r="Z1278" s="105"/>
      <c r="AA1278" s="105"/>
      <c r="AB1278" s="105"/>
      <c r="AC1278" s="105"/>
      <c r="AD1278" s="118">
        <v>41000</v>
      </c>
      <c r="AE1278" s="108" t="s">
        <v>1729</v>
      </c>
    </row>
    <row r="1279" spans="1:207" s="65" customFormat="1" ht="27" customHeight="1" x14ac:dyDescent="0.15">
      <c r="A1279" s="105">
        <v>1115700179</v>
      </c>
      <c r="B1279" s="130" t="s">
        <v>1749</v>
      </c>
      <c r="C1279" s="108" t="s">
        <v>1750</v>
      </c>
      <c r="D1279" s="108" t="s">
        <v>100</v>
      </c>
      <c r="E1279" s="108" t="s">
        <v>213</v>
      </c>
      <c r="F1279" s="131">
        <v>3490101</v>
      </c>
      <c r="G1279" s="132" t="s">
        <v>2468</v>
      </c>
      <c r="H1279" s="132" t="s">
        <v>1751</v>
      </c>
      <c r="I1279" s="133" t="s">
        <v>1752</v>
      </c>
      <c r="J1279" s="134"/>
      <c r="K1279" s="134"/>
      <c r="L1279" s="134"/>
      <c r="M1279" s="134"/>
      <c r="N1279" s="135"/>
      <c r="O1279" s="136"/>
      <c r="P1279" s="105"/>
      <c r="Q1279" s="137"/>
      <c r="R1279" s="138"/>
      <c r="S1279" s="105"/>
      <c r="T1279" s="105">
        <v>20</v>
      </c>
      <c r="U1279" s="105"/>
      <c r="V1279" s="137"/>
      <c r="W1279" s="138"/>
      <c r="X1279" s="137"/>
      <c r="Y1279" s="138"/>
      <c r="Z1279" s="105"/>
      <c r="AA1279" s="105"/>
      <c r="AB1279" s="105"/>
      <c r="AC1279" s="105"/>
      <c r="AD1279" s="118">
        <v>41000</v>
      </c>
      <c r="AE1279" s="108" t="s">
        <v>1753</v>
      </c>
    </row>
    <row r="1280" spans="1:207" ht="27" customHeight="1" x14ac:dyDescent="0.15">
      <c r="A1280" s="105">
        <v>1115700187</v>
      </c>
      <c r="B1280" s="130" t="s">
        <v>1777</v>
      </c>
      <c r="C1280" s="108" t="s">
        <v>1778</v>
      </c>
      <c r="D1280" s="108" t="s">
        <v>100</v>
      </c>
      <c r="E1280" s="108" t="s">
        <v>1779</v>
      </c>
      <c r="F1280" s="131">
        <v>3490131</v>
      </c>
      <c r="G1280" s="132" t="s">
        <v>1780</v>
      </c>
      <c r="H1280" s="132" t="s">
        <v>1781</v>
      </c>
      <c r="I1280" s="133"/>
      <c r="J1280" s="134"/>
      <c r="K1280" s="134"/>
      <c r="L1280" s="134"/>
      <c r="M1280" s="134" t="s">
        <v>1782</v>
      </c>
      <c r="N1280" s="135"/>
      <c r="O1280" s="136"/>
      <c r="P1280" s="105"/>
      <c r="Q1280" s="137"/>
      <c r="R1280" s="138"/>
      <c r="S1280" s="105"/>
      <c r="T1280" s="105">
        <v>30</v>
      </c>
      <c r="U1280" s="105"/>
      <c r="V1280" s="137"/>
      <c r="W1280" s="138"/>
      <c r="X1280" s="137"/>
      <c r="Y1280" s="138"/>
      <c r="Z1280" s="105"/>
      <c r="AA1280" s="105"/>
      <c r="AB1280" s="105"/>
      <c r="AC1280" s="105"/>
      <c r="AD1280" s="118">
        <v>41000</v>
      </c>
      <c r="AE1280" s="108" t="s">
        <v>1783</v>
      </c>
    </row>
    <row r="1281" spans="1:31" ht="27" customHeight="1" x14ac:dyDescent="0.15">
      <c r="A1281" s="105">
        <v>1115700195</v>
      </c>
      <c r="B1281" s="130" t="s">
        <v>21</v>
      </c>
      <c r="C1281" s="108" t="s">
        <v>374</v>
      </c>
      <c r="D1281" s="108" t="s">
        <v>100</v>
      </c>
      <c r="E1281" s="108" t="s">
        <v>213</v>
      </c>
      <c r="F1281" s="131">
        <v>3490101</v>
      </c>
      <c r="G1281" s="132" t="s">
        <v>749</v>
      </c>
      <c r="H1281" s="132" t="s">
        <v>750</v>
      </c>
      <c r="I1281" s="133" t="s">
        <v>49</v>
      </c>
      <c r="J1281" s="134"/>
      <c r="K1281" s="134"/>
      <c r="L1281" s="134"/>
      <c r="M1281" s="134" t="s">
        <v>49</v>
      </c>
      <c r="N1281" s="135"/>
      <c r="O1281" s="136"/>
      <c r="P1281" s="105"/>
      <c r="Q1281" s="137"/>
      <c r="R1281" s="138"/>
      <c r="S1281" s="105">
        <v>60</v>
      </c>
      <c r="T1281" s="105"/>
      <c r="U1281" s="105"/>
      <c r="V1281" s="137"/>
      <c r="W1281" s="138"/>
      <c r="X1281" s="137"/>
      <c r="Y1281" s="138"/>
      <c r="Z1281" s="105"/>
      <c r="AA1281" s="105"/>
      <c r="AB1281" s="105"/>
      <c r="AC1281" s="105"/>
      <c r="AD1281" s="118">
        <v>41000</v>
      </c>
      <c r="AE1281" s="108" t="s">
        <v>9000</v>
      </c>
    </row>
    <row r="1282" spans="1:31" s="65" customFormat="1" ht="27" customHeight="1" x14ac:dyDescent="0.15">
      <c r="A1282" s="132">
        <v>1115700229</v>
      </c>
      <c r="B1282" s="130" t="s">
        <v>3236</v>
      </c>
      <c r="C1282" s="108" t="s">
        <v>10336</v>
      </c>
      <c r="D1282" s="108" t="s">
        <v>100</v>
      </c>
      <c r="E1282" s="108" t="s">
        <v>2734</v>
      </c>
      <c r="F1282" s="139" t="s">
        <v>4258</v>
      </c>
      <c r="G1282" s="140" t="s">
        <v>4259</v>
      </c>
      <c r="H1282" s="140" t="s">
        <v>4260</v>
      </c>
      <c r="I1282" s="141" t="s">
        <v>49</v>
      </c>
      <c r="J1282" s="142"/>
      <c r="K1282" s="142" t="s">
        <v>49</v>
      </c>
      <c r="L1282" s="142" t="s">
        <v>49</v>
      </c>
      <c r="M1282" s="142" t="s">
        <v>49</v>
      </c>
      <c r="N1282" s="143" t="s">
        <v>49</v>
      </c>
      <c r="O1282" s="138" t="s">
        <v>49</v>
      </c>
      <c r="P1282" s="105"/>
      <c r="Q1282" s="137"/>
      <c r="R1282" s="138"/>
      <c r="S1282" s="105"/>
      <c r="T1282" s="105"/>
      <c r="U1282" s="105"/>
      <c r="V1282" s="137"/>
      <c r="W1282" s="138"/>
      <c r="X1282" s="137"/>
      <c r="Y1282" s="138"/>
      <c r="Z1282" s="105">
        <v>10</v>
      </c>
      <c r="AA1282" s="105">
        <v>30</v>
      </c>
      <c r="AB1282" s="105"/>
      <c r="AC1282" s="105"/>
      <c r="AD1282" s="144">
        <v>41974</v>
      </c>
      <c r="AE1282" s="108" t="s">
        <v>10337</v>
      </c>
    </row>
    <row r="1283" spans="1:31" ht="27" customHeight="1" x14ac:dyDescent="0.15">
      <c r="A1283" s="105">
        <v>1115700278</v>
      </c>
      <c r="B1283" s="130" t="s">
        <v>6978</v>
      </c>
      <c r="C1283" s="108" t="s">
        <v>6979</v>
      </c>
      <c r="D1283" s="108" t="s">
        <v>100</v>
      </c>
      <c r="E1283" s="108" t="s">
        <v>6980</v>
      </c>
      <c r="F1283" s="131" t="s">
        <v>6981</v>
      </c>
      <c r="G1283" s="132" t="s">
        <v>6982</v>
      </c>
      <c r="H1283" s="132" t="s">
        <v>6982</v>
      </c>
      <c r="I1283" s="133"/>
      <c r="J1283" s="134"/>
      <c r="K1283" s="134"/>
      <c r="L1283" s="134" t="s">
        <v>765</v>
      </c>
      <c r="M1283" s="134" t="s">
        <v>765</v>
      </c>
      <c r="N1283" s="135" t="s">
        <v>765</v>
      </c>
      <c r="O1283" s="136"/>
      <c r="P1283" s="105"/>
      <c r="Q1283" s="137"/>
      <c r="R1283" s="138"/>
      <c r="S1283" s="105"/>
      <c r="T1283" s="105"/>
      <c r="U1283" s="105"/>
      <c r="V1283" s="116"/>
      <c r="W1283" s="117"/>
      <c r="X1283" s="116"/>
      <c r="Y1283" s="138"/>
      <c r="Z1283" s="105"/>
      <c r="AA1283" s="105">
        <v>20</v>
      </c>
      <c r="AB1283" s="105"/>
      <c r="AC1283" s="105"/>
      <c r="AD1283" s="144">
        <v>44409</v>
      </c>
      <c r="AE1283" s="108" t="s">
        <v>6983</v>
      </c>
    </row>
    <row r="1284" spans="1:31" ht="27" customHeight="1" x14ac:dyDescent="0.15">
      <c r="A1284" s="150">
        <v>1116000066</v>
      </c>
      <c r="B1284" s="106" t="s">
        <v>439</v>
      </c>
      <c r="C1284" s="107" t="s">
        <v>22</v>
      </c>
      <c r="D1284" s="157" t="s">
        <v>23</v>
      </c>
      <c r="E1284" s="108" t="s">
        <v>24</v>
      </c>
      <c r="F1284" s="139">
        <v>3500206</v>
      </c>
      <c r="G1284" s="132" t="s">
        <v>25</v>
      </c>
      <c r="H1284" s="132" t="s">
        <v>26</v>
      </c>
      <c r="I1284" s="133" t="s">
        <v>242</v>
      </c>
      <c r="J1284" s="154" t="s">
        <v>242</v>
      </c>
      <c r="K1284" s="154" t="s">
        <v>242</v>
      </c>
      <c r="L1284" s="154" t="s">
        <v>242</v>
      </c>
      <c r="M1284" s="154"/>
      <c r="N1284" s="143"/>
      <c r="O1284" s="138"/>
      <c r="P1284" s="105">
        <v>50</v>
      </c>
      <c r="Q1284" s="137"/>
      <c r="R1284" s="138">
        <v>2</v>
      </c>
      <c r="S1284" s="150"/>
      <c r="T1284" s="105">
        <v>60</v>
      </c>
      <c r="U1284" s="105"/>
      <c r="V1284" s="116"/>
      <c r="W1284" s="117"/>
      <c r="X1284" s="116"/>
      <c r="Y1284" s="187"/>
      <c r="Z1284" s="105"/>
      <c r="AA1284" s="105"/>
      <c r="AB1284" s="105"/>
      <c r="AC1284" s="105"/>
      <c r="AD1284" s="144">
        <v>39904</v>
      </c>
      <c r="AE1284" s="108" t="s">
        <v>535</v>
      </c>
    </row>
    <row r="1285" spans="1:31" ht="27" customHeight="1" x14ac:dyDescent="0.15">
      <c r="A1285" s="105">
        <v>1116000140</v>
      </c>
      <c r="B1285" s="130" t="s">
        <v>417</v>
      </c>
      <c r="C1285" s="108" t="s">
        <v>542</v>
      </c>
      <c r="D1285" s="108" t="s">
        <v>472</v>
      </c>
      <c r="E1285" s="108" t="s">
        <v>5903</v>
      </c>
      <c r="F1285" s="131">
        <v>3502223</v>
      </c>
      <c r="G1285" s="132" t="s">
        <v>751</v>
      </c>
      <c r="H1285" s="132" t="s">
        <v>751</v>
      </c>
      <c r="I1285" s="133"/>
      <c r="J1285" s="134"/>
      <c r="K1285" s="134"/>
      <c r="L1285" s="134"/>
      <c r="M1285" s="134" t="s">
        <v>49</v>
      </c>
      <c r="N1285" s="135"/>
      <c r="O1285" s="136"/>
      <c r="P1285" s="105"/>
      <c r="Q1285" s="137"/>
      <c r="R1285" s="138"/>
      <c r="S1285" s="105"/>
      <c r="T1285" s="105">
        <v>20</v>
      </c>
      <c r="U1285" s="105"/>
      <c r="V1285" s="137"/>
      <c r="W1285" s="138"/>
      <c r="X1285" s="137"/>
      <c r="Y1285" s="138"/>
      <c r="Z1285" s="105"/>
      <c r="AA1285" s="105">
        <v>30</v>
      </c>
      <c r="AB1285" s="105"/>
      <c r="AC1285" s="105"/>
      <c r="AD1285" s="118">
        <v>39309</v>
      </c>
      <c r="AE1285" s="108" t="s">
        <v>5904</v>
      </c>
    </row>
    <row r="1286" spans="1:31" ht="27" customHeight="1" x14ac:dyDescent="0.15">
      <c r="A1286" s="105">
        <v>1116000181</v>
      </c>
      <c r="B1286" s="106" t="s">
        <v>4511</v>
      </c>
      <c r="C1286" s="107" t="s">
        <v>1261</v>
      </c>
      <c r="D1286" s="108" t="s">
        <v>101</v>
      </c>
      <c r="E1286" s="108" t="s">
        <v>1260</v>
      </c>
      <c r="F1286" s="139">
        <v>3500212</v>
      </c>
      <c r="G1286" s="140" t="s">
        <v>1259</v>
      </c>
      <c r="H1286" s="140" t="s">
        <v>1258</v>
      </c>
      <c r="I1286" s="141"/>
      <c r="J1286" s="142"/>
      <c r="K1286" s="142"/>
      <c r="L1286" s="142"/>
      <c r="M1286" s="142" t="s">
        <v>1213</v>
      </c>
      <c r="N1286" s="143"/>
      <c r="O1286" s="138"/>
      <c r="P1286" s="105"/>
      <c r="Q1286" s="137"/>
      <c r="R1286" s="138"/>
      <c r="S1286" s="105"/>
      <c r="T1286" s="105"/>
      <c r="U1286" s="105"/>
      <c r="V1286" s="116"/>
      <c r="W1286" s="117"/>
      <c r="X1286" s="116"/>
      <c r="Y1286" s="138"/>
      <c r="Z1286" s="105"/>
      <c r="AA1286" s="105">
        <v>20</v>
      </c>
      <c r="AB1286" s="105"/>
      <c r="AC1286" s="105"/>
      <c r="AD1286" s="144">
        <v>40634</v>
      </c>
      <c r="AE1286" s="108" t="s">
        <v>1257</v>
      </c>
    </row>
    <row r="1287" spans="1:31" ht="27" customHeight="1" x14ac:dyDescent="0.15">
      <c r="A1287" s="105">
        <v>1116000215</v>
      </c>
      <c r="B1287" s="106" t="s">
        <v>1850</v>
      </c>
      <c r="C1287" s="108" t="s">
        <v>1849</v>
      </c>
      <c r="D1287" s="108" t="s">
        <v>101</v>
      </c>
      <c r="E1287" s="108" t="s">
        <v>1980</v>
      </c>
      <c r="F1287" s="139" t="s">
        <v>1981</v>
      </c>
      <c r="G1287" s="140" t="s">
        <v>1982</v>
      </c>
      <c r="H1287" s="140" t="s">
        <v>1983</v>
      </c>
      <c r="I1287" s="141"/>
      <c r="J1287" s="142"/>
      <c r="K1287" s="142"/>
      <c r="L1287" s="142"/>
      <c r="M1287" s="142" t="s">
        <v>1962</v>
      </c>
      <c r="N1287" s="143"/>
      <c r="O1287" s="138"/>
      <c r="P1287" s="105"/>
      <c r="Q1287" s="137"/>
      <c r="R1287" s="138"/>
      <c r="S1287" s="105"/>
      <c r="T1287" s="105">
        <v>20</v>
      </c>
      <c r="U1287" s="105"/>
      <c r="V1287" s="137"/>
      <c r="W1287" s="138"/>
      <c r="X1287" s="137"/>
      <c r="Y1287" s="138"/>
      <c r="Z1287" s="105"/>
      <c r="AA1287" s="105"/>
      <c r="AB1287" s="105"/>
      <c r="AC1287" s="105"/>
      <c r="AD1287" s="144">
        <v>41000</v>
      </c>
      <c r="AE1287" s="108" t="s">
        <v>1984</v>
      </c>
    </row>
    <row r="1288" spans="1:31" ht="27" customHeight="1" x14ac:dyDescent="0.15">
      <c r="A1288" s="105">
        <v>1116000256</v>
      </c>
      <c r="B1288" s="106" t="s">
        <v>2564</v>
      </c>
      <c r="C1288" s="108" t="s">
        <v>2476</v>
      </c>
      <c r="D1288" s="108" t="s">
        <v>101</v>
      </c>
      <c r="E1288" s="108" t="s">
        <v>2477</v>
      </c>
      <c r="F1288" s="139" t="s">
        <v>2478</v>
      </c>
      <c r="G1288" s="140" t="s">
        <v>2482</v>
      </c>
      <c r="H1288" s="140" t="s">
        <v>2479</v>
      </c>
      <c r="I1288" s="141"/>
      <c r="J1288" s="142"/>
      <c r="K1288" s="142"/>
      <c r="L1288" s="142"/>
      <c r="M1288" s="142" t="s">
        <v>2480</v>
      </c>
      <c r="N1288" s="143" t="s">
        <v>2480</v>
      </c>
      <c r="O1288" s="138"/>
      <c r="P1288" s="105"/>
      <c r="Q1288" s="137"/>
      <c r="R1288" s="138"/>
      <c r="S1288" s="105"/>
      <c r="T1288" s="105"/>
      <c r="U1288" s="105"/>
      <c r="V1288" s="137"/>
      <c r="W1288" s="138"/>
      <c r="X1288" s="137"/>
      <c r="Y1288" s="138"/>
      <c r="Z1288" s="105"/>
      <c r="AA1288" s="105">
        <v>20</v>
      </c>
      <c r="AB1288" s="105"/>
      <c r="AC1288" s="105"/>
      <c r="AD1288" s="144">
        <v>41760</v>
      </c>
      <c r="AE1288" s="108" t="s">
        <v>2481</v>
      </c>
    </row>
    <row r="1289" spans="1:31" ht="27" customHeight="1" x14ac:dyDescent="0.15">
      <c r="A1289" s="105">
        <v>1116000256</v>
      </c>
      <c r="B1289" s="106" t="s">
        <v>5978</v>
      </c>
      <c r="C1289" s="108" t="s">
        <v>7831</v>
      </c>
      <c r="D1289" s="108" t="s">
        <v>101</v>
      </c>
      <c r="E1289" s="108" t="s">
        <v>7832</v>
      </c>
      <c r="F1289" s="139" t="s">
        <v>7833</v>
      </c>
      <c r="G1289" s="140" t="s">
        <v>7834</v>
      </c>
      <c r="H1289" s="140" t="s">
        <v>7835</v>
      </c>
      <c r="I1289" s="141" t="s">
        <v>6457</v>
      </c>
      <c r="J1289" s="142" t="s">
        <v>6457</v>
      </c>
      <c r="K1289" s="142" t="s">
        <v>6457</v>
      </c>
      <c r="L1289" s="142" t="s">
        <v>6457</v>
      </c>
      <c r="M1289" s="142" t="s">
        <v>6457</v>
      </c>
      <c r="N1289" s="143" t="s">
        <v>6457</v>
      </c>
      <c r="O1289" s="138" t="s">
        <v>765</v>
      </c>
      <c r="P1289" s="105"/>
      <c r="Q1289" s="137"/>
      <c r="R1289" s="138"/>
      <c r="S1289" s="105"/>
      <c r="T1289" s="105"/>
      <c r="U1289" s="105"/>
      <c r="V1289" s="137"/>
      <c r="W1289" s="138"/>
      <c r="X1289" s="137"/>
      <c r="Y1289" s="138"/>
      <c r="Z1289" s="105"/>
      <c r="AA1289" s="105"/>
      <c r="AB1289" s="105" t="s">
        <v>4614</v>
      </c>
      <c r="AC1289" s="105"/>
      <c r="AD1289" s="144">
        <v>44805</v>
      </c>
      <c r="AE1289" s="108" t="s">
        <v>7836</v>
      </c>
    </row>
    <row r="1290" spans="1:31" ht="27" customHeight="1" x14ac:dyDescent="0.15">
      <c r="A1290" s="105">
        <v>1116000256</v>
      </c>
      <c r="B1290" s="106" t="s">
        <v>2947</v>
      </c>
      <c r="C1290" s="108" t="s">
        <v>10952</v>
      </c>
      <c r="D1290" s="108" t="s">
        <v>101</v>
      </c>
      <c r="E1290" s="108" t="s">
        <v>10953</v>
      </c>
      <c r="F1290" s="131" t="s">
        <v>2478</v>
      </c>
      <c r="G1290" s="132" t="s">
        <v>10954</v>
      </c>
      <c r="H1290" s="132" t="s">
        <v>10955</v>
      </c>
      <c r="I1290" s="133" t="s">
        <v>765</v>
      </c>
      <c r="J1290" s="134" t="s">
        <v>765</v>
      </c>
      <c r="K1290" s="134" t="s">
        <v>765</v>
      </c>
      <c r="L1290" s="134" t="s">
        <v>765</v>
      </c>
      <c r="M1290" s="134" t="s">
        <v>765</v>
      </c>
      <c r="N1290" s="135" t="s">
        <v>765</v>
      </c>
      <c r="O1290" s="136" t="s">
        <v>765</v>
      </c>
      <c r="P1290" s="105"/>
      <c r="Q1290" s="137"/>
      <c r="R1290" s="138"/>
      <c r="S1290" s="105"/>
      <c r="T1290" s="105"/>
      <c r="U1290" s="105"/>
      <c r="V1290" s="137"/>
      <c r="W1290" s="138"/>
      <c r="X1290" s="152"/>
      <c r="Y1290" s="138"/>
      <c r="Z1290" s="105"/>
      <c r="AA1290" s="105"/>
      <c r="AB1290" s="105"/>
      <c r="AC1290" s="105">
        <v>10</v>
      </c>
      <c r="AD1290" s="118">
        <v>45992</v>
      </c>
      <c r="AE1290" s="108" t="s">
        <v>10956</v>
      </c>
    </row>
    <row r="1291" spans="1:31" ht="27" customHeight="1" x14ac:dyDescent="0.15">
      <c r="A1291" s="105">
        <v>1116000298</v>
      </c>
      <c r="B1291" s="106" t="s">
        <v>2940</v>
      </c>
      <c r="C1291" s="107" t="s">
        <v>2941</v>
      </c>
      <c r="D1291" s="108" t="s">
        <v>101</v>
      </c>
      <c r="E1291" s="108" t="s">
        <v>2942</v>
      </c>
      <c r="F1291" s="139" t="s">
        <v>2943</v>
      </c>
      <c r="G1291" s="140" t="s">
        <v>2944</v>
      </c>
      <c r="H1291" s="140" t="s">
        <v>2945</v>
      </c>
      <c r="I1291" s="141"/>
      <c r="J1291" s="142"/>
      <c r="K1291" s="142"/>
      <c r="L1291" s="142"/>
      <c r="M1291" s="142" t="s">
        <v>49</v>
      </c>
      <c r="N1291" s="143"/>
      <c r="O1291" s="138"/>
      <c r="P1291" s="105"/>
      <c r="Q1291" s="137"/>
      <c r="R1291" s="138"/>
      <c r="S1291" s="105"/>
      <c r="T1291" s="105">
        <v>10</v>
      </c>
      <c r="U1291" s="105"/>
      <c r="V1291" s="137"/>
      <c r="W1291" s="138"/>
      <c r="X1291" s="137"/>
      <c r="Y1291" s="138"/>
      <c r="Z1291" s="105"/>
      <c r="AA1291" s="105">
        <v>30</v>
      </c>
      <c r="AB1291" s="105"/>
      <c r="AC1291" s="105"/>
      <c r="AD1291" s="144">
        <v>42125</v>
      </c>
      <c r="AE1291" s="108" t="s">
        <v>2946</v>
      </c>
    </row>
    <row r="1292" spans="1:31" s="65" customFormat="1" ht="27" customHeight="1" x14ac:dyDescent="0.15">
      <c r="A1292" s="105">
        <v>1116000306</v>
      </c>
      <c r="B1292" s="106" t="s">
        <v>2947</v>
      </c>
      <c r="C1292" s="107" t="s">
        <v>2936</v>
      </c>
      <c r="D1292" s="108" t="s">
        <v>8642</v>
      </c>
      <c r="E1292" s="108" t="s">
        <v>8774</v>
      </c>
      <c r="F1292" s="139" t="s">
        <v>2937</v>
      </c>
      <c r="G1292" s="140" t="s">
        <v>2938</v>
      </c>
      <c r="H1292" s="140" t="s">
        <v>2939</v>
      </c>
      <c r="I1292" s="141"/>
      <c r="J1292" s="142"/>
      <c r="K1292" s="142"/>
      <c r="L1292" s="142"/>
      <c r="M1292" s="142" t="s">
        <v>49</v>
      </c>
      <c r="N1292" s="143" t="s">
        <v>49</v>
      </c>
      <c r="O1292" s="138"/>
      <c r="P1292" s="105"/>
      <c r="Q1292" s="137"/>
      <c r="R1292" s="138"/>
      <c r="S1292" s="105"/>
      <c r="T1292" s="105"/>
      <c r="U1292" s="105"/>
      <c r="V1292" s="137"/>
      <c r="W1292" s="138"/>
      <c r="X1292" s="137"/>
      <c r="Y1292" s="138"/>
      <c r="Z1292" s="105">
        <v>15</v>
      </c>
      <c r="AA1292" s="105"/>
      <c r="AB1292" s="105"/>
      <c r="AC1292" s="105"/>
      <c r="AD1292" s="144">
        <v>42125</v>
      </c>
      <c r="AE1292" s="108" t="s">
        <v>8775</v>
      </c>
    </row>
    <row r="1293" spans="1:31" ht="27" customHeight="1" x14ac:dyDescent="0.15">
      <c r="A1293" s="105">
        <v>1116000397</v>
      </c>
      <c r="B1293" s="106" t="s">
        <v>4277</v>
      </c>
      <c r="C1293" s="107" t="s">
        <v>4278</v>
      </c>
      <c r="D1293" s="108" t="s">
        <v>101</v>
      </c>
      <c r="E1293" s="108" t="s">
        <v>4279</v>
      </c>
      <c r="F1293" s="139" t="s">
        <v>4900</v>
      </c>
      <c r="G1293" s="140" t="s">
        <v>4901</v>
      </c>
      <c r="H1293" s="140" t="s">
        <v>4901</v>
      </c>
      <c r="I1293" s="141"/>
      <c r="J1293" s="142"/>
      <c r="K1293" s="142"/>
      <c r="L1293" s="142"/>
      <c r="M1293" s="142" t="s">
        <v>49</v>
      </c>
      <c r="N1293" s="143" t="s">
        <v>49</v>
      </c>
      <c r="O1293" s="138"/>
      <c r="P1293" s="105"/>
      <c r="Q1293" s="137"/>
      <c r="R1293" s="138"/>
      <c r="S1293" s="105"/>
      <c r="T1293" s="105"/>
      <c r="U1293" s="105"/>
      <c r="V1293" s="137"/>
      <c r="W1293" s="138"/>
      <c r="X1293" s="137"/>
      <c r="Y1293" s="138"/>
      <c r="Z1293" s="105"/>
      <c r="AA1293" s="105">
        <v>20</v>
      </c>
      <c r="AB1293" s="105"/>
      <c r="AC1293" s="105"/>
      <c r="AD1293" s="144">
        <v>43160</v>
      </c>
      <c r="AE1293" s="108" t="s">
        <v>4280</v>
      </c>
    </row>
    <row r="1294" spans="1:31" ht="27" customHeight="1" x14ac:dyDescent="0.15">
      <c r="A1294" s="175">
        <v>1116000637</v>
      </c>
      <c r="B1294" s="204" t="s">
        <v>9373</v>
      </c>
      <c r="C1294" s="162" t="s">
        <v>9374</v>
      </c>
      <c r="D1294" s="162" t="s">
        <v>101</v>
      </c>
      <c r="E1294" s="162" t="s">
        <v>9375</v>
      </c>
      <c r="F1294" s="268" t="s">
        <v>9376</v>
      </c>
      <c r="G1294" s="203" t="s">
        <v>9384</v>
      </c>
      <c r="H1294" s="203" t="s">
        <v>9385</v>
      </c>
      <c r="I1294" s="133"/>
      <c r="J1294" s="134"/>
      <c r="K1294" s="134"/>
      <c r="L1294" s="134"/>
      <c r="M1294" s="134" t="s">
        <v>765</v>
      </c>
      <c r="N1294" s="135" t="s">
        <v>765</v>
      </c>
      <c r="O1294" s="136"/>
      <c r="P1294" s="175"/>
      <c r="Q1294" s="209"/>
      <c r="R1294" s="210"/>
      <c r="S1294" s="175"/>
      <c r="T1294" s="175"/>
      <c r="U1294" s="175"/>
      <c r="V1294" s="209"/>
      <c r="W1294" s="210"/>
      <c r="X1294" s="209"/>
      <c r="Y1294" s="210"/>
      <c r="Z1294" s="175"/>
      <c r="AA1294" s="175">
        <v>20</v>
      </c>
      <c r="AB1294" s="175"/>
      <c r="AC1294" s="175"/>
      <c r="AD1294" s="227">
        <v>45474</v>
      </c>
      <c r="AE1294" s="162" t="s">
        <v>9377</v>
      </c>
    </row>
    <row r="1295" spans="1:31" ht="27" customHeight="1" x14ac:dyDescent="0.15">
      <c r="A1295" s="105">
        <v>1116000462</v>
      </c>
      <c r="B1295" s="130" t="s">
        <v>5058</v>
      </c>
      <c r="C1295" s="107" t="s">
        <v>5059</v>
      </c>
      <c r="D1295" s="108" t="s">
        <v>101</v>
      </c>
      <c r="E1295" s="108" t="s">
        <v>5060</v>
      </c>
      <c r="F1295" s="139" t="s">
        <v>3346</v>
      </c>
      <c r="G1295" s="140" t="s">
        <v>5061</v>
      </c>
      <c r="H1295" s="140" t="s">
        <v>5062</v>
      </c>
      <c r="I1295" s="141" t="s">
        <v>49</v>
      </c>
      <c r="J1295" s="142"/>
      <c r="K1295" s="142"/>
      <c r="L1295" s="142" t="s">
        <v>49</v>
      </c>
      <c r="M1295" s="142" t="s">
        <v>49</v>
      </c>
      <c r="N1295" s="143" t="s">
        <v>49</v>
      </c>
      <c r="O1295" s="138"/>
      <c r="P1295" s="105"/>
      <c r="Q1295" s="137"/>
      <c r="R1295" s="138"/>
      <c r="S1295" s="105"/>
      <c r="T1295" s="105">
        <v>10</v>
      </c>
      <c r="U1295" s="105"/>
      <c r="V1295" s="137"/>
      <c r="W1295" s="138"/>
      <c r="X1295" s="137"/>
      <c r="Y1295" s="138"/>
      <c r="Z1295" s="105"/>
      <c r="AA1295" s="105"/>
      <c r="AB1295" s="105"/>
      <c r="AC1295" s="105"/>
      <c r="AD1295" s="239">
        <v>43556</v>
      </c>
      <c r="AE1295" s="108" t="s">
        <v>5063</v>
      </c>
    </row>
    <row r="1296" spans="1:31" ht="27" customHeight="1" x14ac:dyDescent="0.15">
      <c r="A1296" s="105">
        <v>1116000470</v>
      </c>
      <c r="B1296" s="130" t="s">
        <v>7766</v>
      </c>
      <c r="C1296" s="107" t="s">
        <v>5159</v>
      </c>
      <c r="D1296" s="108" t="s">
        <v>101</v>
      </c>
      <c r="E1296" s="108" t="s">
        <v>5160</v>
      </c>
      <c r="F1296" s="139" t="s">
        <v>5161</v>
      </c>
      <c r="G1296" s="140" t="s">
        <v>5162</v>
      </c>
      <c r="H1296" s="140" t="s">
        <v>5163</v>
      </c>
      <c r="I1296" s="141"/>
      <c r="J1296" s="142"/>
      <c r="K1296" s="142"/>
      <c r="L1296" s="142"/>
      <c r="M1296" s="142" t="s">
        <v>765</v>
      </c>
      <c r="N1296" s="143" t="s">
        <v>765</v>
      </c>
      <c r="O1296" s="138"/>
      <c r="P1296" s="105"/>
      <c r="Q1296" s="137"/>
      <c r="R1296" s="138"/>
      <c r="S1296" s="105"/>
      <c r="T1296" s="105"/>
      <c r="U1296" s="105"/>
      <c r="V1296" s="137"/>
      <c r="W1296" s="138"/>
      <c r="X1296" s="137"/>
      <c r="Y1296" s="138"/>
      <c r="Z1296" s="105"/>
      <c r="AA1296" s="105">
        <v>20</v>
      </c>
      <c r="AB1296" s="105"/>
      <c r="AC1296" s="105"/>
      <c r="AD1296" s="239">
        <v>43647</v>
      </c>
      <c r="AE1296" s="108" t="s">
        <v>5164</v>
      </c>
    </row>
    <row r="1297" spans="1:31" s="65" customFormat="1" ht="27" customHeight="1" x14ac:dyDescent="0.15">
      <c r="A1297" s="105">
        <v>1116000561</v>
      </c>
      <c r="B1297" s="130" t="s">
        <v>7324</v>
      </c>
      <c r="C1297" s="107" t="s">
        <v>7813</v>
      </c>
      <c r="D1297" s="108" t="s">
        <v>101</v>
      </c>
      <c r="E1297" s="108" t="s">
        <v>7814</v>
      </c>
      <c r="F1297" s="139" t="s">
        <v>7815</v>
      </c>
      <c r="G1297" s="140" t="s">
        <v>7816</v>
      </c>
      <c r="H1297" s="140" t="s">
        <v>7817</v>
      </c>
      <c r="I1297" s="141" t="s">
        <v>6457</v>
      </c>
      <c r="J1297" s="142" t="s">
        <v>6457</v>
      </c>
      <c r="K1297" s="142" t="s">
        <v>6457</v>
      </c>
      <c r="L1297" s="142" t="s">
        <v>6457</v>
      </c>
      <c r="M1297" s="142" t="s">
        <v>6457</v>
      </c>
      <c r="N1297" s="143" t="s">
        <v>6457</v>
      </c>
      <c r="O1297" s="138" t="s">
        <v>765</v>
      </c>
      <c r="P1297" s="105"/>
      <c r="Q1297" s="137"/>
      <c r="R1297" s="138"/>
      <c r="S1297" s="105"/>
      <c r="T1297" s="105"/>
      <c r="U1297" s="105"/>
      <c r="V1297" s="137"/>
      <c r="W1297" s="138"/>
      <c r="X1297" s="137"/>
      <c r="Y1297" s="138"/>
      <c r="Z1297" s="105"/>
      <c r="AA1297" s="105">
        <v>20</v>
      </c>
      <c r="AB1297" s="105"/>
      <c r="AC1297" s="105"/>
      <c r="AD1297" s="239">
        <v>44805</v>
      </c>
      <c r="AE1297" s="108" t="s">
        <v>7818</v>
      </c>
    </row>
    <row r="1298" spans="1:31" ht="27" customHeight="1" x14ac:dyDescent="0.15">
      <c r="A1298" s="105">
        <v>1116000595</v>
      </c>
      <c r="B1298" s="157" t="s">
        <v>7999</v>
      </c>
      <c r="C1298" s="157" t="s">
        <v>8000</v>
      </c>
      <c r="D1298" s="108" t="s">
        <v>101</v>
      </c>
      <c r="E1298" s="108" t="s">
        <v>8001</v>
      </c>
      <c r="F1298" s="264" t="s">
        <v>8002</v>
      </c>
      <c r="G1298" s="157" t="s">
        <v>8003</v>
      </c>
      <c r="H1298" s="157" t="s">
        <v>8003</v>
      </c>
      <c r="I1298" s="141"/>
      <c r="J1298" s="142"/>
      <c r="K1298" s="142"/>
      <c r="L1298" s="142"/>
      <c r="M1298" s="142" t="s">
        <v>49</v>
      </c>
      <c r="N1298" s="143" t="s">
        <v>49</v>
      </c>
      <c r="O1298" s="138"/>
      <c r="P1298" s="105"/>
      <c r="Q1298" s="137"/>
      <c r="R1298" s="138"/>
      <c r="S1298" s="105"/>
      <c r="T1298" s="105"/>
      <c r="U1298" s="105"/>
      <c r="V1298" s="137"/>
      <c r="W1298" s="138"/>
      <c r="X1298" s="137"/>
      <c r="Y1298" s="138"/>
      <c r="Z1298" s="105"/>
      <c r="AA1298" s="105">
        <v>20</v>
      </c>
      <c r="AB1298" s="105"/>
      <c r="AC1298" s="105"/>
      <c r="AD1298" s="144">
        <v>44896</v>
      </c>
      <c r="AE1298" s="198" t="s">
        <v>8004</v>
      </c>
    </row>
    <row r="1299" spans="1:31" ht="27" customHeight="1" x14ac:dyDescent="0.15">
      <c r="A1299" s="150">
        <v>1116000611</v>
      </c>
      <c r="B1299" s="130" t="s">
        <v>8982</v>
      </c>
      <c r="C1299" s="107" t="s">
        <v>8983</v>
      </c>
      <c r="D1299" s="108" t="s">
        <v>101</v>
      </c>
      <c r="E1299" s="108" t="s">
        <v>8984</v>
      </c>
      <c r="F1299" s="139" t="s">
        <v>8985</v>
      </c>
      <c r="G1299" s="152" t="s">
        <v>8986</v>
      </c>
      <c r="H1299" s="132" t="s">
        <v>8986</v>
      </c>
      <c r="I1299" s="133"/>
      <c r="J1299" s="154"/>
      <c r="K1299" s="154"/>
      <c r="L1299" s="154"/>
      <c r="M1299" s="134" t="s">
        <v>49</v>
      </c>
      <c r="N1299" s="134" t="s">
        <v>49</v>
      </c>
      <c r="O1299" s="138"/>
      <c r="P1299" s="105"/>
      <c r="Q1299" s="137"/>
      <c r="R1299" s="138"/>
      <c r="S1299" s="105"/>
      <c r="T1299" s="105">
        <v>10</v>
      </c>
      <c r="U1299" s="105"/>
      <c r="V1299" s="137"/>
      <c r="W1299" s="138"/>
      <c r="X1299" s="137"/>
      <c r="Y1299" s="138"/>
      <c r="Z1299" s="105"/>
      <c r="AA1299" s="105">
        <v>10</v>
      </c>
      <c r="AB1299" s="105"/>
      <c r="AC1299" s="105"/>
      <c r="AD1299" s="118">
        <v>45323</v>
      </c>
      <c r="AE1299" s="108" t="s">
        <v>8987</v>
      </c>
    </row>
    <row r="1300" spans="1:31" ht="27" customHeight="1" x14ac:dyDescent="0.15">
      <c r="A1300" s="132">
        <v>1116000702</v>
      </c>
      <c r="B1300" s="130" t="s">
        <v>12054</v>
      </c>
      <c r="C1300" s="108" t="s">
        <v>10372</v>
      </c>
      <c r="D1300" s="108" t="s">
        <v>101</v>
      </c>
      <c r="E1300" s="108" t="s">
        <v>11618</v>
      </c>
      <c r="F1300" s="131" t="s">
        <v>8002</v>
      </c>
      <c r="G1300" s="132" t="s">
        <v>10373</v>
      </c>
      <c r="H1300" s="132" t="s">
        <v>10374</v>
      </c>
      <c r="I1300" s="133"/>
      <c r="J1300" s="134"/>
      <c r="K1300" s="134"/>
      <c r="L1300" s="134"/>
      <c r="M1300" s="134" t="s">
        <v>765</v>
      </c>
      <c r="N1300" s="135"/>
      <c r="O1300" s="136"/>
      <c r="P1300" s="105"/>
      <c r="Q1300" s="152"/>
      <c r="R1300" s="138"/>
      <c r="S1300" s="132"/>
      <c r="T1300" s="105">
        <v>10</v>
      </c>
      <c r="U1300" s="132"/>
      <c r="V1300" s="116"/>
      <c r="W1300" s="117"/>
      <c r="X1300" s="152"/>
      <c r="Y1300" s="136"/>
      <c r="Z1300" s="132"/>
      <c r="AA1300" s="132">
        <v>10</v>
      </c>
      <c r="AB1300" s="132"/>
      <c r="AC1300" s="132"/>
      <c r="AD1300" s="155">
        <v>45839</v>
      </c>
      <c r="AE1300" s="108" t="s">
        <v>10375</v>
      </c>
    </row>
    <row r="1301" spans="1:31" s="65" customFormat="1" ht="27" customHeight="1" x14ac:dyDescent="0.15">
      <c r="A1301" s="175">
        <v>1116000728</v>
      </c>
      <c r="B1301" s="161" t="s">
        <v>11806</v>
      </c>
      <c r="C1301" s="263" t="s">
        <v>11357</v>
      </c>
      <c r="D1301" s="162" t="s">
        <v>101</v>
      </c>
      <c r="E1301" s="162" t="s">
        <v>11619</v>
      </c>
      <c r="F1301" s="205" t="s">
        <v>6955</v>
      </c>
      <c r="G1301" s="274" t="s">
        <v>11358</v>
      </c>
      <c r="H1301" s="206"/>
      <c r="I1301" s="221"/>
      <c r="J1301" s="222" t="s">
        <v>10951</v>
      </c>
      <c r="K1301" s="222" t="s">
        <v>10951</v>
      </c>
      <c r="L1301" s="222"/>
      <c r="M1301" s="222" t="s">
        <v>10951</v>
      </c>
      <c r="N1301" s="208" t="s">
        <v>10951</v>
      </c>
      <c r="O1301" s="208"/>
      <c r="P1301" s="175"/>
      <c r="Q1301" s="209"/>
      <c r="R1301" s="210"/>
      <c r="S1301" s="175"/>
      <c r="T1301" s="175"/>
      <c r="U1301" s="175"/>
      <c r="V1301" s="209"/>
      <c r="W1301" s="210"/>
      <c r="X1301" s="209"/>
      <c r="Y1301" s="210"/>
      <c r="Z1301" s="175"/>
      <c r="AA1301" s="175">
        <v>20</v>
      </c>
      <c r="AB1301" s="175"/>
      <c r="AC1301" s="175"/>
      <c r="AD1301" s="275">
        <v>46113</v>
      </c>
      <c r="AE1301" s="162" t="s">
        <v>11359</v>
      </c>
    </row>
    <row r="1302" spans="1:31" s="65" customFormat="1" ht="27" customHeight="1" x14ac:dyDescent="0.15">
      <c r="A1302" s="105">
        <v>1116000736</v>
      </c>
      <c r="B1302" s="130" t="s">
        <v>11807</v>
      </c>
      <c r="C1302" s="108" t="s">
        <v>11463</v>
      </c>
      <c r="D1302" s="108" t="s">
        <v>11464</v>
      </c>
      <c r="E1302" s="108" t="s">
        <v>11465</v>
      </c>
      <c r="F1302" s="131" t="s">
        <v>11466</v>
      </c>
      <c r="G1302" s="132" t="s">
        <v>11467</v>
      </c>
      <c r="H1302" s="132"/>
      <c r="I1302" s="133"/>
      <c r="J1302" s="134"/>
      <c r="K1302" s="134"/>
      <c r="L1302" s="134"/>
      <c r="M1302" s="134" t="s">
        <v>10951</v>
      </c>
      <c r="N1302" s="135" t="s">
        <v>10951</v>
      </c>
      <c r="O1302" s="136"/>
      <c r="P1302" s="105"/>
      <c r="Q1302" s="137"/>
      <c r="R1302" s="138"/>
      <c r="S1302" s="105"/>
      <c r="T1302" s="105"/>
      <c r="U1302" s="105"/>
      <c r="V1302" s="137"/>
      <c r="W1302" s="138"/>
      <c r="X1302" s="137"/>
      <c r="Y1302" s="138"/>
      <c r="Z1302" s="105"/>
      <c r="AA1302" s="105">
        <v>20</v>
      </c>
      <c r="AB1302" s="105"/>
      <c r="AC1302" s="105"/>
      <c r="AD1302" s="118">
        <v>46143</v>
      </c>
      <c r="AE1302" s="108" t="s">
        <v>11468</v>
      </c>
    </row>
    <row r="1303" spans="1:31" ht="26.45" customHeight="1" x14ac:dyDescent="0.15">
      <c r="A1303" s="105">
        <v>1116100049</v>
      </c>
      <c r="B1303" s="130" t="s">
        <v>12176</v>
      </c>
      <c r="C1303" s="108" t="s">
        <v>12177</v>
      </c>
      <c r="D1303" s="108" t="s">
        <v>102</v>
      </c>
      <c r="E1303" s="108" t="s">
        <v>12178</v>
      </c>
      <c r="F1303" s="131">
        <v>3400141</v>
      </c>
      <c r="G1303" s="132" t="s">
        <v>12179</v>
      </c>
      <c r="H1303" s="132" t="s">
        <v>12180</v>
      </c>
      <c r="I1303" s="133"/>
      <c r="J1303" s="134"/>
      <c r="K1303" s="134"/>
      <c r="L1303" s="134"/>
      <c r="M1303" s="134" t="s">
        <v>49</v>
      </c>
      <c r="N1303" s="135"/>
      <c r="O1303" s="136"/>
      <c r="P1303" s="105">
        <v>50</v>
      </c>
      <c r="Q1303" s="152" t="s">
        <v>2610</v>
      </c>
      <c r="R1303" s="138">
        <v>2</v>
      </c>
      <c r="S1303" s="105"/>
      <c r="T1303" s="105">
        <v>75</v>
      </c>
      <c r="U1303" s="105"/>
      <c r="V1303" s="137"/>
      <c r="W1303" s="138"/>
      <c r="X1303" s="137"/>
      <c r="Y1303" s="138"/>
      <c r="Z1303" s="105"/>
      <c r="AA1303" s="105"/>
      <c r="AB1303" s="105"/>
      <c r="AC1303" s="105"/>
      <c r="AD1303" s="118">
        <v>39845</v>
      </c>
      <c r="AE1303" s="108" t="s">
        <v>12181</v>
      </c>
    </row>
    <row r="1304" spans="1:31" s="65" customFormat="1" ht="27" customHeight="1" x14ac:dyDescent="0.15">
      <c r="A1304" s="105">
        <v>1116100056</v>
      </c>
      <c r="B1304" s="106" t="s">
        <v>1435</v>
      </c>
      <c r="C1304" s="107" t="s">
        <v>1266</v>
      </c>
      <c r="D1304" s="108" t="s">
        <v>102</v>
      </c>
      <c r="E1304" s="108" t="s">
        <v>1265</v>
      </c>
      <c r="F1304" s="139">
        <v>3400124</v>
      </c>
      <c r="G1304" s="140" t="s">
        <v>1264</v>
      </c>
      <c r="H1304" s="140" t="s">
        <v>1263</v>
      </c>
      <c r="I1304" s="141"/>
      <c r="J1304" s="142"/>
      <c r="K1304" s="142"/>
      <c r="L1304" s="142"/>
      <c r="M1304" s="142" t="s">
        <v>1213</v>
      </c>
      <c r="N1304" s="143"/>
      <c r="O1304" s="138"/>
      <c r="P1304" s="105"/>
      <c r="Q1304" s="137"/>
      <c r="R1304" s="138">
        <v>4</v>
      </c>
      <c r="S1304" s="105"/>
      <c r="T1304" s="105">
        <v>30</v>
      </c>
      <c r="U1304" s="105"/>
      <c r="V1304" s="116"/>
      <c r="W1304" s="117"/>
      <c r="X1304" s="116"/>
      <c r="Y1304" s="138"/>
      <c r="Z1304" s="105"/>
      <c r="AA1304" s="105">
        <v>25</v>
      </c>
      <c r="AB1304" s="105"/>
      <c r="AC1304" s="105"/>
      <c r="AD1304" s="155">
        <v>40634</v>
      </c>
      <c r="AE1304" s="108" t="s">
        <v>1262</v>
      </c>
    </row>
    <row r="1305" spans="1:31" ht="27" customHeight="1" x14ac:dyDescent="0.15">
      <c r="A1305" s="105">
        <v>1116100148</v>
      </c>
      <c r="B1305" s="130" t="s">
        <v>27</v>
      </c>
      <c r="C1305" s="108" t="s">
        <v>12182</v>
      </c>
      <c r="D1305" s="108" t="s">
        <v>102</v>
      </c>
      <c r="E1305" s="108" t="s">
        <v>214</v>
      </c>
      <c r="F1305" s="131">
        <v>3400156</v>
      </c>
      <c r="G1305" s="132" t="s">
        <v>752</v>
      </c>
      <c r="H1305" s="132" t="s">
        <v>752</v>
      </c>
      <c r="I1305" s="133"/>
      <c r="J1305" s="134"/>
      <c r="K1305" s="134"/>
      <c r="L1305" s="134"/>
      <c r="M1305" s="134"/>
      <c r="N1305" s="135" t="s">
        <v>49</v>
      </c>
      <c r="O1305" s="136"/>
      <c r="P1305" s="105"/>
      <c r="Q1305" s="137"/>
      <c r="R1305" s="138"/>
      <c r="S1305" s="105"/>
      <c r="T1305" s="105"/>
      <c r="U1305" s="105"/>
      <c r="V1305" s="137"/>
      <c r="W1305" s="136"/>
      <c r="X1305" s="137"/>
      <c r="Y1305" s="138"/>
      <c r="Z1305" s="105"/>
      <c r="AA1305" s="105">
        <v>20</v>
      </c>
      <c r="AB1305" s="105"/>
      <c r="AC1305" s="105"/>
      <c r="AD1305" s="155">
        <v>39538</v>
      </c>
      <c r="AE1305" s="108" t="s">
        <v>12183</v>
      </c>
    </row>
    <row r="1306" spans="1:31" ht="27" customHeight="1" x14ac:dyDescent="0.15">
      <c r="A1306" s="105">
        <v>1116100189</v>
      </c>
      <c r="B1306" s="130" t="s">
        <v>1373</v>
      </c>
      <c r="C1306" s="108" t="s">
        <v>1374</v>
      </c>
      <c r="D1306" s="108" t="s">
        <v>102</v>
      </c>
      <c r="E1306" s="108" t="s">
        <v>1375</v>
      </c>
      <c r="F1306" s="131">
        <v>3400161</v>
      </c>
      <c r="G1306" s="132" t="s">
        <v>3840</v>
      </c>
      <c r="H1306" s="132" t="s">
        <v>3840</v>
      </c>
      <c r="I1306" s="133" t="s">
        <v>3841</v>
      </c>
      <c r="J1306" s="134" t="s">
        <v>3841</v>
      </c>
      <c r="K1306" s="134" t="s">
        <v>3841</v>
      </c>
      <c r="L1306" s="134" t="s">
        <v>3841</v>
      </c>
      <c r="M1306" s="134" t="s">
        <v>3841</v>
      </c>
      <c r="N1306" s="135"/>
      <c r="O1306" s="136"/>
      <c r="P1306" s="105"/>
      <c r="Q1306" s="137"/>
      <c r="R1306" s="138"/>
      <c r="S1306" s="105"/>
      <c r="T1306" s="105">
        <v>16</v>
      </c>
      <c r="U1306" s="105"/>
      <c r="V1306" s="137"/>
      <c r="W1306" s="136"/>
      <c r="X1306" s="137"/>
      <c r="Y1306" s="138"/>
      <c r="Z1306" s="105"/>
      <c r="AA1306" s="105">
        <v>20</v>
      </c>
      <c r="AB1306" s="105"/>
      <c r="AC1306" s="105"/>
      <c r="AD1306" s="155">
        <v>40634</v>
      </c>
      <c r="AE1306" s="108" t="s">
        <v>1394</v>
      </c>
    </row>
    <row r="1307" spans="1:31" ht="27" customHeight="1" x14ac:dyDescent="0.15">
      <c r="A1307" s="132">
        <v>1116100262</v>
      </c>
      <c r="B1307" s="130" t="s">
        <v>5473</v>
      </c>
      <c r="C1307" s="108" t="s">
        <v>5474</v>
      </c>
      <c r="D1307" s="108" t="s">
        <v>102</v>
      </c>
      <c r="E1307" s="108" t="s">
        <v>5475</v>
      </c>
      <c r="F1307" s="131" t="s">
        <v>5476</v>
      </c>
      <c r="G1307" s="132" t="s">
        <v>5477</v>
      </c>
      <c r="H1307" s="132" t="s">
        <v>5477</v>
      </c>
      <c r="I1307" s="133"/>
      <c r="J1307" s="134"/>
      <c r="K1307" s="134"/>
      <c r="L1307" s="134" t="s">
        <v>49</v>
      </c>
      <c r="M1307" s="134" t="s">
        <v>49</v>
      </c>
      <c r="N1307" s="135" t="s">
        <v>49</v>
      </c>
      <c r="O1307" s="136" t="s">
        <v>49</v>
      </c>
      <c r="P1307" s="105"/>
      <c r="Q1307" s="152"/>
      <c r="R1307" s="138"/>
      <c r="S1307" s="132"/>
      <c r="T1307" s="105"/>
      <c r="U1307" s="132"/>
      <c r="V1307" s="116"/>
      <c r="W1307" s="117"/>
      <c r="X1307" s="152"/>
      <c r="Y1307" s="136"/>
      <c r="Z1307" s="132">
        <v>20</v>
      </c>
      <c r="AA1307" s="132"/>
      <c r="AB1307" s="132"/>
      <c r="AC1307" s="132"/>
      <c r="AD1307" s="155">
        <v>43800</v>
      </c>
      <c r="AE1307" s="108" t="s">
        <v>5478</v>
      </c>
    </row>
    <row r="1308" spans="1:31" s="65" customFormat="1" ht="27" customHeight="1" x14ac:dyDescent="0.15">
      <c r="A1308" s="105">
        <v>1116100270</v>
      </c>
      <c r="B1308" s="106" t="s">
        <v>7310</v>
      </c>
      <c r="C1308" s="107" t="s">
        <v>7311</v>
      </c>
      <c r="D1308" s="108" t="s">
        <v>102</v>
      </c>
      <c r="E1308" s="108" t="s">
        <v>7312</v>
      </c>
      <c r="F1308" s="139" t="s">
        <v>7313</v>
      </c>
      <c r="G1308" s="140" t="s">
        <v>7314</v>
      </c>
      <c r="H1308" s="140" t="s">
        <v>7315</v>
      </c>
      <c r="I1308" s="141"/>
      <c r="J1308" s="142"/>
      <c r="K1308" s="142" t="s">
        <v>765</v>
      </c>
      <c r="L1308" s="142" t="s">
        <v>765</v>
      </c>
      <c r="M1308" s="142" t="s">
        <v>765</v>
      </c>
      <c r="N1308" s="143" t="s">
        <v>49</v>
      </c>
      <c r="O1308" s="138"/>
      <c r="P1308" s="105"/>
      <c r="Q1308" s="137"/>
      <c r="R1308" s="138"/>
      <c r="S1308" s="105"/>
      <c r="T1308" s="105"/>
      <c r="U1308" s="105"/>
      <c r="V1308" s="137"/>
      <c r="W1308" s="138"/>
      <c r="X1308" s="137"/>
      <c r="Y1308" s="138"/>
      <c r="Z1308" s="105"/>
      <c r="AA1308" s="105">
        <v>20</v>
      </c>
      <c r="AB1308" s="105"/>
      <c r="AC1308" s="105"/>
      <c r="AD1308" s="144">
        <v>44621</v>
      </c>
      <c r="AE1308" s="108" t="s">
        <v>7316</v>
      </c>
    </row>
    <row r="1309" spans="1:31" ht="27" customHeight="1" x14ac:dyDescent="0.15">
      <c r="A1309" s="105">
        <v>1116100288</v>
      </c>
      <c r="B1309" s="106" t="s">
        <v>7799</v>
      </c>
      <c r="C1309" s="107" t="s">
        <v>7800</v>
      </c>
      <c r="D1309" s="108" t="s">
        <v>102</v>
      </c>
      <c r="E1309" s="108" t="s">
        <v>7801</v>
      </c>
      <c r="F1309" s="139" t="s">
        <v>7802</v>
      </c>
      <c r="G1309" s="140" t="s">
        <v>7803</v>
      </c>
      <c r="H1309" s="140" t="s">
        <v>7804</v>
      </c>
      <c r="I1309" s="141"/>
      <c r="J1309" s="142"/>
      <c r="K1309" s="142"/>
      <c r="L1309" s="142"/>
      <c r="M1309" s="142" t="s">
        <v>765</v>
      </c>
      <c r="N1309" s="143" t="s">
        <v>49</v>
      </c>
      <c r="O1309" s="138"/>
      <c r="P1309" s="105"/>
      <c r="Q1309" s="137"/>
      <c r="R1309" s="138"/>
      <c r="S1309" s="105"/>
      <c r="T1309" s="105"/>
      <c r="U1309" s="105"/>
      <c r="V1309" s="137"/>
      <c r="W1309" s="138"/>
      <c r="X1309" s="137"/>
      <c r="Y1309" s="138"/>
      <c r="Z1309" s="105"/>
      <c r="AA1309" s="105">
        <v>20</v>
      </c>
      <c r="AB1309" s="105"/>
      <c r="AC1309" s="105"/>
      <c r="AD1309" s="144">
        <v>44805</v>
      </c>
      <c r="AE1309" s="108" t="s">
        <v>7805</v>
      </c>
    </row>
    <row r="1310" spans="1:31" s="218" customFormat="1" ht="27" customHeight="1" x14ac:dyDescent="0.15">
      <c r="A1310" s="105">
        <v>1116100304</v>
      </c>
      <c r="B1310" s="106" t="s">
        <v>8212</v>
      </c>
      <c r="C1310" s="107" t="s">
        <v>8213</v>
      </c>
      <c r="D1310" s="108" t="s">
        <v>102</v>
      </c>
      <c r="E1310" s="108" t="s">
        <v>8214</v>
      </c>
      <c r="F1310" s="139" t="s">
        <v>8215</v>
      </c>
      <c r="G1310" s="140" t="s">
        <v>8399</v>
      </c>
      <c r="H1310" s="140" t="s">
        <v>8400</v>
      </c>
      <c r="I1310" s="141"/>
      <c r="J1310" s="142"/>
      <c r="K1310" s="142"/>
      <c r="L1310" s="142"/>
      <c r="M1310" s="142" t="s">
        <v>49</v>
      </c>
      <c r="N1310" s="143"/>
      <c r="O1310" s="138"/>
      <c r="P1310" s="105"/>
      <c r="Q1310" s="137"/>
      <c r="R1310" s="138"/>
      <c r="S1310" s="105"/>
      <c r="T1310" s="105">
        <v>30</v>
      </c>
      <c r="U1310" s="105"/>
      <c r="V1310" s="137"/>
      <c r="W1310" s="138"/>
      <c r="X1310" s="137"/>
      <c r="Y1310" s="138"/>
      <c r="Z1310" s="105"/>
      <c r="AA1310" s="105"/>
      <c r="AB1310" s="105"/>
      <c r="AC1310" s="105"/>
      <c r="AD1310" s="144">
        <v>45017</v>
      </c>
      <c r="AE1310" s="108" t="s">
        <v>8216</v>
      </c>
    </row>
    <row r="1311" spans="1:31" s="65" customFormat="1" ht="27" customHeight="1" x14ac:dyDescent="0.15">
      <c r="A1311" s="132">
        <v>1116100338</v>
      </c>
      <c r="B1311" s="130" t="s">
        <v>9873</v>
      </c>
      <c r="C1311" s="108" t="s">
        <v>9874</v>
      </c>
      <c r="D1311" s="108" t="s">
        <v>102</v>
      </c>
      <c r="E1311" s="108" t="s">
        <v>9875</v>
      </c>
      <c r="F1311" s="139" t="s">
        <v>5476</v>
      </c>
      <c r="G1311" s="140" t="s">
        <v>9876</v>
      </c>
      <c r="H1311" s="140" t="s">
        <v>9877</v>
      </c>
      <c r="I1311" s="143"/>
      <c r="J1311" s="143"/>
      <c r="K1311" s="143"/>
      <c r="L1311" s="143"/>
      <c r="M1311" s="143" t="s">
        <v>765</v>
      </c>
      <c r="N1311" s="143" t="s">
        <v>765</v>
      </c>
      <c r="O1311" s="143"/>
      <c r="P1311" s="105"/>
      <c r="Q1311" s="137"/>
      <c r="R1311" s="138"/>
      <c r="S1311" s="105"/>
      <c r="T1311" s="105"/>
      <c r="U1311" s="105"/>
      <c r="V1311" s="137"/>
      <c r="W1311" s="138"/>
      <c r="X1311" s="137"/>
      <c r="Y1311" s="138"/>
      <c r="Z1311" s="105"/>
      <c r="AA1311" s="105">
        <v>20</v>
      </c>
      <c r="AB1311" s="105"/>
      <c r="AC1311" s="105"/>
      <c r="AD1311" s="155">
        <v>45689</v>
      </c>
      <c r="AE1311" s="108" t="s">
        <v>11440</v>
      </c>
    </row>
    <row r="1312" spans="1:31" s="65" customFormat="1" ht="27" customHeight="1" x14ac:dyDescent="0.15">
      <c r="A1312" s="132">
        <v>1116100353</v>
      </c>
      <c r="B1312" s="130" t="s">
        <v>10345</v>
      </c>
      <c r="C1312" s="108" t="s">
        <v>10346</v>
      </c>
      <c r="D1312" s="108" t="s">
        <v>102</v>
      </c>
      <c r="E1312" s="108" t="s">
        <v>10347</v>
      </c>
      <c r="F1312" s="264" t="s">
        <v>10348</v>
      </c>
      <c r="G1312" s="137" t="s">
        <v>10349</v>
      </c>
      <c r="H1312" s="137" t="s">
        <v>10350</v>
      </c>
      <c r="I1312" s="141"/>
      <c r="J1312" s="142"/>
      <c r="K1312" s="142"/>
      <c r="L1312" s="142"/>
      <c r="M1312" s="142" t="s">
        <v>6433</v>
      </c>
      <c r="N1312" s="143" t="s">
        <v>6433</v>
      </c>
      <c r="O1312" s="92"/>
      <c r="P1312" s="105"/>
      <c r="Q1312" s="137"/>
      <c r="R1312" s="138"/>
      <c r="S1312" s="105"/>
      <c r="T1312" s="105"/>
      <c r="U1312" s="105"/>
      <c r="V1312" s="137"/>
      <c r="W1312" s="138"/>
      <c r="X1312" s="137"/>
      <c r="Y1312" s="138"/>
      <c r="Z1312" s="105"/>
      <c r="AA1312" s="105">
        <v>20</v>
      </c>
      <c r="AB1312" s="105"/>
      <c r="AC1312" s="105"/>
      <c r="AD1312" s="118">
        <v>45809</v>
      </c>
      <c r="AE1312" s="108" t="s">
        <v>10351</v>
      </c>
    </row>
    <row r="1313" spans="1:31" s="65" customFormat="1" ht="27" customHeight="1" x14ac:dyDescent="0.15">
      <c r="A1313" s="105">
        <v>1116200104</v>
      </c>
      <c r="B1313" s="130" t="s">
        <v>418</v>
      </c>
      <c r="C1313" s="108" t="s">
        <v>28</v>
      </c>
      <c r="D1313" s="108" t="s">
        <v>472</v>
      </c>
      <c r="E1313" s="108" t="s">
        <v>29</v>
      </c>
      <c r="F1313" s="131">
        <v>3502206</v>
      </c>
      <c r="G1313" s="132" t="s">
        <v>30</v>
      </c>
      <c r="H1313" s="132" t="s">
        <v>30</v>
      </c>
      <c r="I1313" s="133" t="s">
        <v>302</v>
      </c>
      <c r="J1313" s="134" t="s">
        <v>302</v>
      </c>
      <c r="K1313" s="134" t="s">
        <v>302</v>
      </c>
      <c r="L1313" s="134" t="s">
        <v>302</v>
      </c>
      <c r="M1313" s="134" t="s">
        <v>302</v>
      </c>
      <c r="N1313" s="135" t="s">
        <v>302</v>
      </c>
      <c r="O1313" s="136" t="s">
        <v>2170</v>
      </c>
      <c r="P1313" s="105"/>
      <c r="Q1313" s="137"/>
      <c r="R1313" s="138"/>
      <c r="S1313" s="105"/>
      <c r="T1313" s="105"/>
      <c r="U1313" s="105"/>
      <c r="V1313" s="137"/>
      <c r="W1313" s="138"/>
      <c r="X1313" s="137"/>
      <c r="Y1313" s="138"/>
      <c r="Z1313" s="105"/>
      <c r="AA1313" s="105">
        <v>20</v>
      </c>
      <c r="AB1313" s="105"/>
      <c r="AC1313" s="105"/>
      <c r="AD1313" s="118">
        <v>39722</v>
      </c>
      <c r="AE1313" s="108" t="s">
        <v>31</v>
      </c>
    </row>
    <row r="1314" spans="1:31" s="65" customFormat="1" ht="27" customHeight="1" x14ac:dyDescent="0.15">
      <c r="A1314" s="105">
        <v>1116200112</v>
      </c>
      <c r="B1314" s="130" t="s">
        <v>125</v>
      </c>
      <c r="C1314" s="108" t="s">
        <v>126</v>
      </c>
      <c r="D1314" s="108" t="s">
        <v>472</v>
      </c>
      <c r="E1314" s="108" t="s">
        <v>32</v>
      </c>
      <c r="F1314" s="131">
        <v>3502217</v>
      </c>
      <c r="G1314" s="132" t="s">
        <v>33</v>
      </c>
      <c r="H1314" s="132" t="s">
        <v>34</v>
      </c>
      <c r="I1314" s="133"/>
      <c r="J1314" s="134"/>
      <c r="K1314" s="134"/>
      <c r="L1314" s="134"/>
      <c r="M1314" s="134" t="s">
        <v>289</v>
      </c>
      <c r="N1314" s="135"/>
      <c r="O1314" s="136"/>
      <c r="P1314" s="105"/>
      <c r="Q1314" s="137"/>
      <c r="R1314" s="138"/>
      <c r="S1314" s="105"/>
      <c r="T1314" s="105"/>
      <c r="U1314" s="105"/>
      <c r="V1314" s="137"/>
      <c r="W1314" s="138"/>
      <c r="X1314" s="137"/>
      <c r="Y1314" s="138"/>
      <c r="Z1314" s="105"/>
      <c r="AA1314" s="105">
        <v>35</v>
      </c>
      <c r="AB1314" s="105"/>
      <c r="AC1314" s="105"/>
      <c r="AD1314" s="118">
        <v>39783</v>
      </c>
      <c r="AE1314" s="108" t="s">
        <v>127</v>
      </c>
    </row>
    <row r="1315" spans="1:31" s="65" customFormat="1" ht="27" customHeight="1" x14ac:dyDescent="0.15">
      <c r="A1315" s="105">
        <v>1116200120</v>
      </c>
      <c r="B1315" s="130" t="s">
        <v>440</v>
      </c>
      <c r="C1315" s="108" t="s">
        <v>7746</v>
      </c>
      <c r="D1315" s="108" t="s">
        <v>472</v>
      </c>
      <c r="E1315" s="108" t="s">
        <v>2498</v>
      </c>
      <c r="F1315" s="131">
        <v>3502225</v>
      </c>
      <c r="G1315" s="132" t="s">
        <v>35</v>
      </c>
      <c r="H1315" s="132" t="s">
        <v>2499</v>
      </c>
      <c r="I1315" s="133" t="s">
        <v>49</v>
      </c>
      <c r="J1315" s="134" t="s">
        <v>49</v>
      </c>
      <c r="K1315" s="134" t="s">
        <v>49</v>
      </c>
      <c r="L1315" s="134" t="s">
        <v>49</v>
      </c>
      <c r="M1315" s="134" t="s">
        <v>49</v>
      </c>
      <c r="N1315" s="135" t="s">
        <v>49</v>
      </c>
      <c r="O1315" s="136" t="s">
        <v>49</v>
      </c>
      <c r="P1315" s="105"/>
      <c r="Q1315" s="137"/>
      <c r="R1315" s="138"/>
      <c r="S1315" s="105"/>
      <c r="T1315" s="105">
        <v>30</v>
      </c>
      <c r="U1315" s="105"/>
      <c r="V1315" s="137"/>
      <c r="W1315" s="138"/>
      <c r="X1315" s="137"/>
      <c r="Y1315" s="138"/>
      <c r="Z1315" s="105"/>
      <c r="AA1315" s="105">
        <v>20</v>
      </c>
      <c r="AB1315" s="105"/>
      <c r="AC1315" s="105"/>
      <c r="AD1315" s="118">
        <v>39783</v>
      </c>
      <c r="AE1315" s="108" t="s">
        <v>58</v>
      </c>
    </row>
    <row r="1316" spans="1:31" ht="27" customHeight="1" x14ac:dyDescent="0.15">
      <c r="A1316" s="132">
        <v>1116200179</v>
      </c>
      <c r="B1316" s="204" t="s">
        <v>1842</v>
      </c>
      <c r="C1316" s="162" t="s">
        <v>1841</v>
      </c>
      <c r="D1316" s="108" t="s">
        <v>472</v>
      </c>
      <c r="E1316" s="108" t="s">
        <v>2777</v>
      </c>
      <c r="F1316" s="131" t="s">
        <v>1966</v>
      </c>
      <c r="G1316" s="132" t="s">
        <v>1967</v>
      </c>
      <c r="H1316" s="132" t="s">
        <v>1843</v>
      </c>
      <c r="I1316" s="133" t="s">
        <v>1962</v>
      </c>
      <c r="J1316" s="134" t="s">
        <v>1962</v>
      </c>
      <c r="K1316" s="134" t="s">
        <v>1962</v>
      </c>
      <c r="L1316" s="134" t="s">
        <v>1962</v>
      </c>
      <c r="M1316" s="134" t="s">
        <v>1962</v>
      </c>
      <c r="N1316" s="135" t="s">
        <v>1962</v>
      </c>
      <c r="O1316" s="136"/>
      <c r="P1316" s="105"/>
      <c r="Q1316" s="137"/>
      <c r="R1316" s="138"/>
      <c r="S1316" s="105"/>
      <c r="T1316" s="105"/>
      <c r="U1316" s="105"/>
      <c r="V1316" s="137"/>
      <c r="W1316" s="138"/>
      <c r="X1316" s="137"/>
      <c r="Y1316" s="138"/>
      <c r="Z1316" s="105"/>
      <c r="AA1316" s="105">
        <v>20</v>
      </c>
      <c r="AB1316" s="105"/>
      <c r="AC1316" s="105"/>
      <c r="AD1316" s="118">
        <v>41000</v>
      </c>
      <c r="AE1316" s="108" t="s">
        <v>1968</v>
      </c>
    </row>
    <row r="1317" spans="1:31" s="311" customFormat="1" ht="27" customHeight="1" x14ac:dyDescent="0.15">
      <c r="A1317" s="132">
        <v>1116200245</v>
      </c>
      <c r="B1317" s="130" t="s">
        <v>2198</v>
      </c>
      <c r="C1317" s="108" t="s">
        <v>2152</v>
      </c>
      <c r="D1317" s="108" t="s">
        <v>472</v>
      </c>
      <c r="E1317" s="108" t="s">
        <v>2199</v>
      </c>
      <c r="F1317" s="131" t="s">
        <v>2200</v>
      </c>
      <c r="G1317" s="132" t="s">
        <v>2201</v>
      </c>
      <c r="H1317" s="132" t="s">
        <v>2153</v>
      </c>
      <c r="I1317" s="133" t="s">
        <v>49</v>
      </c>
      <c r="J1317" s="134" t="s">
        <v>49</v>
      </c>
      <c r="K1317" s="134" t="s">
        <v>49</v>
      </c>
      <c r="L1317" s="134" t="s">
        <v>49</v>
      </c>
      <c r="M1317" s="134" t="s">
        <v>49</v>
      </c>
      <c r="N1317" s="135" t="s">
        <v>49</v>
      </c>
      <c r="O1317" s="136" t="s">
        <v>49</v>
      </c>
      <c r="P1317" s="105"/>
      <c r="Q1317" s="137"/>
      <c r="R1317" s="138"/>
      <c r="S1317" s="105"/>
      <c r="T1317" s="105"/>
      <c r="U1317" s="105"/>
      <c r="V1317" s="137"/>
      <c r="W1317" s="138"/>
      <c r="X1317" s="137"/>
      <c r="Y1317" s="138"/>
      <c r="Z1317" s="105"/>
      <c r="AA1317" s="105">
        <v>20</v>
      </c>
      <c r="AB1317" s="105"/>
      <c r="AC1317" s="105"/>
      <c r="AD1317" s="118">
        <v>41365</v>
      </c>
      <c r="AE1317" s="108" t="s">
        <v>2203</v>
      </c>
    </row>
    <row r="1318" spans="1:31" s="65" customFormat="1" ht="27" customHeight="1" x14ac:dyDescent="0.15">
      <c r="A1318" s="132">
        <v>1116200252</v>
      </c>
      <c r="B1318" s="130" t="s">
        <v>125</v>
      </c>
      <c r="C1318" s="108" t="s">
        <v>2154</v>
      </c>
      <c r="D1318" s="108" t="s">
        <v>472</v>
      </c>
      <c r="E1318" s="108" t="s">
        <v>2204</v>
      </c>
      <c r="F1318" s="131" t="s">
        <v>2205</v>
      </c>
      <c r="G1318" s="132" t="s">
        <v>2206</v>
      </c>
      <c r="H1318" s="132" t="s">
        <v>2155</v>
      </c>
      <c r="I1318" s="133"/>
      <c r="J1318" s="134"/>
      <c r="K1318" s="134"/>
      <c r="L1318" s="134"/>
      <c r="M1318" s="134" t="s">
        <v>2202</v>
      </c>
      <c r="N1318" s="135"/>
      <c r="O1318" s="136"/>
      <c r="P1318" s="105"/>
      <c r="Q1318" s="137"/>
      <c r="R1318" s="138"/>
      <c r="S1318" s="105"/>
      <c r="T1318" s="105"/>
      <c r="U1318" s="105"/>
      <c r="V1318" s="137"/>
      <c r="W1318" s="138"/>
      <c r="X1318" s="137"/>
      <c r="Y1318" s="138"/>
      <c r="Z1318" s="105"/>
      <c r="AA1318" s="105">
        <v>20</v>
      </c>
      <c r="AB1318" s="105"/>
      <c r="AC1318" s="105"/>
      <c r="AD1318" s="118">
        <v>41365</v>
      </c>
      <c r="AE1318" s="108" t="s">
        <v>2207</v>
      </c>
    </row>
    <row r="1319" spans="1:31" ht="27" customHeight="1" x14ac:dyDescent="0.15">
      <c r="A1319" s="322">
        <v>1116200310</v>
      </c>
      <c r="B1319" s="314" t="s">
        <v>3006</v>
      </c>
      <c r="C1319" s="315" t="s">
        <v>3007</v>
      </c>
      <c r="D1319" s="315" t="s">
        <v>472</v>
      </c>
      <c r="E1319" s="315" t="s">
        <v>3078</v>
      </c>
      <c r="F1319" s="368" t="s">
        <v>3410</v>
      </c>
      <c r="G1319" s="313" t="s">
        <v>3411</v>
      </c>
      <c r="H1319" s="313" t="s">
        <v>3412</v>
      </c>
      <c r="I1319" s="331" t="s">
        <v>765</v>
      </c>
      <c r="J1319" s="332" t="s">
        <v>765</v>
      </c>
      <c r="K1319" s="332" t="s">
        <v>765</v>
      </c>
      <c r="L1319" s="332" t="s">
        <v>765</v>
      </c>
      <c r="M1319" s="332" t="s">
        <v>49</v>
      </c>
      <c r="N1319" s="333" t="s">
        <v>765</v>
      </c>
      <c r="O1319" s="334" t="s">
        <v>765</v>
      </c>
      <c r="P1319" s="322"/>
      <c r="Q1319" s="323"/>
      <c r="R1319" s="321"/>
      <c r="S1319" s="322"/>
      <c r="T1319" s="322"/>
      <c r="U1319" s="322"/>
      <c r="V1319" s="323"/>
      <c r="W1319" s="321"/>
      <c r="X1319" s="323"/>
      <c r="Y1319" s="321"/>
      <c r="Z1319" s="322"/>
      <c r="AA1319" s="322">
        <v>40</v>
      </c>
      <c r="AB1319" s="322"/>
      <c r="AC1319" s="322"/>
      <c r="AD1319" s="369">
        <v>42156</v>
      </c>
      <c r="AE1319" s="315" t="s">
        <v>3008</v>
      </c>
    </row>
    <row r="1320" spans="1:31" ht="27" customHeight="1" x14ac:dyDescent="0.15">
      <c r="A1320" s="105">
        <v>1116200336</v>
      </c>
      <c r="B1320" s="130" t="s">
        <v>3337</v>
      </c>
      <c r="C1320" s="130" t="s">
        <v>3338</v>
      </c>
      <c r="D1320" s="108" t="s">
        <v>472</v>
      </c>
      <c r="E1320" s="108" t="s">
        <v>3339</v>
      </c>
      <c r="F1320" s="131" t="s">
        <v>3340</v>
      </c>
      <c r="G1320" s="132" t="s">
        <v>3341</v>
      </c>
      <c r="H1320" s="132" t="s">
        <v>3341</v>
      </c>
      <c r="I1320" s="133" t="s">
        <v>765</v>
      </c>
      <c r="J1320" s="134" t="s">
        <v>765</v>
      </c>
      <c r="K1320" s="134" t="s">
        <v>765</v>
      </c>
      <c r="L1320" s="134" t="s">
        <v>765</v>
      </c>
      <c r="M1320" s="134" t="s">
        <v>49</v>
      </c>
      <c r="N1320" s="135" t="s">
        <v>765</v>
      </c>
      <c r="O1320" s="136" t="s">
        <v>765</v>
      </c>
      <c r="P1320" s="105"/>
      <c r="Q1320" s="137"/>
      <c r="R1320" s="138"/>
      <c r="S1320" s="105"/>
      <c r="T1320" s="105">
        <v>20</v>
      </c>
      <c r="U1320" s="105"/>
      <c r="V1320" s="137"/>
      <c r="W1320" s="138"/>
      <c r="X1320" s="152"/>
      <c r="Y1320" s="138"/>
      <c r="Z1320" s="105"/>
      <c r="AA1320" s="105"/>
      <c r="AB1320" s="105"/>
      <c r="AC1320" s="105"/>
      <c r="AD1320" s="118">
        <v>42461</v>
      </c>
      <c r="AE1320" s="108" t="s">
        <v>3342</v>
      </c>
    </row>
    <row r="1321" spans="1:31" ht="27" customHeight="1" x14ac:dyDescent="0.15">
      <c r="A1321" s="105">
        <v>1116200369</v>
      </c>
      <c r="B1321" s="130" t="s">
        <v>3529</v>
      </c>
      <c r="C1321" s="108" t="s">
        <v>12174</v>
      </c>
      <c r="D1321" s="108" t="s">
        <v>472</v>
      </c>
      <c r="E1321" s="108" t="s">
        <v>3530</v>
      </c>
      <c r="F1321" s="131" t="s">
        <v>3531</v>
      </c>
      <c r="G1321" s="132" t="s">
        <v>3532</v>
      </c>
      <c r="H1321" s="132" t="s">
        <v>12175</v>
      </c>
      <c r="I1321" s="133" t="s">
        <v>765</v>
      </c>
      <c r="J1321" s="134" t="s">
        <v>765</v>
      </c>
      <c r="K1321" s="134" t="s">
        <v>765</v>
      </c>
      <c r="L1321" s="134" t="s">
        <v>765</v>
      </c>
      <c r="M1321" s="134" t="s">
        <v>49</v>
      </c>
      <c r="N1321" s="135" t="s">
        <v>765</v>
      </c>
      <c r="O1321" s="136" t="s">
        <v>765</v>
      </c>
      <c r="P1321" s="132"/>
      <c r="Q1321" s="152"/>
      <c r="R1321" s="136"/>
      <c r="S1321" s="132"/>
      <c r="T1321" s="105">
        <v>20</v>
      </c>
      <c r="U1321" s="132"/>
      <c r="V1321" s="152"/>
      <c r="W1321" s="136"/>
      <c r="X1321" s="152"/>
      <c r="Y1321" s="136"/>
      <c r="Z1321" s="132"/>
      <c r="AA1321" s="132"/>
      <c r="AB1321" s="132"/>
      <c r="AC1321" s="132"/>
      <c r="AD1321" s="155">
        <v>42614</v>
      </c>
      <c r="AE1321" s="108" t="s">
        <v>3533</v>
      </c>
    </row>
    <row r="1322" spans="1:31" ht="27" customHeight="1" x14ac:dyDescent="0.15">
      <c r="A1322" s="105">
        <v>1116200427</v>
      </c>
      <c r="B1322" s="130" t="s">
        <v>7080</v>
      </c>
      <c r="C1322" s="108" t="s">
        <v>7081</v>
      </c>
      <c r="D1322" s="108" t="s">
        <v>472</v>
      </c>
      <c r="E1322" s="108" t="s">
        <v>7082</v>
      </c>
      <c r="F1322" s="264" t="s">
        <v>7083</v>
      </c>
      <c r="G1322" s="105" t="s">
        <v>7084</v>
      </c>
      <c r="H1322" s="105" t="s">
        <v>7085</v>
      </c>
      <c r="I1322" s="133"/>
      <c r="J1322" s="134"/>
      <c r="K1322" s="134"/>
      <c r="L1322" s="134"/>
      <c r="M1322" s="134" t="s">
        <v>49</v>
      </c>
      <c r="N1322" s="135" t="s">
        <v>49</v>
      </c>
      <c r="O1322" s="136"/>
      <c r="P1322" s="105"/>
      <c r="Q1322" s="152"/>
      <c r="R1322" s="138"/>
      <c r="S1322" s="132"/>
      <c r="T1322" s="105">
        <v>20</v>
      </c>
      <c r="U1322" s="132"/>
      <c r="V1322" s="133"/>
      <c r="W1322" s="242"/>
      <c r="X1322" s="133"/>
      <c r="Y1322" s="136"/>
      <c r="Z1322" s="132"/>
      <c r="AA1322" s="132"/>
      <c r="AB1322" s="132"/>
      <c r="AC1322" s="132"/>
      <c r="AD1322" s="118">
        <v>44501</v>
      </c>
      <c r="AE1322" s="108" t="s">
        <v>7086</v>
      </c>
    </row>
    <row r="1323" spans="1:31" ht="27" customHeight="1" x14ac:dyDescent="0.15">
      <c r="A1323" s="105">
        <v>1116200484</v>
      </c>
      <c r="B1323" s="130" t="s">
        <v>8480</v>
      </c>
      <c r="C1323" s="108" t="s">
        <v>8481</v>
      </c>
      <c r="D1323" s="108" t="s">
        <v>472</v>
      </c>
      <c r="E1323" s="108" t="s">
        <v>8482</v>
      </c>
      <c r="F1323" s="264" t="s">
        <v>8483</v>
      </c>
      <c r="G1323" s="105" t="s">
        <v>8484</v>
      </c>
      <c r="H1323" s="105" t="s">
        <v>8485</v>
      </c>
      <c r="I1323" s="133" t="s">
        <v>49</v>
      </c>
      <c r="J1323" s="134" t="s">
        <v>49</v>
      </c>
      <c r="K1323" s="134" t="s">
        <v>49</v>
      </c>
      <c r="L1323" s="134" t="s">
        <v>49</v>
      </c>
      <c r="M1323" s="134" t="s">
        <v>49</v>
      </c>
      <c r="N1323" s="135" t="s">
        <v>49</v>
      </c>
      <c r="O1323" s="136" t="s">
        <v>49</v>
      </c>
      <c r="P1323" s="105"/>
      <c r="Q1323" s="152"/>
      <c r="R1323" s="138"/>
      <c r="S1323" s="132"/>
      <c r="T1323" s="105">
        <v>15</v>
      </c>
      <c r="U1323" s="132"/>
      <c r="V1323" s="152"/>
      <c r="W1323" s="242"/>
      <c r="X1323" s="152"/>
      <c r="Y1323" s="136"/>
      <c r="Z1323" s="132"/>
      <c r="AA1323" s="132"/>
      <c r="AB1323" s="132"/>
      <c r="AC1323" s="132"/>
      <c r="AD1323" s="118">
        <v>45048</v>
      </c>
      <c r="AE1323" s="108" t="s">
        <v>8486</v>
      </c>
    </row>
    <row r="1324" spans="1:31" s="65" customFormat="1" ht="27" customHeight="1" x14ac:dyDescent="0.15">
      <c r="A1324" s="105">
        <v>1116200294</v>
      </c>
      <c r="B1324" s="130" t="s">
        <v>8634</v>
      </c>
      <c r="C1324" s="108" t="s">
        <v>8635</v>
      </c>
      <c r="D1324" s="108" t="s">
        <v>472</v>
      </c>
      <c r="E1324" s="108" t="s">
        <v>8636</v>
      </c>
      <c r="F1324" s="131" t="s">
        <v>1966</v>
      </c>
      <c r="G1324" s="132" t="s">
        <v>8637</v>
      </c>
      <c r="H1324" s="132" t="s">
        <v>8638</v>
      </c>
      <c r="I1324" s="133"/>
      <c r="J1324" s="134"/>
      <c r="K1324" s="134"/>
      <c r="L1324" s="134"/>
      <c r="M1324" s="134" t="s">
        <v>49</v>
      </c>
      <c r="N1324" s="135"/>
      <c r="O1324" s="136"/>
      <c r="P1324" s="105"/>
      <c r="Q1324" s="137"/>
      <c r="R1324" s="138"/>
      <c r="S1324" s="105"/>
      <c r="T1324" s="105"/>
      <c r="U1324" s="105"/>
      <c r="V1324" s="137"/>
      <c r="W1324" s="138"/>
      <c r="X1324" s="152"/>
      <c r="Y1324" s="138"/>
      <c r="Z1324" s="105"/>
      <c r="AA1324" s="132">
        <v>20</v>
      </c>
      <c r="AB1324" s="132"/>
      <c r="AC1324" s="132"/>
      <c r="AD1324" s="118">
        <v>41913</v>
      </c>
      <c r="AE1324" s="108" t="s">
        <v>8639</v>
      </c>
    </row>
    <row r="1325" spans="1:31" s="65" customFormat="1" ht="27" customHeight="1" x14ac:dyDescent="0.15">
      <c r="A1325" s="105">
        <v>1116200294</v>
      </c>
      <c r="B1325" s="130" t="s">
        <v>8634</v>
      </c>
      <c r="C1325" s="108" t="s">
        <v>8640</v>
      </c>
      <c r="D1325" s="108" t="s">
        <v>472</v>
      </c>
      <c r="E1325" s="108" t="s">
        <v>8636</v>
      </c>
      <c r="F1325" s="131" t="s">
        <v>1966</v>
      </c>
      <c r="G1325" s="132" t="s">
        <v>8637</v>
      </c>
      <c r="H1325" s="132" t="s">
        <v>8638</v>
      </c>
      <c r="I1325" s="133" t="s">
        <v>765</v>
      </c>
      <c r="J1325" s="134"/>
      <c r="K1325" s="134"/>
      <c r="L1325" s="134"/>
      <c r="M1325" s="134" t="s">
        <v>49</v>
      </c>
      <c r="N1325" s="135" t="s">
        <v>765</v>
      </c>
      <c r="O1325" s="136" t="s">
        <v>765</v>
      </c>
      <c r="P1325" s="105"/>
      <c r="Q1325" s="137"/>
      <c r="R1325" s="138"/>
      <c r="S1325" s="105"/>
      <c r="T1325" s="105"/>
      <c r="U1325" s="105"/>
      <c r="V1325" s="137"/>
      <c r="W1325" s="138"/>
      <c r="X1325" s="152"/>
      <c r="Y1325" s="138"/>
      <c r="Z1325" s="105"/>
      <c r="AA1325" s="132"/>
      <c r="AB1325" s="118" t="s">
        <v>4614</v>
      </c>
      <c r="AC1325" s="118"/>
      <c r="AD1325" s="155">
        <v>43983</v>
      </c>
      <c r="AE1325" s="108" t="s">
        <v>8639</v>
      </c>
    </row>
    <row r="1326" spans="1:31" s="65" customFormat="1" ht="27" customHeight="1" x14ac:dyDescent="0.15">
      <c r="A1326" s="105">
        <v>1116200518</v>
      </c>
      <c r="B1326" s="106" t="s">
        <v>9040</v>
      </c>
      <c r="C1326" s="107" t="s">
        <v>9041</v>
      </c>
      <c r="D1326" s="108" t="s">
        <v>8642</v>
      </c>
      <c r="E1326" s="108" t="s">
        <v>9042</v>
      </c>
      <c r="F1326" s="139" t="s">
        <v>1966</v>
      </c>
      <c r="G1326" s="140" t="s">
        <v>9043</v>
      </c>
      <c r="H1326" s="140" t="s">
        <v>9044</v>
      </c>
      <c r="I1326" s="160" t="s">
        <v>765</v>
      </c>
      <c r="J1326" s="142" t="s">
        <v>765</v>
      </c>
      <c r="K1326" s="142" t="s">
        <v>765</v>
      </c>
      <c r="L1326" s="142" t="s">
        <v>765</v>
      </c>
      <c r="M1326" s="142" t="s">
        <v>765</v>
      </c>
      <c r="N1326" s="143" t="s">
        <v>765</v>
      </c>
      <c r="O1326" s="138" t="s">
        <v>765</v>
      </c>
      <c r="P1326" s="105"/>
      <c r="Q1326" s="137"/>
      <c r="R1326" s="138"/>
      <c r="S1326" s="105"/>
      <c r="T1326" s="105">
        <v>20</v>
      </c>
      <c r="U1326" s="105"/>
      <c r="V1326" s="137"/>
      <c r="W1326" s="138"/>
      <c r="X1326" s="137"/>
      <c r="Y1326" s="138"/>
      <c r="Z1326" s="105"/>
      <c r="AA1326" s="105"/>
      <c r="AB1326" s="105"/>
      <c r="AC1326" s="105"/>
      <c r="AD1326" s="155">
        <v>45352</v>
      </c>
      <c r="AE1326" s="108" t="s">
        <v>9045</v>
      </c>
    </row>
    <row r="1327" spans="1:31" s="65" customFormat="1" ht="27" customHeight="1" x14ac:dyDescent="0.15">
      <c r="A1327" s="105">
        <v>1116300052</v>
      </c>
      <c r="B1327" s="130" t="s">
        <v>496</v>
      </c>
      <c r="C1327" s="108" t="s">
        <v>36</v>
      </c>
      <c r="D1327" s="108" t="s">
        <v>103</v>
      </c>
      <c r="E1327" s="108" t="s">
        <v>215</v>
      </c>
      <c r="F1327" s="131">
        <v>3501245</v>
      </c>
      <c r="G1327" s="132" t="s">
        <v>753</v>
      </c>
      <c r="H1327" s="132" t="s">
        <v>754</v>
      </c>
      <c r="I1327" s="133"/>
      <c r="J1327" s="134"/>
      <c r="K1327" s="134"/>
      <c r="L1327" s="134"/>
      <c r="M1327" s="134" t="s">
        <v>63</v>
      </c>
      <c r="N1327" s="135"/>
      <c r="O1327" s="136"/>
      <c r="P1327" s="132"/>
      <c r="Q1327" s="152"/>
      <c r="R1327" s="136"/>
      <c r="S1327" s="132"/>
      <c r="T1327" s="105">
        <v>24</v>
      </c>
      <c r="U1327" s="132"/>
      <c r="V1327" s="152"/>
      <c r="W1327" s="136"/>
      <c r="X1327" s="137">
        <v>6</v>
      </c>
      <c r="Y1327" s="136"/>
      <c r="Z1327" s="132"/>
      <c r="AA1327" s="105">
        <v>10</v>
      </c>
      <c r="AB1327" s="105"/>
      <c r="AC1327" s="105"/>
      <c r="AD1327" s="155">
        <v>39539</v>
      </c>
      <c r="AE1327" s="108" t="s">
        <v>37</v>
      </c>
    </row>
    <row r="1328" spans="1:31" s="65" customFormat="1" ht="27" customHeight="1" x14ac:dyDescent="0.15">
      <c r="A1328" s="105">
        <v>1116300052</v>
      </c>
      <c r="B1328" s="130" t="s">
        <v>496</v>
      </c>
      <c r="C1328" s="108" t="s">
        <v>4827</v>
      </c>
      <c r="D1328" s="108" t="s">
        <v>103</v>
      </c>
      <c r="E1328" s="108" t="s">
        <v>215</v>
      </c>
      <c r="F1328" s="131">
        <v>3501245</v>
      </c>
      <c r="G1328" s="132" t="s">
        <v>753</v>
      </c>
      <c r="H1328" s="132" t="s">
        <v>754</v>
      </c>
      <c r="I1328" s="134" t="s">
        <v>4823</v>
      </c>
      <c r="J1328" s="134" t="s">
        <v>4823</v>
      </c>
      <c r="K1328" s="134" t="s">
        <v>4823</v>
      </c>
      <c r="L1328" s="134" t="s">
        <v>4823</v>
      </c>
      <c r="M1328" s="134" t="s">
        <v>4823</v>
      </c>
      <c r="N1328" s="134" t="s">
        <v>4823</v>
      </c>
      <c r="O1328" s="134" t="s">
        <v>4823</v>
      </c>
      <c r="P1328" s="132"/>
      <c r="Q1328" s="152"/>
      <c r="R1328" s="136"/>
      <c r="S1328" s="132"/>
      <c r="T1328" s="105"/>
      <c r="U1328" s="132"/>
      <c r="V1328" s="152"/>
      <c r="W1328" s="136"/>
      <c r="X1328" s="137"/>
      <c r="Y1328" s="136"/>
      <c r="Z1328" s="132"/>
      <c r="AA1328" s="105"/>
      <c r="AB1328" s="105" t="s">
        <v>4823</v>
      </c>
      <c r="AC1328" s="105"/>
      <c r="AD1328" s="118">
        <v>43435</v>
      </c>
      <c r="AE1328" s="108" t="s">
        <v>37</v>
      </c>
    </row>
    <row r="1329" spans="1:157" s="65" customFormat="1" ht="27" customHeight="1" x14ac:dyDescent="0.15">
      <c r="A1329" s="105">
        <v>1116300094</v>
      </c>
      <c r="B1329" s="130" t="s">
        <v>496</v>
      </c>
      <c r="C1329" s="108" t="s">
        <v>597</v>
      </c>
      <c r="D1329" s="108" t="s">
        <v>103</v>
      </c>
      <c r="E1329" s="108" t="s">
        <v>182</v>
      </c>
      <c r="F1329" s="131">
        <v>3501205</v>
      </c>
      <c r="G1329" s="132" t="s">
        <v>755</v>
      </c>
      <c r="H1329" s="132" t="s">
        <v>38</v>
      </c>
      <c r="I1329" s="133"/>
      <c r="J1329" s="134"/>
      <c r="K1329" s="134"/>
      <c r="L1329" s="134"/>
      <c r="M1329" s="134" t="s">
        <v>269</v>
      </c>
      <c r="N1329" s="135"/>
      <c r="O1329" s="136"/>
      <c r="P1329" s="132"/>
      <c r="Q1329" s="152"/>
      <c r="R1329" s="136"/>
      <c r="S1329" s="132"/>
      <c r="T1329" s="105">
        <v>20</v>
      </c>
      <c r="U1329" s="132"/>
      <c r="V1329" s="152"/>
      <c r="W1329" s="136"/>
      <c r="X1329" s="152"/>
      <c r="Y1329" s="136"/>
      <c r="Z1329" s="132"/>
      <c r="AA1329" s="132"/>
      <c r="AB1329" s="132"/>
      <c r="AC1329" s="132"/>
      <c r="AD1329" s="155">
        <v>39539</v>
      </c>
      <c r="AE1329" s="108" t="s">
        <v>39</v>
      </c>
    </row>
    <row r="1330" spans="1:157" s="65" customFormat="1" ht="27" customHeight="1" x14ac:dyDescent="0.15">
      <c r="A1330" s="132">
        <v>1116300128</v>
      </c>
      <c r="B1330" s="130" t="s">
        <v>4489</v>
      </c>
      <c r="C1330" s="108" t="s">
        <v>206</v>
      </c>
      <c r="D1330" s="108" t="s">
        <v>103</v>
      </c>
      <c r="E1330" s="108" t="s">
        <v>4490</v>
      </c>
      <c r="F1330" s="139" t="s">
        <v>4491</v>
      </c>
      <c r="G1330" s="140" t="s">
        <v>4492</v>
      </c>
      <c r="H1330" s="140" t="s">
        <v>4493</v>
      </c>
      <c r="I1330" s="141"/>
      <c r="J1330" s="142"/>
      <c r="K1330" s="142"/>
      <c r="L1330" s="142"/>
      <c r="M1330" s="142" t="s">
        <v>49</v>
      </c>
      <c r="N1330" s="143"/>
      <c r="O1330" s="138"/>
      <c r="P1330" s="105"/>
      <c r="Q1330" s="137"/>
      <c r="R1330" s="138"/>
      <c r="S1330" s="105"/>
      <c r="T1330" s="105">
        <v>14</v>
      </c>
      <c r="U1330" s="105"/>
      <c r="V1330" s="137"/>
      <c r="W1330" s="138"/>
      <c r="X1330" s="137"/>
      <c r="Y1330" s="138"/>
      <c r="Z1330" s="105"/>
      <c r="AA1330" s="105">
        <v>26</v>
      </c>
      <c r="AB1330" s="105"/>
      <c r="AC1330" s="105"/>
      <c r="AD1330" s="144">
        <v>40118</v>
      </c>
      <c r="AE1330" s="108" t="s">
        <v>4494</v>
      </c>
    </row>
    <row r="1331" spans="1:157" s="65" customFormat="1" ht="27" customHeight="1" x14ac:dyDescent="0.15">
      <c r="A1331" s="105">
        <v>1116300136</v>
      </c>
      <c r="B1331" s="130" t="s">
        <v>959</v>
      </c>
      <c r="C1331" s="108" t="s">
        <v>960</v>
      </c>
      <c r="D1331" s="108" t="s">
        <v>103</v>
      </c>
      <c r="E1331" s="108" t="s">
        <v>961</v>
      </c>
      <c r="F1331" s="131">
        <v>3501235</v>
      </c>
      <c r="G1331" s="132" t="s">
        <v>973</v>
      </c>
      <c r="H1331" s="132" t="s">
        <v>962</v>
      </c>
      <c r="I1331" s="116" t="s">
        <v>963</v>
      </c>
      <c r="J1331" s="154" t="s">
        <v>963</v>
      </c>
      <c r="K1331" s="154" t="s">
        <v>963</v>
      </c>
      <c r="L1331" s="154" t="s">
        <v>963</v>
      </c>
      <c r="M1331" s="154" t="s">
        <v>963</v>
      </c>
      <c r="N1331" s="143"/>
      <c r="O1331" s="138"/>
      <c r="P1331" s="132"/>
      <c r="Q1331" s="152"/>
      <c r="R1331" s="136"/>
      <c r="S1331" s="132"/>
      <c r="T1331" s="132"/>
      <c r="U1331" s="132"/>
      <c r="V1331" s="152"/>
      <c r="W1331" s="138"/>
      <c r="X1331" s="152"/>
      <c r="Y1331" s="136"/>
      <c r="Z1331" s="132"/>
      <c r="AA1331" s="105">
        <v>20</v>
      </c>
      <c r="AB1331" s="105"/>
      <c r="AC1331" s="105"/>
      <c r="AD1331" s="155">
        <v>40269</v>
      </c>
      <c r="AE1331" s="108" t="s">
        <v>964</v>
      </c>
    </row>
    <row r="1332" spans="1:157" ht="27" customHeight="1" x14ac:dyDescent="0.15">
      <c r="A1332" s="105">
        <v>1116300169</v>
      </c>
      <c r="B1332" s="130" t="s">
        <v>1325</v>
      </c>
      <c r="C1332" s="108" t="s">
        <v>1326</v>
      </c>
      <c r="D1332" s="108" t="s">
        <v>103</v>
      </c>
      <c r="E1332" s="108" t="s">
        <v>1327</v>
      </c>
      <c r="F1332" s="131">
        <v>3501243</v>
      </c>
      <c r="G1332" s="132" t="s">
        <v>1328</v>
      </c>
      <c r="H1332" s="132" t="s">
        <v>1328</v>
      </c>
      <c r="I1332" s="116" t="s">
        <v>3708</v>
      </c>
      <c r="J1332" s="154"/>
      <c r="K1332" s="154"/>
      <c r="L1332" s="154" t="s">
        <v>1551</v>
      </c>
      <c r="M1332" s="154" t="s">
        <v>49</v>
      </c>
      <c r="N1332" s="143"/>
      <c r="O1332" s="138"/>
      <c r="P1332" s="132"/>
      <c r="Q1332" s="152"/>
      <c r="R1332" s="136"/>
      <c r="S1332" s="132"/>
      <c r="T1332" s="132"/>
      <c r="U1332" s="132"/>
      <c r="V1332" s="152"/>
      <c r="W1332" s="138"/>
      <c r="X1332" s="152"/>
      <c r="Y1332" s="136"/>
      <c r="Z1332" s="132"/>
      <c r="AA1332" s="105">
        <v>20</v>
      </c>
      <c r="AB1332" s="105"/>
      <c r="AC1332" s="105"/>
      <c r="AD1332" s="155">
        <v>40634</v>
      </c>
      <c r="AE1332" s="108" t="s">
        <v>1329</v>
      </c>
    </row>
    <row r="1333" spans="1:157" ht="27" customHeight="1" x14ac:dyDescent="0.15">
      <c r="A1333" s="228">
        <v>1116300227</v>
      </c>
      <c r="B1333" s="130" t="s">
        <v>2273</v>
      </c>
      <c r="C1333" s="130" t="s">
        <v>2274</v>
      </c>
      <c r="D1333" s="108" t="s">
        <v>103</v>
      </c>
      <c r="E1333" s="130" t="s">
        <v>2275</v>
      </c>
      <c r="F1333" s="131" t="s">
        <v>5356</v>
      </c>
      <c r="G1333" s="132" t="s">
        <v>5357</v>
      </c>
      <c r="H1333" s="132" t="s">
        <v>5358</v>
      </c>
      <c r="I1333" s="133"/>
      <c r="J1333" s="134"/>
      <c r="K1333" s="154"/>
      <c r="L1333" s="154"/>
      <c r="M1333" s="154" t="s">
        <v>49</v>
      </c>
      <c r="N1333" s="143" t="s">
        <v>49</v>
      </c>
      <c r="O1333" s="138"/>
      <c r="P1333" s="132"/>
      <c r="Q1333" s="272"/>
      <c r="R1333" s="138"/>
      <c r="S1333" s="132"/>
      <c r="T1333" s="132"/>
      <c r="U1333" s="132"/>
      <c r="V1333" s="152"/>
      <c r="W1333" s="248"/>
      <c r="X1333" s="152"/>
      <c r="Y1333" s="136"/>
      <c r="Z1333" s="132"/>
      <c r="AA1333" s="132">
        <v>40</v>
      </c>
      <c r="AB1333" s="132"/>
      <c r="AC1333" s="132"/>
      <c r="AD1333" s="239">
        <v>41548</v>
      </c>
      <c r="AE1333" s="273" t="s">
        <v>2276</v>
      </c>
    </row>
    <row r="1334" spans="1:157" s="65" customFormat="1" ht="27" customHeight="1" x14ac:dyDescent="0.15">
      <c r="A1334" s="105">
        <v>1116300235</v>
      </c>
      <c r="B1334" s="130" t="s">
        <v>496</v>
      </c>
      <c r="C1334" s="108" t="s">
        <v>2277</v>
      </c>
      <c r="D1334" s="108" t="s">
        <v>103</v>
      </c>
      <c r="E1334" s="108" t="s">
        <v>2278</v>
      </c>
      <c r="F1334" s="131" t="s">
        <v>2279</v>
      </c>
      <c r="G1334" s="132" t="s">
        <v>2280</v>
      </c>
      <c r="H1334" s="132" t="s">
        <v>2281</v>
      </c>
      <c r="I1334" s="133" t="s">
        <v>2267</v>
      </c>
      <c r="J1334" s="134" t="s">
        <v>2267</v>
      </c>
      <c r="K1334" s="134" t="s">
        <v>2267</v>
      </c>
      <c r="L1334" s="134" t="s">
        <v>2267</v>
      </c>
      <c r="M1334" s="134" t="s">
        <v>2267</v>
      </c>
      <c r="N1334" s="135"/>
      <c r="O1334" s="136"/>
      <c r="P1334" s="132"/>
      <c r="Q1334" s="152"/>
      <c r="R1334" s="136"/>
      <c r="S1334" s="132"/>
      <c r="T1334" s="105">
        <v>10</v>
      </c>
      <c r="U1334" s="132"/>
      <c r="V1334" s="152"/>
      <c r="W1334" s="136"/>
      <c r="X1334" s="137"/>
      <c r="Y1334" s="136"/>
      <c r="Z1334" s="132"/>
      <c r="AA1334" s="105">
        <v>10</v>
      </c>
      <c r="AB1334" s="105"/>
      <c r="AC1334" s="105"/>
      <c r="AD1334" s="155">
        <v>41548</v>
      </c>
      <c r="AE1334" s="108" t="s">
        <v>2282</v>
      </c>
      <c r="AU1334" s="229"/>
      <c r="AV1334" s="229"/>
      <c r="AW1334" s="229"/>
      <c r="AX1334" s="229"/>
      <c r="AY1334" s="229"/>
      <c r="AZ1334" s="229"/>
      <c r="BA1334" s="229"/>
      <c r="BB1334" s="229"/>
      <c r="BC1334" s="229"/>
      <c r="BD1334" s="229"/>
      <c r="BE1334" s="229"/>
      <c r="BF1334" s="229"/>
      <c r="BG1334" s="229"/>
      <c r="BH1334" s="229"/>
      <c r="BI1334" s="229"/>
      <c r="BJ1334" s="229"/>
      <c r="BK1334" s="229"/>
      <c r="BL1334" s="229"/>
      <c r="BM1334" s="229"/>
      <c r="BN1334" s="229"/>
      <c r="BO1334" s="229"/>
      <c r="BP1334" s="229"/>
      <c r="BQ1334" s="229"/>
      <c r="BR1334" s="229"/>
      <c r="BS1334" s="229"/>
      <c r="BT1334" s="229"/>
      <c r="BU1334" s="229"/>
      <c r="BV1334" s="229"/>
      <c r="BW1334" s="229"/>
      <c r="BX1334" s="229"/>
      <c r="BY1334" s="229"/>
      <c r="BZ1334" s="229"/>
      <c r="CA1334" s="229"/>
      <c r="CB1334" s="229"/>
      <c r="CC1334" s="229"/>
      <c r="CD1334" s="229"/>
      <c r="CE1334" s="229"/>
      <c r="CF1334" s="229"/>
      <c r="CG1334" s="229"/>
      <c r="CH1334" s="229"/>
      <c r="CI1334" s="229"/>
      <c r="CJ1334" s="229"/>
      <c r="CK1334" s="229"/>
      <c r="CL1334" s="229"/>
      <c r="CM1334" s="229"/>
      <c r="CN1334" s="229"/>
      <c r="CO1334" s="229"/>
      <c r="CP1334" s="229"/>
      <c r="CQ1334" s="229"/>
      <c r="CR1334" s="229"/>
      <c r="CS1334" s="229"/>
      <c r="CT1334" s="229"/>
      <c r="CU1334" s="229"/>
      <c r="CV1334" s="229"/>
      <c r="CW1334" s="229"/>
      <c r="CX1334" s="229"/>
      <c r="CY1334" s="229"/>
      <c r="CZ1334" s="229"/>
      <c r="DA1334" s="229"/>
      <c r="DB1334" s="229"/>
      <c r="DC1334" s="229"/>
      <c r="DD1334" s="229"/>
      <c r="DE1334" s="229"/>
      <c r="DF1334" s="229"/>
      <c r="DG1334" s="229"/>
      <c r="DH1334" s="229"/>
      <c r="DI1334" s="229"/>
      <c r="DJ1334" s="229"/>
      <c r="DK1334" s="229"/>
      <c r="DL1334" s="229"/>
      <c r="DM1334" s="229"/>
      <c r="DN1334" s="229"/>
      <c r="DO1334" s="229"/>
      <c r="DP1334" s="229"/>
      <c r="DQ1334" s="229"/>
      <c r="DR1334" s="229"/>
      <c r="DS1334" s="229"/>
      <c r="DT1334" s="229"/>
      <c r="DU1334" s="229"/>
      <c r="DV1334" s="229"/>
      <c r="DW1334" s="229"/>
      <c r="DX1334" s="229"/>
      <c r="DY1334" s="229"/>
      <c r="DZ1334" s="229"/>
      <c r="EA1334" s="229"/>
      <c r="EB1334" s="229"/>
      <c r="EC1334" s="229"/>
      <c r="ED1334" s="229"/>
      <c r="EE1334" s="229"/>
      <c r="EF1334" s="229"/>
      <c r="EG1334" s="229"/>
      <c r="EH1334" s="229"/>
      <c r="EI1334" s="229"/>
      <c r="EJ1334" s="229"/>
      <c r="EK1334" s="229"/>
      <c r="EL1334" s="229"/>
      <c r="EM1334" s="229"/>
      <c r="EN1334" s="229"/>
      <c r="EO1334" s="229"/>
      <c r="EP1334" s="229"/>
      <c r="EQ1334" s="229"/>
      <c r="ER1334" s="229"/>
      <c r="ES1334" s="229"/>
      <c r="ET1334" s="229"/>
      <c r="EU1334" s="229"/>
      <c r="EV1334" s="229"/>
      <c r="EW1334" s="229"/>
      <c r="EX1334" s="229"/>
      <c r="EY1334" s="229"/>
      <c r="EZ1334" s="229"/>
      <c r="FA1334" s="229"/>
    </row>
    <row r="1335" spans="1:157" ht="27" customHeight="1" x14ac:dyDescent="0.15">
      <c r="A1335" s="105">
        <v>1116300268</v>
      </c>
      <c r="B1335" s="106" t="s">
        <v>3106</v>
      </c>
      <c r="C1335" s="107" t="s">
        <v>3107</v>
      </c>
      <c r="D1335" s="108" t="s">
        <v>103</v>
      </c>
      <c r="E1335" s="108" t="s">
        <v>3108</v>
      </c>
      <c r="F1335" s="139" t="s">
        <v>3109</v>
      </c>
      <c r="G1335" s="140" t="s">
        <v>3110</v>
      </c>
      <c r="H1335" s="140" t="s">
        <v>3111</v>
      </c>
      <c r="I1335" s="141" t="s">
        <v>765</v>
      </c>
      <c r="J1335" s="142" t="s">
        <v>765</v>
      </c>
      <c r="K1335" s="142" t="s">
        <v>765</v>
      </c>
      <c r="L1335" s="142" t="s">
        <v>765</v>
      </c>
      <c r="M1335" s="142" t="s">
        <v>765</v>
      </c>
      <c r="N1335" s="143" t="s">
        <v>765</v>
      </c>
      <c r="O1335" s="138"/>
      <c r="P1335" s="105"/>
      <c r="Q1335" s="137"/>
      <c r="R1335" s="138"/>
      <c r="S1335" s="105"/>
      <c r="T1335" s="105">
        <v>15</v>
      </c>
      <c r="U1335" s="105"/>
      <c r="V1335" s="137"/>
      <c r="W1335" s="138"/>
      <c r="X1335" s="137"/>
      <c r="Y1335" s="138"/>
      <c r="Z1335" s="105"/>
      <c r="AA1335" s="105">
        <v>15</v>
      </c>
      <c r="AB1335" s="105"/>
      <c r="AC1335" s="105"/>
      <c r="AD1335" s="144">
        <v>42217</v>
      </c>
      <c r="AE1335" s="108" t="s">
        <v>3112</v>
      </c>
    </row>
    <row r="1336" spans="1:157" ht="27" customHeight="1" x14ac:dyDescent="0.15">
      <c r="A1336" s="105">
        <v>1116300334</v>
      </c>
      <c r="B1336" s="130" t="s">
        <v>1601</v>
      </c>
      <c r="C1336" s="108" t="s">
        <v>5253</v>
      </c>
      <c r="D1336" s="108" t="s">
        <v>103</v>
      </c>
      <c r="E1336" s="108" t="s">
        <v>7892</v>
      </c>
      <c r="F1336" s="131" t="s">
        <v>5254</v>
      </c>
      <c r="G1336" s="132" t="s">
        <v>5255</v>
      </c>
      <c r="H1336" s="132" t="s">
        <v>5256</v>
      </c>
      <c r="I1336" s="133" t="s">
        <v>765</v>
      </c>
      <c r="J1336" s="134" t="s">
        <v>765</v>
      </c>
      <c r="K1336" s="134" t="s">
        <v>765</v>
      </c>
      <c r="L1336" s="134" t="s">
        <v>765</v>
      </c>
      <c r="M1336" s="134" t="s">
        <v>49</v>
      </c>
      <c r="N1336" s="135" t="s">
        <v>49</v>
      </c>
      <c r="O1336" s="136" t="s">
        <v>765</v>
      </c>
      <c r="P1336" s="105"/>
      <c r="Q1336" s="137"/>
      <c r="R1336" s="138"/>
      <c r="S1336" s="105"/>
      <c r="T1336" s="105"/>
      <c r="U1336" s="105"/>
      <c r="V1336" s="137"/>
      <c r="W1336" s="138"/>
      <c r="X1336" s="137"/>
      <c r="Y1336" s="138"/>
      <c r="Z1336" s="105"/>
      <c r="AA1336" s="105">
        <v>40</v>
      </c>
      <c r="AB1336" s="105"/>
      <c r="AC1336" s="105"/>
      <c r="AD1336" s="144">
        <v>43709</v>
      </c>
      <c r="AE1336" s="108" t="s">
        <v>5257</v>
      </c>
    </row>
    <row r="1337" spans="1:157" ht="27" customHeight="1" x14ac:dyDescent="0.15">
      <c r="A1337" s="105">
        <v>1116300342</v>
      </c>
      <c r="B1337" s="130" t="s">
        <v>5507</v>
      </c>
      <c r="C1337" s="108" t="s">
        <v>5508</v>
      </c>
      <c r="D1337" s="108" t="s">
        <v>103</v>
      </c>
      <c r="E1337" s="108" t="s">
        <v>5509</v>
      </c>
      <c r="F1337" s="131" t="s">
        <v>5510</v>
      </c>
      <c r="G1337" s="132" t="s">
        <v>5511</v>
      </c>
      <c r="H1337" s="132" t="s">
        <v>5512</v>
      </c>
      <c r="I1337" s="133" t="s">
        <v>5506</v>
      </c>
      <c r="J1337" s="134" t="s">
        <v>5506</v>
      </c>
      <c r="K1337" s="134" t="s">
        <v>5506</v>
      </c>
      <c r="L1337" s="134" t="s">
        <v>5506</v>
      </c>
      <c r="M1337" s="134" t="s">
        <v>5506</v>
      </c>
      <c r="N1337" s="134"/>
      <c r="O1337" s="134"/>
      <c r="P1337" s="105"/>
      <c r="Q1337" s="137"/>
      <c r="R1337" s="138"/>
      <c r="S1337" s="105"/>
      <c r="T1337" s="105">
        <v>20</v>
      </c>
      <c r="U1337" s="105"/>
      <c r="V1337" s="137"/>
      <c r="W1337" s="138"/>
      <c r="X1337" s="137"/>
      <c r="Y1337" s="138"/>
      <c r="Z1337" s="105"/>
      <c r="AA1337" s="105"/>
      <c r="AB1337" s="105"/>
      <c r="AC1337" s="105"/>
      <c r="AD1337" s="144">
        <v>43800</v>
      </c>
      <c r="AE1337" s="108" t="s">
        <v>5513</v>
      </c>
    </row>
    <row r="1338" spans="1:157" ht="27" customHeight="1" x14ac:dyDescent="0.15">
      <c r="A1338" s="105">
        <v>1116300359</v>
      </c>
      <c r="B1338" s="130" t="s">
        <v>7225</v>
      </c>
      <c r="C1338" s="108" t="s">
        <v>7226</v>
      </c>
      <c r="D1338" s="108" t="s">
        <v>103</v>
      </c>
      <c r="E1338" s="108" t="s">
        <v>7227</v>
      </c>
      <c r="F1338" s="131" t="s">
        <v>7228</v>
      </c>
      <c r="G1338" s="132" t="s">
        <v>7229</v>
      </c>
      <c r="H1338" s="132" t="s">
        <v>7229</v>
      </c>
      <c r="I1338" s="133"/>
      <c r="J1338" s="134"/>
      <c r="K1338" s="134"/>
      <c r="L1338" s="134"/>
      <c r="M1338" s="134" t="s">
        <v>765</v>
      </c>
      <c r="N1338" s="135" t="s">
        <v>765</v>
      </c>
      <c r="O1338" s="134" t="s">
        <v>765</v>
      </c>
      <c r="P1338" s="105"/>
      <c r="Q1338" s="137"/>
      <c r="R1338" s="138"/>
      <c r="S1338" s="105"/>
      <c r="T1338" s="105"/>
      <c r="U1338" s="105"/>
      <c r="V1338" s="116"/>
      <c r="W1338" s="117"/>
      <c r="X1338" s="116">
        <v>6</v>
      </c>
      <c r="Y1338" s="138"/>
      <c r="Z1338" s="105"/>
      <c r="AA1338" s="105">
        <v>14</v>
      </c>
      <c r="AB1338" s="105"/>
      <c r="AC1338" s="105"/>
      <c r="AD1338" s="144">
        <v>44562</v>
      </c>
      <c r="AE1338" s="108" t="s">
        <v>7230</v>
      </c>
    </row>
    <row r="1339" spans="1:157" ht="27" customHeight="1" x14ac:dyDescent="0.15">
      <c r="A1339" s="105">
        <v>1116300367</v>
      </c>
      <c r="B1339" s="130" t="s">
        <v>7318</v>
      </c>
      <c r="C1339" s="108" t="s">
        <v>7319</v>
      </c>
      <c r="D1339" s="108" t="s">
        <v>103</v>
      </c>
      <c r="E1339" s="108" t="s">
        <v>7320</v>
      </c>
      <c r="F1339" s="131" t="s">
        <v>7321</v>
      </c>
      <c r="G1339" s="132" t="s">
        <v>7322</v>
      </c>
      <c r="H1339" s="132"/>
      <c r="I1339" s="133" t="s">
        <v>49</v>
      </c>
      <c r="J1339" s="134" t="s">
        <v>49</v>
      </c>
      <c r="K1339" s="134" t="s">
        <v>49</v>
      </c>
      <c r="L1339" s="134" t="s">
        <v>49</v>
      </c>
      <c r="M1339" s="134" t="s">
        <v>765</v>
      </c>
      <c r="N1339" s="135" t="s">
        <v>765</v>
      </c>
      <c r="O1339" s="136" t="s">
        <v>49</v>
      </c>
      <c r="P1339" s="105"/>
      <c r="Q1339" s="137"/>
      <c r="R1339" s="138">
        <v>2</v>
      </c>
      <c r="S1339" s="105"/>
      <c r="T1339" s="105">
        <v>10</v>
      </c>
      <c r="U1339" s="105"/>
      <c r="V1339" s="116"/>
      <c r="W1339" s="117"/>
      <c r="X1339" s="116"/>
      <c r="Y1339" s="138"/>
      <c r="Z1339" s="105"/>
      <c r="AA1339" s="105">
        <v>10</v>
      </c>
      <c r="AB1339" s="105"/>
      <c r="AC1339" s="105"/>
      <c r="AD1339" s="144">
        <v>44652</v>
      </c>
      <c r="AE1339" s="108" t="s">
        <v>7323</v>
      </c>
    </row>
    <row r="1340" spans="1:157" s="65" customFormat="1" ht="27" customHeight="1" x14ac:dyDescent="0.15">
      <c r="A1340" s="137">
        <v>1116300375</v>
      </c>
      <c r="B1340" s="370" t="s">
        <v>7893</v>
      </c>
      <c r="C1340" s="370" t="s">
        <v>7894</v>
      </c>
      <c r="D1340" s="215" t="s">
        <v>103</v>
      </c>
      <c r="E1340" s="108" t="s">
        <v>7895</v>
      </c>
      <c r="F1340" s="371" t="s">
        <v>7896</v>
      </c>
      <c r="G1340" s="157" t="s">
        <v>7897</v>
      </c>
      <c r="H1340" s="157" t="s">
        <v>7898</v>
      </c>
      <c r="I1340" s="141" t="s">
        <v>6457</v>
      </c>
      <c r="J1340" s="142" t="s">
        <v>6457</v>
      </c>
      <c r="K1340" s="142" t="s">
        <v>6457</v>
      </c>
      <c r="L1340" s="142" t="s">
        <v>6457</v>
      </c>
      <c r="M1340" s="142" t="s">
        <v>6457</v>
      </c>
      <c r="N1340" s="143" t="s">
        <v>6457</v>
      </c>
      <c r="O1340" s="138"/>
      <c r="P1340" s="105"/>
      <c r="Q1340" s="137"/>
      <c r="R1340" s="138"/>
      <c r="S1340" s="105"/>
      <c r="T1340" s="347">
        <v>20</v>
      </c>
      <c r="U1340" s="105"/>
      <c r="V1340" s="137"/>
      <c r="W1340" s="138"/>
      <c r="X1340" s="137"/>
      <c r="Y1340" s="138"/>
      <c r="Z1340" s="105"/>
      <c r="AA1340" s="105"/>
      <c r="AB1340" s="105"/>
      <c r="AC1340" s="105"/>
      <c r="AD1340" s="155">
        <v>44835</v>
      </c>
      <c r="AE1340" s="372" t="s">
        <v>7899</v>
      </c>
    </row>
    <row r="1341" spans="1:157" s="65" customFormat="1" ht="27" customHeight="1" x14ac:dyDescent="0.15">
      <c r="A1341" s="132">
        <v>1116300409</v>
      </c>
      <c r="B1341" s="130" t="s">
        <v>11808</v>
      </c>
      <c r="C1341" s="108" t="s">
        <v>10901</v>
      </c>
      <c r="D1341" s="108" t="s">
        <v>103</v>
      </c>
      <c r="E1341" s="373" t="s">
        <v>10902</v>
      </c>
      <c r="F1341" s="131" t="s">
        <v>10903</v>
      </c>
      <c r="G1341" s="132" t="s">
        <v>10904</v>
      </c>
      <c r="H1341" s="132" t="s">
        <v>10905</v>
      </c>
      <c r="I1341" s="133" t="s">
        <v>765</v>
      </c>
      <c r="J1341" s="134" t="s">
        <v>765</v>
      </c>
      <c r="K1341" s="134" t="s">
        <v>765</v>
      </c>
      <c r="L1341" s="134" t="s">
        <v>765</v>
      </c>
      <c r="M1341" s="134" t="s">
        <v>765</v>
      </c>
      <c r="N1341" s="135" t="s">
        <v>765</v>
      </c>
      <c r="O1341" s="136" t="s">
        <v>765</v>
      </c>
      <c r="P1341" s="105"/>
      <c r="Q1341" s="152"/>
      <c r="R1341" s="138"/>
      <c r="S1341" s="132"/>
      <c r="T1341" s="105"/>
      <c r="U1341" s="132"/>
      <c r="V1341" s="116"/>
      <c r="W1341" s="117"/>
      <c r="X1341" s="152"/>
      <c r="Y1341" s="136"/>
      <c r="Z1341" s="132"/>
      <c r="AA1341" s="132">
        <v>20</v>
      </c>
      <c r="AB1341" s="132"/>
      <c r="AC1341" s="132"/>
      <c r="AD1341" s="118">
        <v>45992</v>
      </c>
      <c r="AE1341" s="108" t="s">
        <v>10906</v>
      </c>
    </row>
    <row r="1342" spans="1:157" s="65" customFormat="1" ht="27" customHeight="1" x14ac:dyDescent="0.15">
      <c r="A1342" s="150">
        <v>1116400050</v>
      </c>
      <c r="B1342" s="106" t="s">
        <v>878</v>
      </c>
      <c r="C1342" s="107" t="s">
        <v>5366</v>
      </c>
      <c r="D1342" s="108" t="s">
        <v>933</v>
      </c>
      <c r="E1342" s="108" t="s">
        <v>934</v>
      </c>
      <c r="F1342" s="230">
        <v>3420015</v>
      </c>
      <c r="G1342" s="132" t="s">
        <v>935</v>
      </c>
      <c r="H1342" s="132" t="s">
        <v>936</v>
      </c>
      <c r="I1342" s="116"/>
      <c r="J1342" s="154"/>
      <c r="K1342" s="154"/>
      <c r="L1342" s="154"/>
      <c r="M1342" s="154" t="s">
        <v>49</v>
      </c>
      <c r="N1342" s="143"/>
      <c r="O1342" s="138"/>
      <c r="P1342" s="105"/>
      <c r="Q1342" s="116"/>
      <c r="R1342" s="138"/>
      <c r="S1342" s="105"/>
      <c r="T1342" s="105">
        <v>34</v>
      </c>
      <c r="U1342" s="105"/>
      <c r="V1342" s="116"/>
      <c r="W1342" s="138"/>
      <c r="X1342" s="116"/>
      <c r="Y1342" s="138"/>
      <c r="Z1342" s="105"/>
      <c r="AA1342" s="105">
        <v>35</v>
      </c>
      <c r="AB1342" s="105"/>
      <c r="AC1342" s="105"/>
      <c r="AD1342" s="118">
        <v>40269</v>
      </c>
      <c r="AE1342" s="108" t="s">
        <v>1002</v>
      </c>
    </row>
    <row r="1343" spans="1:157" ht="27" customHeight="1" x14ac:dyDescent="0.15">
      <c r="A1343" s="105">
        <v>1116400167</v>
      </c>
      <c r="B1343" s="106" t="s">
        <v>6510</v>
      </c>
      <c r="C1343" s="107" t="s">
        <v>8810</v>
      </c>
      <c r="D1343" s="108" t="s">
        <v>104</v>
      </c>
      <c r="E1343" s="108" t="s">
        <v>8811</v>
      </c>
      <c r="F1343" s="139" t="s">
        <v>7372</v>
      </c>
      <c r="G1343" s="140" t="s">
        <v>8812</v>
      </c>
      <c r="H1343" s="140" t="s">
        <v>8813</v>
      </c>
      <c r="I1343" s="141"/>
      <c r="J1343" s="142"/>
      <c r="K1343" s="142"/>
      <c r="L1343" s="142"/>
      <c r="M1343" s="142" t="s">
        <v>765</v>
      </c>
      <c r="N1343" s="142" t="s">
        <v>765</v>
      </c>
      <c r="O1343" s="143"/>
      <c r="P1343" s="105"/>
      <c r="Q1343" s="137"/>
      <c r="R1343" s="138"/>
      <c r="S1343" s="105"/>
      <c r="T1343" s="105"/>
      <c r="U1343" s="105"/>
      <c r="V1343" s="137"/>
      <c r="W1343" s="138"/>
      <c r="X1343" s="137"/>
      <c r="Y1343" s="138"/>
      <c r="Z1343" s="105">
        <v>20</v>
      </c>
      <c r="AA1343" s="105"/>
      <c r="AB1343" s="105"/>
      <c r="AC1343" s="105"/>
      <c r="AD1343" s="118">
        <v>42156</v>
      </c>
      <c r="AE1343" s="108" t="s">
        <v>8814</v>
      </c>
    </row>
    <row r="1344" spans="1:157" s="65" customFormat="1" ht="27" customHeight="1" x14ac:dyDescent="0.15">
      <c r="A1344" s="105">
        <v>1116400175</v>
      </c>
      <c r="B1344" s="106" t="s">
        <v>3136</v>
      </c>
      <c r="C1344" s="107" t="s">
        <v>11953</v>
      </c>
      <c r="D1344" s="108" t="s">
        <v>104</v>
      </c>
      <c r="E1344" s="108" t="s">
        <v>3137</v>
      </c>
      <c r="F1344" s="139" t="s">
        <v>3138</v>
      </c>
      <c r="G1344" s="140" t="s">
        <v>3139</v>
      </c>
      <c r="H1344" s="140" t="s">
        <v>3140</v>
      </c>
      <c r="I1344" s="141"/>
      <c r="J1344" s="142"/>
      <c r="K1344" s="142"/>
      <c r="L1344" s="142" t="s">
        <v>49</v>
      </c>
      <c r="M1344" s="142" t="s">
        <v>49</v>
      </c>
      <c r="N1344" s="143" t="s">
        <v>49</v>
      </c>
      <c r="O1344" s="138"/>
      <c r="P1344" s="105"/>
      <c r="Q1344" s="137"/>
      <c r="R1344" s="138"/>
      <c r="S1344" s="105"/>
      <c r="T1344" s="105"/>
      <c r="U1344" s="105"/>
      <c r="V1344" s="137"/>
      <c r="W1344" s="138"/>
      <c r="X1344" s="137"/>
      <c r="Y1344" s="138"/>
      <c r="Z1344" s="105"/>
      <c r="AA1344" s="105">
        <v>20</v>
      </c>
      <c r="AB1344" s="105"/>
      <c r="AC1344" s="105"/>
      <c r="AD1344" s="144">
        <v>46113</v>
      </c>
      <c r="AE1344" s="108" t="s">
        <v>3141</v>
      </c>
    </row>
    <row r="1345" spans="1:31" s="65" customFormat="1" ht="27" customHeight="1" x14ac:dyDescent="0.15">
      <c r="A1345" s="105">
        <v>1116400217</v>
      </c>
      <c r="B1345" s="130" t="s">
        <v>4323</v>
      </c>
      <c r="C1345" s="108" t="s">
        <v>40</v>
      </c>
      <c r="D1345" s="108" t="s">
        <v>104</v>
      </c>
      <c r="E1345" s="108" t="s">
        <v>4324</v>
      </c>
      <c r="F1345" s="131" t="s">
        <v>5066</v>
      </c>
      <c r="G1345" s="132" t="s">
        <v>5880</v>
      </c>
      <c r="H1345" s="132" t="s">
        <v>5065</v>
      </c>
      <c r="I1345" s="135" t="s">
        <v>49</v>
      </c>
      <c r="J1345" s="135" t="s">
        <v>49</v>
      </c>
      <c r="K1345" s="135" t="s">
        <v>49</v>
      </c>
      <c r="L1345" s="135" t="s">
        <v>49</v>
      </c>
      <c r="M1345" s="135" t="s">
        <v>49</v>
      </c>
      <c r="N1345" s="135" t="s">
        <v>49</v>
      </c>
      <c r="O1345" s="135" t="s">
        <v>49</v>
      </c>
      <c r="P1345" s="132"/>
      <c r="Q1345" s="152"/>
      <c r="R1345" s="136"/>
      <c r="S1345" s="132"/>
      <c r="T1345" s="132">
        <v>12</v>
      </c>
      <c r="U1345" s="132"/>
      <c r="V1345" s="152">
        <v>9</v>
      </c>
      <c r="W1345" s="136"/>
      <c r="X1345" s="152">
        <v>9</v>
      </c>
      <c r="Y1345" s="136"/>
      <c r="Z1345" s="132"/>
      <c r="AA1345" s="105">
        <v>40</v>
      </c>
      <c r="AB1345" s="105"/>
      <c r="AC1345" s="105"/>
      <c r="AD1345" s="118">
        <v>43191</v>
      </c>
      <c r="AE1345" s="108" t="s">
        <v>4325</v>
      </c>
    </row>
    <row r="1346" spans="1:31" ht="27" customHeight="1" x14ac:dyDescent="0.15">
      <c r="A1346" s="105">
        <v>1116400217</v>
      </c>
      <c r="B1346" s="106" t="s">
        <v>5153</v>
      </c>
      <c r="C1346" s="107" t="s">
        <v>5154</v>
      </c>
      <c r="D1346" s="108" t="s">
        <v>104</v>
      </c>
      <c r="E1346" s="108" t="s">
        <v>4324</v>
      </c>
      <c r="F1346" s="139" t="s">
        <v>5155</v>
      </c>
      <c r="G1346" s="140" t="s">
        <v>5156</v>
      </c>
      <c r="H1346" s="140" t="s">
        <v>5157</v>
      </c>
      <c r="I1346" s="141" t="s">
        <v>5158</v>
      </c>
      <c r="J1346" s="142" t="s">
        <v>5158</v>
      </c>
      <c r="K1346" s="142" t="s">
        <v>5158</v>
      </c>
      <c r="L1346" s="142" t="s">
        <v>765</v>
      </c>
      <c r="M1346" s="142" t="s">
        <v>765</v>
      </c>
      <c r="N1346" s="143" t="s">
        <v>765</v>
      </c>
      <c r="O1346" s="138" t="s">
        <v>5158</v>
      </c>
      <c r="P1346" s="105"/>
      <c r="Q1346" s="137"/>
      <c r="R1346" s="138"/>
      <c r="S1346" s="105"/>
      <c r="T1346" s="105"/>
      <c r="U1346" s="105"/>
      <c r="V1346" s="116"/>
      <c r="W1346" s="117"/>
      <c r="X1346" s="137"/>
      <c r="Y1346" s="138"/>
      <c r="Z1346" s="105"/>
      <c r="AA1346" s="105"/>
      <c r="AB1346" s="105" t="s">
        <v>5158</v>
      </c>
      <c r="AC1346" s="105"/>
      <c r="AD1346" s="144">
        <v>43647</v>
      </c>
      <c r="AE1346" s="108" t="s">
        <v>4325</v>
      </c>
    </row>
    <row r="1347" spans="1:31" ht="27" customHeight="1" x14ac:dyDescent="0.15">
      <c r="A1347" s="105">
        <v>1116400217</v>
      </c>
      <c r="B1347" s="106" t="s">
        <v>5153</v>
      </c>
      <c r="C1347" s="107" t="s">
        <v>10698</v>
      </c>
      <c r="D1347" s="108" t="s">
        <v>104</v>
      </c>
      <c r="E1347" s="108" t="s">
        <v>4324</v>
      </c>
      <c r="F1347" s="139" t="s">
        <v>5066</v>
      </c>
      <c r="G1347" s="140" t="s">
        <v>5156</v>
      </c>
      <c r="H1347" s="140" t="s">
        <v>5065</v>
      </c>
      <c r="I1347" s="141" t="s">
        <v>49</v>
      </c>
      <c r="J1347" s="142" t="s">
        <v>49</v>
      </c>
      <c r="K1347" s="142" t="s">
        <v>49</v>
      </c>
      <c r="L1347" s="142" t="s">
        <v>765</v>
      </c>
      <c r="M1347" s="142" t="s">
        <v>765</v>
      </c>
      <c r="N1347" s="143" t="s">
        <v>765</v>
      </c>
      <c r="O1347" s="138" t="s">
        <v>49</v>
      </c>
      <c r="P1347" s="105"/>
      <c r="Q1347" s="137"/>
      <c r="R1347" s="138"/>
      <c r="S1347" s="105"/>
      <c r="T1347" s="105"/>
      <c r="U1347" s="105"/>
      <c r="V1347" s="116"/>
      <c r="W1347" s="117"/>
      <c r="X1347" s="137"/>
      <c r="Y1347" s="138"/>
      <c r="Z1347" s="105"/>
      <c r="AA1347" s="105"/>
      <c r="AB1347" s="105"/>
      <c r="AC1347" s="105">
        <v>10</v>
      </c>
      <c r="AD1347" s="144">
        <v>45931</v>
      </c>
      <c r="AE1347" s="108" t="s">
        <v>4325</v>
      </c>
    </row>
    <row r="1348" spans="1:31" ht="27" customHeight="1" x14ac:dyDescent="0.15">
      <c r="A1348" s="132">
        <v>1116400233</v>
      </c>
      <c r="B1348" s="130" t="s">
        <v>5966</v>
      </c>
      <c r="C1348" s="108" t="s">
        <v>5967</v>
      </c>
      <c r="D1348" s="108" t="s">
        <v>7684</v>
      </c>
      <c r="E1348" s="108" t="s">
        <v>7685</v>
      </c>
      <c r="F1348" s="131" t="s">
        <v>7686</v>
      </c>
      <c r="G1348" s="132" t="s">
        <v>7687</v>
      </c>
      <c r="H1348" s="132" t="s">
        <v>7688</v>
      </c>
      <c r="I1348" s="116" t="s">
        <v>49</v>
      </c>
      <c r="J1348" s="154" t="s">
        <v>49</v>
      </c>
      <c r="K1348" s="154" t="s">
        <v>49</v>
      </c>
      <c r="L1348" s="154" t="s">
        <v>49</v>
      </c>
      <c r="M1348" s="154"/>
      <c r="N1348" s="143"/>
      <c r="O1348" s="138" t="s">
        <v>49</v>
      </c>
      <c r="P1348" s="105"/>
      <c r="Q1348" s="137"/>
      <c r="R1348" s="138"/>
      <c r="S1348" s="105"/>
      <c r="T1348" s="105">
        <v>7</v>
      </c>
      <c r="U1348" s="105"/>
      <c r="V1348" s="137"/>
      <c r="W1348" s="138"/>
      <c r="X1348" s="137"/>
      <c r="Y1348" s="138"/>
      <c r="Z1348" s="105"/>
      <c r="AA1348" s="105"/>
      <c r="AB1348" s="105"/>
      <c r="AC1348" s="105"/>
      <c r="AD1348" s="118">
        <v>43983</v>
      </c>
      <c r="AE1348" s="108" t="s">
        <v>7689</v>
      </c>
    </row>
    <row r="1349" spans="1:31" ht="27" customHeight="1" x14ac:dyDescent="0.15">
      <c r="A1349" s="105">
        <v>1116400258</v>
      </c>
      <c r="B1349" s="106" t="s">
        <v>6971</v>
      </c>
      <c r="C1349" s="107" t="s">
        <v>6972</v>
      </c>
      <c r="D1349" s="108" t="s">
        <v>104</v>
      </c>
      <c r="E1349" s="108" t="s">
        <v>6973</v>
      </c>
      <c r="F1349" s="139" t="s">
        <v>6974</v>
      </c>
      <c r="G1349" s="140" t="s">
        <v>6975</v>
      </c>
      <c r="H1349" s="140" t="s">
        <v>6976</v>
      </c>
      <c r="I1349" s="141" t="s">
        <v>765</v>
      </c>
      <c r="J1349" s="142" t="s">
        <v>765</v>
      </c>
      <c r="K1349" s="142" t="s">
        <v>765</v>
      </c>
      <c r="L1349" s="142" t="s">
        <v>765</v>
      </c>
      <c r="M1349" s="142" t="s">
        <v>765</v>
      </c>
      <c r="N1349" s="142" t="s">
        <v>765</v>
      </c>
      <c r="O1349" s="138" t="s">
        <v>765</v>
      </c>
      <c r="P1349" s="105"/>
      <c r="Q1349" s="137"/>
      <c r="R1349" s="138"/>
      <c r="S1349" s="105"/>
      <c r="T1349" s="105">
        <v>20</v>
      </c>
      <c r="U1349" s="105"/>
      <c r="V1349" s="137"/>
      <c r="W1349" s="138"/>
      <c r="X1349" s="137"/>
      <c r="Y1349" s="138"/>
      <c r="Z1349" s="105"/>
      <c r="AA1349" s="105"/>
      <c r="AB1349" s="105"/>
      <c r="AC1349" s="105"/>
      <c r="AD1349" s="144">
        <v>44409</v>
      </c>
      <c r="AE1349" s="108" t="s">
        <v>6977</v>
      </c>
    </row>
    <row r="1350" spans="1:31" ht="27" customHeight="1" x14ac:dyDescent="0.15">
      <c r="A1350" s="105">
        <v>1116400266</v>
      </c>
      <c r="B1350" s="106" t="s">
        <v>7369</v>
      </c>
      <c r="C1350" s="107" t="s">
        <v>7370</v>
      </c>
      <c r="D1350" s="108" t="s">
        <v>104</v>
      </c>
      <c r="E1350" s="108" t="s">
        <v>7371</v>
      </c>
      <c r="F1350" s="139" t="s">
        <v>7372</v>
      </c>
      <c r="G1350" s="140" t="s">
        <v>7373</v>
      </c>
      <c r="H1350" s="140" t="s">
        <v>7374</v>
      </c>
      <c r="I1350" s="141" t="s">
        <v>765</v>
      </c>
      <c r="J1350" s="142" t="s">
        <v>765</v>
      </c>
      <c r="K1350" s="142" t="s">
        <v>765</v>
      </c>
      <c r="L1350" s="142" t="s">
        <v>765</v>
      </c>
      <c r="M1350" s="142" t="s">
        <v>765</v>
      </c>
      <c r="N1350" s="142" t="s">
        <v>765</v>
      </c>
      <c r="O1350" s="138" t="s">
        <v>765</v>
      </c>
      <c r="P1350" s="105"/>
      <c r="Q1350" s="137"/>
      <c r="R1350" s="138"/>
      <c r="S1350" s="105"/>
      <c r="T1350" s="105">
        <v>10</v>
      </c>
      <c r="U1350" s="105"/>
      <c r="V1350" s="137"/>
      <c r="W1350" s="138"/>
      <c r="X1350" s="137"/>
      <c r="Y1350" s="138"/>
      <c r="Z1350" s="105"/>
      <c r="AA1350" s="105"/>
      <c r="AB1350" s="105"/>
      <c r="AC1350" s="105"/>
      <c r="AD1350" s="155">
        <v>44652</v>
      </c>
      <c r="AE1350" s="108" t="s">
        <v>7375</v>
      </c>
    </row>
    <row r="1351" spans="1:31" ht="27" customHeight="1" x14ac:dyDescent="0.15">
      <c r="A1351" s="105">
        <v>1116400274</v>
      </c>
      <c r="B1351" s="106" t="s">
        <v>7504</v>
      </c>
      <c r="C1351" s="107" t="s">
        <v>7505</v>
      </c>
      <c r="D1351" s="108" t="s">
        <v>104</v>
      </c>
      <c r="E1351" s="108" t="s">
        <v>7506</v>
      </c>
      <c r="F1351" s="139" t="s">
        <v>7507</v>
      </c>
      <c r="G1351" s="140" t="s">
        <v>7508</v>
      </c>
      <c r="H1351" s="140" t="s">
        <v>4212</v>
      </c>
      <c r="I1351" s="141" t="s">
        <v>6457</v>
      </c>
      <c r="J1351" s="142" t="s">
        <v>6457</v>
      </c>
      <c r="K1351" s="142" t="s">
        <v>6457</v>
      </c>
      <c r="L1351" s="142" t="s">
        <v>6457</v>
      </c>
      <c r="M1351" s="134" t="s">
        <v>6457</v>
      </c>
      <c r="N1351" s="134" t="s">
        <v>6457</v>
      </c>
      <c r="O1351" s="138" t="s">
        <v>6457</v>
      </c>
      <c r="P1351" s="105"/>
      <c r="Q1351" s="137"/>
      <c r="R1351" s="138"/>
      <c r="S1351" s="105"/>
      <c r="T1351" s="105"/>
      <c r="U1351" s="105"/>
      <c r="V1351" s="137"/>
      <c r="W1351" s="138"/>
      <c r="X1351" s="137">
        <v>20</v>
      </c>
      <c r="Y1351" s="138"/>
      <c r="Z1351" s="105"/>
      <c r="AA1351" s="105"/>
      <c r="AB1351" s="105"/>
      <c r="AC1351" s="105"/>
      <c r="AD1351" s="155">
        <v>44682</v>
      </c>
      <c r="AE1351" s="108" t="s">
        <v>11434</v>
      </c>
    </row>
    <row r="1352" spans="1:31" s="65" customFormat="1" ht="27" customHeight="1" x14ac:dyDescent="0.15">
      <c r="A1352" s="105">
        <v>1116400282</v>
      </c>
      <c r="B1352" s="106" t="s">
        <v>7517</v>
      </c>
      <c r="C1352" s="107" t="s">
        <v>10240</v>
      </c>
      <c r="D1352" s="108" t="s">
        <v>104</v>
      </c>
      <c r="E1352" s="108" t="s">
        <v>7518</v>
      </c>
      <c r="F1352" s="139" t="s">
        <v>10241</v>
      </c>
      <c r="G1352" s="140" t="s">
        <v>10242</v>
      </c>
      <c r="H1352" s="140" t="s">
        <v>7519</v>
      </c>
      <c r="I1352" s="141"/>
      <c r="J1352" s="142"/>
      <c r="K1352" s="142"/>
      <c r="L1352" s="142" t="s">
        <v>6457</v>
      </c>
      <c r="M1352" s="134" t="s">
        <v>6457</v>
      </c>
      <c r="N1352" s="134" t="s">
        <v>6457</v>
      </c>
      <c r="O1352" s="138" t="s">
        <v>6457</v>
      </c>
      <c r="P1352" s="105"/>
      <c r="Q1352" s="137"/>
      <c r="R1352" s="138"/>
      <c r="S1352" s="105"/>
      <c r="T1352" s="105"/>
      <c r="U1352" s="105"/>
      <c r="V1352" s="137"/>
      <c r="W1352" s="138"/>
      <c r="X1352" s="137"/>
      <c r="Y1352" s="138"/>
      <c r="Z1352" s="105"/>
      <c r="AA1352" s="105">
        <v>20</v>
      </c>
      <c r="AB1352" s="105"/>
      <c r="AC1352" s="105"/>
      <c r="AD1352" s="155">
        <v>44682</v>
      </c>
      <c r="AE1352" s="108" t="s">
        <v>7520</v>
      </c>
    </row>
    <row r="1353" spans="1:31" s="93" customFormat="1" ht="27" customHeight="1" x14ac:dyDescent="0.15">
      <c r="A1353" s="150">
        <v>1116400340</v>
      </c>
      <c r="B1353" s="130" t="s">
        <v>9539</v>
      </c>
      <c r="C1353" s="108" t="s">
        <v>9540</v>
      </c>
      <c r="D1353" s="108" t="s">
        <v>104</v>
      </c>
      <c r="E1353" s="108" t="s">
        <v>9541</v>
      </c>
      <c r="F1353" s="230" t="s">
        <v>9542</v>
      </c>
      <c r="G1353" s="132" t="s">
        <v>9543</v>
      </c>
      <c r="H1353" s="132"/>
      <c r="I1353" s="116"/>
      <c r="J1353" s="154"/>
      <c r="K1353" s="154"/>
      <c r="L1353" s="154"/>
      <c r="M1353" s="154" t="s">
        <v>49</v>
      </c>
      <c r="N1353" s="143" t="s">
        <v>49</v>
      </c>
      <c r="O1353" s="138"/>
      <c r="P1353" s="105"/>
      <c r="Q1353" s="116"/>
      <c r="R1353" s="138"/>
      <c r="S1353" s="105"/>
      <c r="T1353" s="105"/>
      <c r="U1353" s="105"/>
      <c r="V1353" s="116"/>
      <c r="W1353" s="138"/>
      <c r="X1353" s="116">
        <v>20</v>
      </c>
      <c r="Y1353" s="138"/>
      <c r="Z1353" s="105"/>
      <c r="AA1353" s="105"/>
      <c r="AB1353" s="105"/>
      <c r="AC1353" s="105"/>
      <c r="AD1353" s="118">
        <v>45566</v>
      </c>
      <c r="AE1353" s="108" t="s">
        <v>9544</v>
      </c>
    </row>
    <row r="1354" spans="1:31" s="65" customFormat="1" ht="27" customHeight="1" x14ac:dyDescent="0.15">
      <c r="A1354" s="81">
        <v>1116400399</v>
      </c>
      <c r="B1354" s="374" t="s">
        <v>11670</v>
      </c>
      <c r="C1354" s="375" t="s">
        <v>10229</v>
      </c>
      <c r="D1354" s="84" t="s">
        <v>104</v>
      </c>
      <c r="E1354" s="162" t="s">
        <v>10230</v>
      </c>
      <c r="F1354" s="205" t="s">
        <v>10231</v>
      </c>
      <c r="G1354" s="376" t="s">
        <v>10232</v>
      </c>
      <c r="H1354" s="206" t="s">
        <v>10233</v>
      </c>
      <c r="I1354" s="221"/>
      <c r="J1354" s="222"/>
      <c r="K1354" s="222"/>
      <c r="L1354" s="222"/>
      <c r="M1354" s="222" t="s">
        <v>765</v>
      </c>
      <c r="N1354" s="208" t="s">
        <v>765</v>
      </c>
      <c r="O1354" s="210"/>
      <c r="P1354" s="175"/>
      <c r="Q1354" s="209"/>
      <c r="R1354" s="210"/>
      <c r="S1354" s="175"/>
      <c r="T1354" s="175"/>
      <c r="U1354" s="175"/>
      <c r="V1354" s="209"/>
      <c r="W1354" s="210"/>
      <c r="X1354" s="209"/>
      <c r="Y1354" s="210"/>
      <c r="Z1354" s="175"/>
      <c r="AA1354" s="175">
        <v>20</v>
      </c>
      <c r="AB1354" s="175"/>
      <c r="AC1354" s="175"/>
      <c r="AD1354" s="155">
        <v>45778</v>
      </c>
      <c r="AE1354" s="162" t="s">
        <v>10234</v>
      </c>
    </row>
    <row r="1355" spans="1:31" ht="27" customHeight="1" x14ac:dyDescent="0.15">
      <c r="A1355" s="76">
        <v>1116400407</v>
      </c>
      <c r="B1355" s="163" t="s">
        <v>11671</v>
      </c>
      <c r="C1355" s="164" t="s">
        <v>10529</v>
      </c>
      <c r="D1355" s="166" t="s">
        <v>104</v>
      </c>
      <c r="E1355" s="108" t="s">
        <v>10530</v>
      </c>
      <c r="F1355" s="139" t="s">
        <v>10531</v>
      </c>
      <c r="G1355" s="168" t="s">
        <v>10532</v>
      </c>
      <c r="H1355" s="140"/>
      <c r="I1355" s="141"/>
      <c r="J1355" s="142"/>
      <c r="K1355" s="142"/>
      <c r="L1355" s="142"/>
      <c r="M1355" s="142" t="s">
        <v>765</v>
      </c>
      <c r="N1355" s="143" t="s">
        <v>765</v>
      </c>
      <c r="O1355" s="138"/>
      <c r="P1355" s="105"/>
      <c r="Q1355" s="137"/>
      <c r="R1355" s="138"/>
      <c r="S1355" s="105"/>
      <c r="T1355" s="105"/>
      <c r="U1355" s="105"/>
      <c r="V1355" s="137"/>
      <c r="W1355" s="138"/>
      <c r="X1355" s="137"/>
      <c r="Y1355" s="138"/>
      <c r="Z1355" s="105"/>
      <c r="AA1355" s="105">
        <v>20</v>
      </c>
      <c r="AB1355" s="105"/>
      <c r="AC1355" s="105"/>
      <c r="AD1355" s="144">
        <v>45870</v>
      </c>
      <c r="AE1355" s="108" t="s">
        <v>10533</v>
      </c>
    </row>
    <row r="1356" spans="1:31" ht="27" customHeight="1" x14ac:dyDescent="0.15">
      <c r="A1356" s="105">
        <v>1116400415</v>
      </c>
      <c r="B1356" s="130" t="s">
        <v>10601</v>
      </c>
      <c r="C1356" s="108" t="s">
        <v>10602</v>
      </c>
      <c r="D1356" s="108" t="s">
        <v>104</v>
      </c>
      <c r="E1356" s="108" t="s">
        <v>10603</v>
      </c>
      <c r="F1356" s="131" t="s">
        <v>10604</v>
      </c>
      <c r="G1356" s="132" t="s">
        <v>10605</v>
      </c>
      <c r="H1356" s="132" t="s">
        <v>10606</v>
      </c>
      <c r="I1356" s="133"/>
      <c r="J1356" s="134"/>
      <c r="K1356" s="134"/>
      <c r="L1356" s="134"/>
      <c r="M1356" s="134" t="s">
        <v>765</v>
      </c>
      <c r="N1356" s="135" t="s">
        <v>765</v>
      </c>
      <c r="O1356" s="136"/>
      <c r="P1356" s="105"/>
      <c r="Q1356" s="137"/>
      <c r="R1356" s="138"/>
      <c r="S1356" s="105"/>
      <c r="T1356" s="105"/>
      <c r="U1356" s="105"/>
      <c r="V1356" s="116"/>
      <c r="W1356" s="117"/>
      <c r="X1356" s="116"/>
      <c r="Y1356" s="138"/>
      <c r="Z1356" s="105"/>
      <c r="AA1356" s="105">
        <v>20</v>
      </c>
      <c r="AB1356" s="105"/>
      <c r="AC1356" s="105"/>
      <c r="AD1356" s="118">
        <v>45901</v>
      </c>
      <c r="AE1356" s="108" t="s">
        <v>10607</v>
      </c>
    </row>
    <row r="1357" spans="1:31" ht="27" customHeight="1" x14ac:dyDescent="0.15">
      <c r="A1357" s="277">
        <v>1116501436</v>
      </c>
      <c r="B1357" s="278" t="s">
        <v>227</v>
      </c>
      <c r="C1357" s="243" t="s">
        <v>357</v>
      </c>
      <c r="D1357" s="243" t="s">
        <v>105</v>
      </c>
      <c r="E1357" s="278" t="s">
        <v>8118</v>
      </c>
      <c r="F1357" s="277" t="s">
        <v>5602</v>
      </c>
      <c r="G1357" s="277" t="s">
        <v>358</v>
      </c>
      <c r="H1357" s="277" t="s">
        <v>41</v>
      </c>
      <c r="I1357" s="133" t="s">
        <v>251</v>
      </c>
      <c r="J1357" s="134"/>
      <c r="K1357" s="134"/>
      <c r="L1357" s="134"/>
      <c r="M1357" s="134" t="s">
        <v>251</v>
      </c>
      <c r="N1357" s="135"/>
      <c r="O1357" s="136"/>
      <c r="P1357" s="132"/>
      <c r="Q1357" s="152"/>
      <c r="R1357" s="136"/>
      <c r="S1357" s="132"/>
      <c r="T1357" s="277">
        <v>14</v>
      </c>
      <c r="U1357" s="277">
        <v>6</v>
      </c>
      <c r="V1357" s="152"/>
      <c r="W1357" s="136"/>
      <c r="X1357" s="152"/>
      <c r="Y1357" s="136"/>
      <c r="Z1357" s="132"/>
      <c r="AA1357" s="132"/>
      <c r="AB1357" s="132"/>
      <c r="AC1357" s="132"/>
      <c r="AD1357" s="250">
        <v>38991</v>
      </c>
      <c r="AE1357" s="108" t="s">
        <v>359</v>
      </c>
    </row>
    <row r="1358" spans="1:31" ht="27" customHeight="1" x14ac:dyDescent="0.15">
      <c r="A1358" s="105">
        <v>1116502301</v>
      </c>
      <c r="B1358" s="106" t="s">
        <v>227</v>
      </c>
      <c r="C1358" s="107" t="s">
        <v>6148</v>
      </c>
      <c r="D1358" s="108" t="s">
        <v>105</v>
      </c>
      <c r="E1358" s="108" t="s">
        <v>111</v>
      </c>
      <c r="F1358" s="139">
        <v>3360974</v>
      </c>
      <c r="G1358" s="139" t="s">
        <v>6006</v>
      </c>
      <c r="H1358" s="139" t="s">
        <v>6007</v>
      </c>
      <c r="I1358" s="141" t="s">
        <v>765</v>
      </c>
      <c r="J1358" s="142" t="s">
        <v>765</v>
      </c>
      <c r="K1358" s="142" t="s">
        <v>765</v>
      </c>
      <c r="L1358" s="142" t="s">
        <v>765</v>
      </c>
      <c r="M1358" s="142" t="s">
        <v>765</v>
      </c>
      <c r="N1358" s="143"/>
      <c r="O1358" s="138"/>
      <c r="P1358" s="105"/>
      <c r="Q1358" s="137"/>
      <c r="R1358" s="138"/>
      <c r="S1358" s="105"/>
      <c r="T1358" s="105">
        <v>70</v>
      </c>
      <c r="U1358" s="105">
        <v>10</v>
      </c>
      <c r="V1358" s="137">
        <v>10</v>
      </c>
      <c r="W1358" s="138"/>
      <c r="X1358" s="137"/>
      <c r="Y1358" s="138"/>
      <c r="Z1358" s="105"/>
      <c r="AA1358" s="105">
        <v>55</v>
      </c>
      <c r="AB1358" s="105"/>
      <c r="AC1358" s="105"/>
      <c r="AD1358" s="144">
        <v>39173</v>
      </c>
      <c r="AE1358" s="108" t="s">
        <v>370</v>
      </c>
    </row>
    <row r="1359" spans="1:31" ht="27" customHeight="1" x14ac:dyDescent="0.15">
      <c r="A1359" s="105">
        <v>1116502327</v>
      </c>
      <c r="B1359" s="106" t="s">
        <v>149</v>
      </c>
      <c r="C1359" s="163" t="s">
        <v>10044</v>
      </c>
      <c r="D1359" s="108" t="s">
        <v>105</v>
      </c>
      <c r="E1359" s="108" t="s">
        <v>6008</v>
      </c>
      <c r="F1359" s="139">
        <v>3390033</v>
      </c>
      <c r="G1359" s="139" t="s">
        <v>373</v>
      </c>
      <c r="H1359" s="139" t="s">
        <v>6009</v>
      </c>
      <c r="I1359" s="377" t="s">
        <v>765</v>
      </c>
      <c r="J1359" s="142"/>
      <c r="K1359" s="142"/>
      <c r="L1359" s="142"/>
      <c r="M1359" s="142" t="s">
        <v>765</v>
      </c>
      <c r="N1359" s="143"/>
      <c r="O1359" s="138"/>
      <c r="P1359" s="105"/>
      <c r="Q1359" s="137"/>
      <c r="R1359" s="138"/>
      <c r="S1359" s="105"/>
      <c r="T1359" s="105">
        <v>50</v>
      </c>
      <c r="U1359" s="105"/>
      <c r="V1359" s="137"/>
      <c r="W1359" s="138"/>
      <c r="X1359" s="137"/>
      <c r="Y1359" s="138"/>
      <c r="Z1359" s="105"/>
      <c r="AA1359" s="378">
        <v>26</v>
      </c>
      <c r="AB1359" s="105"/>
      <c r="AC1359" s="105"/>
      <c r="AD1359" s="144">
        <v>39173</v>
      </c>
      <c r="AE1359" s="108" t="s">
        <v>375</v>
      </c>
    </row>
    <row r="1360" spans="1:31" ht="27" customHeight="1" x14ac:dyDescent="0.15">
      <c r="A1360" s="105">
        <v>1116502335</v>
      </c>
      <c r="B1360" s="106" t="s">
        <v>227</v>
      </c>
      <c r="C1360" s="107" t="s">
        <v>6781</v>
      </c>
      <c r="D1360" s="108" t="s">
        <v>105</v>
      </c>
      <c r="E1360" s="108" t="s">
        <v>113</v>
      </c>
      <c r="F1360" s="139">
        <v>3380004</v>
      </c>
      <c r="G1360" s="139" t="s">
        <v>376</v>
      </c>
      <c r="H1360" s="139" t="s">
        <v>6780</v>
      </c>
      <c r="I1360" s="141"/>
      <c r="J1360" s="142"/>
      <c r="K1360" s="142"/>
      <c r="L1360" s="142"/>
      <c r="M1360" s="142" t="s">
        <v>765</v>
      </c>
      <c r="N1360" s="143"/>
      <c r="O1360" s="138"/>
      <c r="P1360" s="105"/>
      <c r="Q1360" s="137"/>
      <c r="R1360" s="138"/>
      <c r="S1360" s="105"/>
      <c r="T1360" s="105">
        <v>20</v>
      </c>
      <c r="U1360" s="105"/>
      <c r="V1360" s="137"/>
      <c r="W1360" s="138"/>
      <c r="X1360" s="137"/>
      <c r="Y1360" s="138"/>
      <c r="Z1360" s="105"/>
      <c r="AA1360" s="105">
        <v>10</v>
      </c>
      <c r="AB1360" s="105"/>
      <c r="AC1360" s="105"/>
      <c r="AD1360" s="144">
        <v>39173</v>
      </c>
      <c r="AE1360" s="108" t="s">
        <v>377</v>
      </c>
    </row>
    <row r="1361" spans="1:31" ht="27" customHeight="1" x14ac:dyDescent="0.15">
      <c r="A1361" s="277">
        <v>1116502343</v>
      </c>
      <c r="B1361" s="278" t="s">
        <v>227</v>
      </c>
      <c r="C1361" s="243" t="s">
        <v>3009</v>
      </c>
      <c r="D1361" s="243" t="s">
        <v>105</v>
      </c>
      <c r="E1361" s="243" t="s">
        <v>112</v>
      </c>
      <c r="F1361" s="244">
        <v>3310823</v>
      </c>
      <c r="G1361" s="277" t="s">
        <v>371</v>
      </c>
      <c r="H1361" s="277" t="s">
        <v>42</v>
      </c>
      <c r="I1361" s="245"/>
      <c r="J1361" s="246"/>
      <c r="K1361" s="246"/>
      <c r="L1361" s="246"/>
      <c r="M1361" s="134" t="s">
        <v>251</v>
      </c>
      <c r="N1361" s="279"/>
      <c r="O1361" s="247"/>
      <c r="P1361" s="132"/>
      <c r="Q1361" s="152"/>
      <c r="R1361" s="136"/>
      <c r="S1361" s="132"/>
      <c r="T1361" s="132"/>
      <c r="U1361" s="132"/>
      <c r="V1361" s="152"/>
      <c r="W1361" s="136"/>
      <c r="X1361" s="249">
        <v>15</v>
      </c>
      <c r="Y1361" s="136"/>
      <c r="Z1361" s="132"/>
      <c r="AA1361" s="277">
        <v>25</v>
      </c>
      <c r="AB1361" s="277"/>
      <c r="AC1361" s="277"/>
      <c r="AD1361" s="250">
        <v>39173</v>
      </c>
      <c r="AE1361" s="108" t="s">
        <v>372</v>
      </c>
    </row>
    <row r="1362" spans="1:31" ht="27" customHeight="1" x14ac:dyDescent="0.15">
      <c r="A1362" s="105">
        <v>1116502350</v>
      </c>
      <c r="B1362" s="106" t="s">
        <v>365</v>
      </c>
      <c r="C1362" s="107" t="s">
        <v>6010</v>
      </c>
      <c r="D1362" s="108" t="s">
        <v>105</v>
      </c>
      <c r="E1362" s="108" t="s">
        <v>110</v>
      </c>
      <c r="F1362" s="139">
        <v>3310804</v>
      </c>
      <c r="G1362" s="139" t="s">
        <v>368</v>
      </c>
      <c r="H1362" s="139" t="s">
        <v>368</v>
      </c>
      <c r="I1362" s="141" t="s">
        <v>765</v>
      </c>
      <c r="J1362" s="142" t="s">
        <v>765</v>
      </c>
      <c r="K1362" s="142" t="s">
        <v>765</v>
      </c>
      <c r="L1362" s="142" t="s">
        <v>765</v>
      </c>
      <c r="M1362" s="142" t="s">
        <v>765</v>
      </c>
      <c r="N1362" s="143" t="s">
        <v>765</v>
      </c>
      <c r="O1362" s="138" t="s">
        <v>765</v>
      </c>
      <c r="P1362" s="105"/>
      <c r="Q1362" s="137"/>
      <c r="R1362" s="138">
        <v>6</v>
      </c>
      <c r="S1362" s="105"/>
      <c r="T1362" s="105">
        <v>30</v>
      </c>
      <c r="U1362" s="105"/>
      <c r="V1362" s="137"/>
      <c r="W1362" s="138"/>
      <c r="X1362" s="137"/>
      <c r="Y1362" s="138"/>
      <c r="Z1362" s="105"/>
      <c r="AA1362" s="105"/>
      <c r="AB1362" s="105"/>
      <c r="AC1362" s="105"/>
      <c r="AD1362" s="144">
        <v>39173</v>
      </c>
      <c r="AE1362" s="108" t="s">
        <v>11299</v>
      </c>
    </row>
    <row r="1363" spans="1:31" ht="27" customHeight="1" x14ac:dyDescent="0.15">
      <c r="A1363" s="277">
        <v>1116502376</v>
      </c>
      <c r="B1363" s="278" t="s">
        <v>385</v>
      </c>
      <c r="C1363" s="243" t="s">
        <v>2494</v>
      </c>
      <c r="D1363" s="243" t="s">
        <v>105</v>
      </c>
      <c r="E1363" s="278" t="s">
        <v>118</v>
      </c>
      <c r="F1363" s="244">
        <v>3360031</v>
      </c>
      <c r="G1363" s="277" t="s">
        <v>386</v>
      </c>
      <c r="H1363" s="277" t="s">
        <v>4551</v>
      </c>
      <c r="I1363" s="116" t="s">
        <v>4552</v>
      </c>
      <c r="J1363" s="154" t="s">
        <v>4552</v>
      </c>
      <c r="K1363" s="154" t="s">
        <v>4552</v>
      </c>
      <c r="L1363" s="154" t="s">
        <v>4552</v>
      </c>
      <c r="M1363" s="154" t="s">
        <v>4552</v>
      </c>
      <c r="N1363" s="143" t="s">
        <v>4552</v>
      </c>
      <c r="O1363" s="138" t="s">
        <v>4552</v>
      </c>
      <c r="P1363" s="277">
        <v>30</v>
      </c>
      <c r="Q1363" s="152" t="s">
        <v>765</v>
      </c>
      <c r="R1363" s="136"/>
      <c r="S1363" s="132"/>
      <c r="T1363" s="132"/>
      <c r="U1363" s="132"/>
      <c r="V1363" s="152"/>
      <c r="W1363" s="136"/>
      <c r="X1363" s="249"/>
      <c r="Y1363" s="136"/>
      <c r="Z1363" s="132"/>
      <c r="AA1363" s="277">
        <v>50</v>
      </c>
      <c r="AB1363" s="277"/>
      <c r="AC1363" s="277"/>
      <c r="AD1363" s="250">
        <v>39173</v>
      </c>
      <c r="AE1363" s="108" t="s">
        <v>4553</v>
      </c>
    </row>
    <row r="1364" spans="1:31" ht="27" customHeight="1" x14ac:dyDescent="0.15">
      <c r="A1364" s="277">
        <v>1116502384</v>
      </c>
      <c r="B1364" s="278" t="s">
        <v>379</v>
      </c>
      <c r="C1364" s="243" t="s">
        <v>384</v>
      </c>
      <c r="D1364" s="243" t="s">
        <v>105</v>
      </c>
      <c r="E1364" s="278" t="s">
        <v>117</v>
      </c>
      <c r="F1364" s="244">
        <v>3310060</v>
      </c>
      <c r="G1364" s="277" t="s">
        <v>380</v>
      </c>
      <c r="H1364" s="277" t="s">
        <v>43</v>
      </c>
      <c r="I1364" s="116" t="s">
        <v>251</v>
      </c>
      <c r="J1364" s="154" t="s">
        <v>251</v>
      </c>
      <c r="K1364" s="154" t="s">
        <v>251</v>
      </c>
      <c r="L1364" s="154" t="s">
        <v>251</v>
      </c>
      <c r="M1364" s="154" t="s">
        <v>251</v>
      </c>
      <c r="N1364" s="143" t="s">
        <v>251</v>
      </c>
      <c r="O1364" s="138" t="s">
        <v>2170</v>
      </c>
      <c r="P1364" s="277">
        <v>50</v>
      </c>
      <c r="Q1364" s="249" t="s">
        <v>2610</v>
      </c>
      <c r="R1364" s="247">
        <v>7</v>
      </c>
      <c r="S1364" s="132"/>
      <c r="T1364" s="105">
        <v>50</v>
      </c>
      <c r="U1364" s="132"/>
      <c r="V1364" s="152"/>
      <c r="W1364" s="136"/>
      <c r="X1364" s="152"/>
      <c r="Y1364" s="136"/>
      <c r="Z1364" s="132"/>
      <c r="AA1364" s="132"/>
      <c r="AB1364" s="132"/>
      <c r="AC1364" s="132"/>
      <c r="AD1364" s="250">
        <v>39173</v>
      </c>
      <c r="AE1364" s="108" t="s">
        <v>6149</v>
      </c>
    </row>
    <row r="1365" spans="1:31" s="190" customFormat="1" ht="27" customHeight="1" x14ac:dyDescent="0.15">
      <c r="A1365" s="277">
        <v>1116502392</v>
      </c>
      <c r="B1365" s="278" t="s">
        <v>5122</v>
      </c>
      <c r="C1365" s="243" t="s">
        <v>8600</v>
      </c>
      <c r="D1365" s="243" t="s">
        <v>105</v>
      </c>
      <c r="E1365" s="243" t="s">
        <v>5123</v>
      </c>
      <c r="F1365" s="244">
        <v>3310057</v>
      </c>
      <c r="G1365" s="277" t="s">
        <v>5124</v>
      </c>
      <c r="H1365" s="277" t="s">
        <v>5125</v>
      </c>
      <c r="I1365" s="116" t="s">
        <v>5126</v>
      </c>
      <c r="J1365" s="154" t="s">
        <v>5126</v>
      </c>
      <c r="K1365" s="154" t="s">
        <v>5126</v>
      </c>
      <c r="L1365" s="154" t="s">
        <v>5126</v>
      </c>
      <c r="M1365" s="154" t="s">
        <v>5126</v>
      </c>
      <c r="N1365" s="143" t="s">
        <v>5126</v>
      </c>
      <c r="O1365" s="138" t="s">
        <v>5126</v>
      </c>
      <c r="P1365" s="132"/>
      <c r="Q1365" s="152"/>
      <c r="R1365" s="136"/>
      <c r="S1365" s="132"/>
      <c r="T1365" s="277">
        <v>64</v>
      </c>
      <c r="U1365" s="132"/>
      <c r="V1365" s="152"/>
      <c r="W1365" s="136"/>
      <c r="X1365" s="249"/>
      <c r="Y1365" s="136"/>
      <c r="Z1365" s="132"/>
      <c r="AA1365" s="132">
        <v>16</v>
      </c>
      <c r="AB1365" s="132"/>
      <c r="AC1365" s="132"/>
      <c r="AD1365" s="250">
        <v>39173</v>
      </c>
      <c r="AE1365" s="108" t="s">
        <v>5127</v>
      </c>
    </row>
    <row r="1366" spans="1:31" ht="27" customHeight="1" x14ac:dyDescent="0.15">
      <c r="A1366" s="105">
        <v>1116502525</v>
      </c>
      <c r="B1366" s="106" t="s">
        <v>397</v>
      </c>
      <c r="C1366" s="107" t="s">
        <v>11809</v>
      </c>
      <c r="D1366" s="108" t="s">
        <v>105</v>
      </c>
      <c r="E1366" s="108" t="s">
        <v>114</v>
      </c>
      <c r="F1366" s="139">
        <v>3360033</v>
      </c>
      <c r="G1366" s="139" t="s">
        <v>6011</v>
      </c>
      <c r="H1366" s="139" t="s">
        <v>6012</v>
      </c>
      <c r="I1366" s="141" t="s">
        <v>765</v>
      </c>
      <c r="J1366" s="142"/>
      <c r="K1366" s="142" t="s">
        <v>765</v>
      </c>
      <c r="L1366" s="142"/>
      <c r="M1366" s="142" t="s">
        <v>765</v>
      </c>
      <c r="N1366" s="143"/>
      <c r="O1366" s="138"/>
      <c r="P1366" s="105"/>
      <c r="Q1366" s="137"/>
      <c r="R1366" s="138"/>
      <c r="S1366" s="105"/>
      <c r="T1366" s="105"/>
      <c r="U1366" s="105"/>
      <c r="V1366" s="137"/>
      <c r="W1366" s="138"/>
      <c r="X1366" s="137"/>
      <c r="Y1366" s="138"/>
      <c r="Z1366" s="105">
        <v>20</v>
      </c>
      <c r="AA1366" s="105">
        <v>20</v>
      </c>
      <c r="AB1366" s="105"/>
      <c r="AC1366" s="105"/>
      <c r="AD1366" s="144">
        <v>39234</v>
      </c>
      <c r="AE1366" s="108" t="s">
        <v>378</v>
      </c>
    </row>
    <row r="1367" spans="1:31" ht="27" customHeight="1" x14ac:dyDescent="0.15">
      <c r="A1367" s="105">
        <v>1116502764</v>
      </c>
      <c r="B1367" s="106" t="s">
        <v>379</v>
      </c>
      <c r="C1367" s="107" t="s">
        <v>1103</v>
      </c>
      <c r="D1367" s="108" t="s">
        <v>105</v>
      </c>
      <c r="E1367" s="108" t="s">
        <v>115</v>
      </c>
      <c r="F1367" s="139">
        <v>3310060</v>
      </c>
      <c r="G1367" s="139" t="s">
        <v>380</v>
      </c>
      <c r="H1367" s="139" t="s">
        <v>2635</v>
      </c>
      <c r="I1367" s="141" t="s">
        <v>765</v>
      </c>
      <c r="J1367" s="142" t="s">
        <v>765</v>
      </c>
      <c r="K1367" s="142" t="s">
        <v>765</v>
      </c>
      <c r="L1367" s="142" t="s">
        <v>765</v>
      </c>
      <c r="M1367" s="142" t="s">
        <v>765</v>
      </c>
      <c r="N1367" s="143" t="s">
        <v>765</v>
      </c>
      <c r="O1367" s="138" t="s">
        <v>765</v>
      </c>
      <c r="P1367" s="105"/>
      <c r="Q1367" s="137" t="s">
        <v>456</v>
      </c>
      <c r="R1367" s="138">
        <v>19</v>
      </c>
      <c r="S1367" s="105"/>
      <c r="T1367" s="105">
        <v>10</v>
      </c>
      <c r="U1367" s="105"/>
      <c r="V1367" s="137"/>
      <c r="W1367" s="138"/>
      <c r="X1367" s="137">
        <v>6</v>
      </c>
      <c r="Y1367" s="138"/>
      <c r="Z1367" s="105">
        <v>10</v>
      </c>
      <c r="AA1367" s="105">
        <v>34</v>
      </c>
      <c r="AB1367" s="105"/>
      <c r="AC1367" s="105"/>
      <c r="AD1367" s="144">
        <v>39448</v>
      </c>
      <c r="AE1367" s="108" t="s">
        <v>2669</v>
      </c>
    </row>
    <row r="1368" spans="1:31" ht="27" customHeight="1" x14ac:dyDescent="0.15">
      <c r="A1368" s="277">
        <v>1116502897</v>
      </c>
      <c r="B1368" s="130" t="s">
        <v>381</v>
      </c>
      <c r="C1368" s="130" t="s">
        <v>44</v>
      </c>
      <c r="D1368" s="243" t="s">
        <v>105</v>
      </c>
      <c r="E1368" s="130" t="s">
        <v>116</v>
      </c>
      <c r="F1368" s="264">
        <v>3310812</v>
      </c>
      <c r="G1368" s="132" t="s">
        <v>45</v>
      </c>
      <c r="H1368" s="132" t="s">
        <v>46</v>
      </c>
      <c r="I1368" s="116"/>
      <c r="J1368" s="154"/>
      <c r="K1368" s="154"/>
      <c r="L1368" s="154"/>
      <c r="M1368" s="134" t="s">
        <v>237</v>
      </c>
      <c r="N1368" s="143"/>
      <c r="O1368" s="138"/>
      <c r="P1368" s="132"/>
      <c r="Q1368" s="152"/>
      <c r="R1368" s="136"/>
      <c r="S1368" s="132"/>
      <c r="T1368" s="132">
        <v>15</v>
      </c>
      <c r="U1368" s="132"/>
      <c r="V1368" s="152"/>
      <c r="W1368" s="136"/>
      <c r="X1368" s="152"/>
      <c r="Y1368" s="136"/>
      <c r="Z1368" s="132"/>
      <c r="AA1368" s="132">
        <v>20</v>
      </c>
      <c r="AB1368" s="132"/>
      <c r="AC1368" s="132"/>
      <c r="AD1368" s="118">
        <v>39539</v>
      </c>
      <c r="AE1368" s="108" t="s">
        <v>383</v>
      </c>
    </row>
    <row r="1369" spans="1:31" ht="27" customHeight="1" x14ac:dyDescent="0.15">
      <c r="A1369" s="105">
        <v>1116503143</v>
      </c>
      <c r="B1369" s="106" t="s">
        <v>789</v>
      </c>
      <c r="C1369" s="107" t="s">
        <v>790</v>
      </c>
      <c r="D1369" s="108" t="s">
        <v>105</v>
      </c>
      <c r="E1369" s="108" t="s">
        <v>791</v>
      </c>
      <c r="F1369" s="139" t="s">
        <v>6013</v>
      </c>
      <c r="G1369" s="139" t="s">
        <v>6014</v>
      </c>
      <c r="H1369" s="139" t="s">
        <v>6014</v>
      </c>
      <c r="I1369" s="141" t="s">
        <v>765</v>
      </c>
      <c r="J1369" s="142" t="s">
        <v>765</v>
      </c>
      <c r="K1369" s="142" t="s">
        <v>765</v>
      </c>
      <c r="L1369" s="142" t="s">
        <v>765</v>
      </c>
      <c r="M1369" s="142" t="s">
        <v>765</v>
      </c>
      <c r="N1369" s="143" t="s">
        <v>765</v>
      </c>
      <c r="O1369" s="138" t="s">
        <v>765</v>
      </c>
      <c r="P1369" s="105"/>
      <c r="Q1369" s="137"/>
      <c r="R1369" s="138"/>
      <c r="S1369" s="105"/>
      <c r="T1369" s="105">
        <v>25</v>
      </c>
      <c r="U1369" s="105"/>
      <c r="V1369" s="137"/>
      <c r="W1369" s="138"/>
      <c r="X1369" s="137"/>
      <c r="Y1369" s="138"/>
      <c r="Z1369" s="105"/>
      <c r="AA1369" s="105">
        <v>15</v>
      </c>
      <c r="AB1369" s="105"/>
      <c r="AC1369" s="105"/>
      <c r="AD1369" s="144">
        <v>39814</v>
      </c>
      <c r="AE1369" s="108" t="s">
        <v>6015</v>
      </c>
    </row>
    <row r="1370" spans="1:31" ht="27" customHeight="1" x14ac:dyDescent="0.15">
      <c r="A1370" s="105">
        <v>1116503325</v>
      </c>
      <c r="B1370" s="106" t="s">
        <v>263</v>
      </c>
      <c r="C1370" s="107" t="s">
        <v>264</v>
      </c>
      <c r="D1370" s="108" t="s">
        <v>105</v>
      </c>
      <c r="E1370" s="108" t="s">
        <v>265</v>
      </c>
      <c r="F1370" s="139">
        <v>3380006</v>
      </c>
      <c r="G1370" s="139" t="s">
        <v>6016</v>
      </c>
      <c r="H1370" s="139" t="s">
        <v>6017</v>
      </c>
      <c r="I1370" s="141" t="s">
        <v>765</v>
      </c>
      <c r="J1370" s="142" t="s">
        <v>765</v>
      </c>
      <c r="K1370" s="142" t="s">
        <v>765</v>
      </c>
      <c r="L1370" s="142" t="s">
        <v>765</v>
      </c>
      <c r="M1370" s="142" t="s">
        <v>765</v>
      </c>
      <c r="N1370" s="143" t="s">
        <v>765</v>
      </c>
      <c r="O1370" s="138" t="s">
        <v>765</v>
      </c>
      <c r="P1370" s="105"/>
      <c r="Q1370" s="137"/>
      <c r="R1370" s="138"/>
      <c r="S1370" s="105"/>
      <c r="T1370" s="105">
        <v>15</v>
      </c>
      <c r="U1370" s="105"/>
      <c r="V1370" s="137"/>
      <c r="W1370" s="138"/>
      <c r="X1370" s="137"/>
      <c r="Y1370" s="138"/>
      <c r="Z1370" s="105"/>
      <c r="AA1370" s="105">
        <v>15</v>
      </c>
      <c r="AB1370" s="105"/>
      <c r="AC1370" s="105"/>
      <c r="AD1370" s="144">
        <v>39995</v>
      </c>
      <c r="AE1370" s="108" t="s">
        <v>119</v>
      </c>
    </row>
    <row r="1371" spans="1:31" ht="27" customHeight="1" x14ac:dyDescent="0.15">
      <c r="A1371" s="277">
        <v>1116503572</v>
      </c>
      <c r="B1371" s="278" t="s">
        <v>227</v>
      </c>
      <c r="C1371" s="243" t="s">
        <v>1005</v>
      </c>
      <c r="D1371" s="243" t="s">
        <v>105</v>
      </c>
      <c r="E1371" s="278" t="s">
        <v>4836</v>
      </c>
      <c r="F1371" s="244" t="s">
        <v>4835</v>
      </c>
      <c r="G1371" s="249" t="s">
        <v>1455</v>
      </c>
      <c r="H1371" s="277" t="s">
        <v>1455</v>
      </c>
      <c r="I1371" s="116" t="s">
        <v>1008</v>
      </c>
      <c r="J1371" s="154" t="s">
        <v>1008</v>
      </c>
      <c r="K1371" s="154" t="s">
        <v>1008</v>
      </c>
      <c r="L1371" s="154" t="s">
        <v>1008</v>
      </c>
      <c r="M1371" s="154" t="s">
        <v>1008</v>
      </c>
      <c r="N1371" s="143"/>
      <c r="O1371" s="138"/>
      <c r="P1371" s="277"/>
      <c r="Q1371" s="152"/>
      <c r="R1371" s="136"/>
      <c r="S1371" s="132"/>
      <c r="T1371" s="132">
        <v>26</v>
      </c>
      <c r="U1371" s="132"/>
      <c r="V1371" s="152"/>
      <c r="W1371" s="136"/>
      <c r="X1371" s="245"/>
      <c r="Y1371" s="136"/>
      <c r="Z1371" s="132"/>
      <c r="AA1371" s="277"/>
      <c r="AB1371" s="277"/>
      <c r="AC1371" s="277"/>
      <c r="AD1371" s="250">
        <v>40269</v>
      </c>
      <c r="AE1371" s="108" t="s">
        <v>863</v>
      </c>
    </row>
    <row r="1372" spans="1:31" ht="27" customHeight="1" x14ac:dyDescent="0.15">
      <c r="A1372" s="105">
        <v>1116503598</v>
      </c>
      <c r="B1372" s="106" t="s">
        <v>1004</v>
      </c>
      <c r="C1372" s="107" t="s">
        <v>1006</v>
      </c>
      <c r="D1372" s="108" t="s">
        <v>105</v>
      </c>
      <c r="E1372" s="108" t="s">
        <v>6018</v>
      </c>
      <c r="F1372" s="139" t="s">
        <v>6019</v>
      </c>
      <c r="G1372" s="139" t="s">
        <v>6020</v>
      </c>
      <c r="H1372" s="139" t="s">
        <v>6021</v>
      </c>
      <c r="I1372" s="141" t="s">
        <v>765</v>
      </c>
      <c r="J1372" s="142"/>
      <c r="K1372" s="142"/>
      <c r="L1372" s="142"/>
      <c r="M1372" s="142" t="s">
        <v>765</v>
      </c>
      <c r="N1372" s="143"/>
      <c r="O1372" s="138"/>
      <c r="P1372" s="105"/>
      <c r="Q1372" s="137"/>
      <c r="R1372" s="138">
        <v>2</v>
      </c>
      <c r="S1372" s="105"/>
      <c r="T1372" s="105">
        <v>20</v>
      </c>
      <c r="U1372" s="105"/>
      <c r="V1372" s="137"/>
      <c r="W1372" s="138"/>
      <c r="X1372" s="137"/>
      <c r="Y1372" s="138"/>
      <c r="Z1372" s="105"/>
      <c r="AA1372" s="105"/>
      <c r="AB1372" s="105"/>
      <c r="AC1372" s="105"/>
      <c r="AD1372" s="144">
        <v>40269</v>
      </c>
      <c r="AE1372" s="108" t="s">
        <v>1007</v>
      </c>
    </row>
    <row r="1373" spans="1:31" ht="27" customHeight="1" x14ac:dyDescent="0.15">
      <c r="A1373" s="277">
        <v>1116503655</v>
      </c>
      <c r="B1373" s="130" t="s">
        <v>2536</v>
      </c>
      <c r="C1373" s="243" t="s">
        <v>3740</v>
      </c>
      <c r="D1373" s="243" t="s">
        <v>105</v>
      </c>
      <c r="E1373" s="243" t="s">
        <v>1043</v>
      </c>
      <c r="F1373" s="244" t="s">
        <v>1044</v>
      </c>
      <c r="G1373" s="277" t="s">
        <v>1045</v>
      </c>
      <c r="H1373" s="277" t="s">
        <v>1046</v>
      </c>
      <c r="I1373" s="245" t="s">
        <v>242</v>
      </c>
      <c r="J1373" s="246" t="s">
        <v>242</v>
      </c>
      <c r="K1373" s="246" t="s">
        <v>242</v>
      </c>
      <c r="L1373" s="246" t="s">
        <v>242</v>
      </c>
      <c r="M1373" s="134" t="s">
        <v>242</v>
      </c>
      <c r="N1373" s="279" t="s">
        <v>242</v>
      </c>
      <c r="O1373" s="247" t="s">
        <v>2170</v>
      </c>
      <c r="P1373" s="132"/>
      <c r="Q1373" s="152"/>
      <c r="R1373" s="136"/>
      <c r="S1373" s="132"/>
      <c r="T1373" s="132"/>
      <c r="U1373" s="132"/>
      <c r="V1373" s="152"/>
      <c r="W1373" s="136"/>
      <c r="X1373" s="152">
        <f>10+10</f>
        <v>20</v>
      </c>
      <c r="Y1373" s="136"/>
      <c r="Z1373" s="277"/>
      <c r="AA1373" s="132"/>
      <c r="AB1373" s="132"/>
      <c r="AC1373" s="132"/>
      <c r="AD1373" s="250">
        <v>40299</v>
      </c>
      <c r="AE1373" s="108" t="s">
        <v>1047</v>
      </c>
    </row>
    <row r="1374" spans="1:31" ht="27" customHeight="1" x14ac:dyDescent="0.15">
      <c r="A1374" s="105">
        <v>1116503812</v>
      </c>
      <c r="B1374" s="106" t="s">
        <v>1436</v>
      </c>
      <c r="C1374" s="107" t="s">
        <v>6022</v>
      </c>
      <c r="D1374" s="108" t="s">
        <v>105</v>
      </c>
      <c r="E1374" s="108" t="s">
        <v>1090</v>
      </c>
      <c r="F1374" s="139">
        <v>3360021</v>
      </c>
      <c r="G1374" s="139" t="s">
        <v>6023</v>
      </c>
      <c r="H1374" s="139" t="s">
        <v>6023</v>
      </c>
      <c r="I1374" s="141"/>
      <c r="J1374" s="142"/>
      <c r="K1374" s="142"/>
      <c r="L1374" s="142"/>
      <c r="M1374" s="142" t="s">
        <v>765</v>
      </c>
      <c r="N1374" s="143" t="s">
        <v>765</v>
      </c>
      <c r="O1374" s="138"/>
      <c r="P1374" s="105"/>
      <c r="Q1374" s="137"/>
      <c r="R1374" s="138"/>
      <c r="S1374" s="105"/>
      <c r="T1374" s="105"/>
      <c r="U1374" s="105"/>
      <c r="V1374" s="137"/>
      <c r="W1374" s="138"/>
      <c r="X1374" s="379"/>
      <c r="Y1374" s="138"/>
      <c r="Z1374" s="105"/>
      <c r="AA1374" s="105">
        <v>20</v>
      </c>
      <c r="AB1374" s="105"/>
      <c r="AC1374" s="105"/>
      <c r="AD1374" s="144">
        <v>40513</v>
      </c>
      <c r="AE1374" s="108" t="s">
        <v>387</v>
      </c>
    </row>
    <row r="1375" spans="1:31" ht="27" customHeight="1" x14ac:dyDescent="0.15">
      <c r="A1375" s="277">
        <v>1116503929</v>
      </c>
      <c r="B1375" s="278" t="s">
        <v>1404</v>
      </c>
      <c r="C1375" s="243" t="s">
        <v>1403</v>
      </c>
      <c r="D1375" s="243" t="s">
        <v>105</v>
      </c>
      <c r="E1375" s="243" t="s">
        <v>1405</v>
      </c>
      <c r="F1375" s="244">
        <v>3300856</v>
      </c>
      <c r="G1375" s="277" t="s">
        <v>1406</v>
      </c>
      <c r="H1375" s="277" t="s">
        <v>1406</v>
      </c>
      <c r="I1375" s="245"/>
      <c r="J1375" s="246"/>
      <c r="K1375" s="246"/>
      <c r="L1375" s="246"/>
      <c r="M1375" s="134" t="s">
        <v>49</v>
      </c>
      <c r="N1375" s="279" t="s">
        <v>49</v>
      </c>
      <c r="O1375" s="247"/>
      <c r="P1375" s="132"/>
      <c r="Q1375" s="152"/>
      <c r="R1375" s="136"/>
      <c r="S1375" s="132"/>
      <c r="T1375" s="132"/>
      <c r="U1375" s="132"/>
      <c r="V1375" s="152"/>
      <c r="W1375" s="136"/>
      <c r="X1375" s="152"/>
      <c r="Y1375" s="136"/>
      <c r="Z1375" s="277"/>
      <c r="AA1375" s="132">
        <v>20</v>
      </c>
      <c r="AB1375" s="132"/>
      <c r="AC1375" s="132"/>
      <c r="AD1375" s="250">
        <v>40634</v>
      </c>
      <c r="AE1375" s="108" t="s">
        <v>1407</v>
      </c>
    </row>
    <row r="1376" spans="1:31" ht="27" customHeight="1" x14ac:dyDescent="0.15">
      <c r="A1376" s="277">
        <v>1116503937</v>
      </c>
      <c r="B1376" s="278" t="s">
        <v>381</v>
      </c>
      <c r="C1376" s="243" t="s">
        <v>1409</v>
      </c>
      <c r="D1376" s="243" t="s">
        <v>105</v>
      </c>
      <c r="E1376" s="243" t="s">
        <v>1410</v>
      </c>
      <c r="F1376" s="244">
        <v>3370003</v>
      </c>
      <c r="G1376" s="277" t="s">
        <v>1411</v>
      </c>
      <c r="H1376" s="277" t="s">
        <v>1412</v>
      </c>
      <c r="I1376" s="245" t="s">
        <v>1413</v>
      </c>
      <c r="J1376" s="246"/>
      <c r="K1376" s="246"/>
      <c r="L1376" s="246"/>
      <c r="M1376" s="134" t="s">
        <v>49</v>
      </c>
      <c r="N1376" s="279"/>
      <c r="O1376" s="247"/>
      <c r="P1376" s="132"/>
      <c r="Q1376" s="152"/>
      <c r="R1376" s="136"/>
      <c r="S1376" s="132"/>
      <c r="T1376" s="132">
        <v>13</v>
      </c>
      <c r="U1376" s="132"/>
      <c r="V1376" s="152"/>
      <c r="W1376" s="136"/>
      <c r="X1376" s="152"/>
      <c r="Y1376" s="136"/>
      <c r="Z1376" s="277"/>
      <c r="AA1376" s="132">
        <v>20</v>
      </c>
      <c r="AB1376" s="132"/>
      <c r="AC1376" s="132"/>
      <c r="AD1376" s="250">
        <v>40634</v>
      </c>
      <c r="AE1376" s="108" t="s">
        <v>1414</v>
      </c>
    </row>
    <row r="1377" spans="1:31" ht="27" customHeight="1" x14ac:dyDescent="0.15">
      <c r="A1377" s="380">
        <v>1116503978</v>
      </c>
      <c r="B1377" s="381" t="s">
        <v>8170</v>
      </c>
      <c r="C1377" s="382" t="s">
        <v>5928</v>
      </c>
      <c r="D1377" s="383" t="s">
        <v>8162</v>
      </c>
      <c r="E1377" s="382" t="s">
        <v>8171</v>
      </c>
      <c r="F1377" s="382" t="s">
        <v>5929</v>
      </c>
      <c r="G1377" s="382" t="s">
        <v>5930</v>
      </c>
      <c r="H1377" s="384" t="s">
        <v>5931</v>
      </c>
      <c r="I1377" s="385"/>
      <c r="J1377" s="386"/>
      <c r="K1377" s="386"/>
      <c r="L1377" s="386"/>
      <c r="M1377" s="386"/>
      <c r="N1377" s="387" t="s">
        <v>8136</v>
      </c>
      <c r="O1377" s="388"/>
      <c r="P1377" s="380"/>
      <c r="Q1377" s="389"/>
      <c r="R1377" s="388">
        <v>3</v>
      </c>
      <c r="S1377" s="380"/>
      <c r="T1377" s="380">
        <v>8</v>
      </c>
      <c r="U1377" s="380"/>
      <c r="V1377" s="389">
        <v>12</v>
      </c>
      <c r="W1377" s="388">
        <v>16</v>
      </c>
      <c r="X1377" s="389"/>
      <c r="Y1377" s="388"/>
      <c r="Z1377" s="384"/>
      <c r="AA1377" s="384"/>
      <c r="AB1377" s="384"/>
      <c r="AC1377" s="384"/>
      <c r="AD1377" s="390">
        <v>41000</v>
      </c>
      <c r="AE1377" s="382" t="s">
        <v>10517</v>
      </c>
    </row>
    <row r="1378" spans="1:31" ht="27" customHeight="1" x14ac:dyDescent="0.15">
      <c r="A1378" s="277">
        <v>1116504083</v>
      </c>
      <c r="B1378" s="278" t="s">
        <v>1440</v>
      </c>
      <c r="C1378" s="243" t="s">
        <v>1441</v>
      </c>
      <c r="D1378" s="243" t="s">
        <v>105</v>
      </c>
      <c r="E1378" s="108" t="s">
        <v>1442</v>
      </c>
      <c r="F1378" s="151">
        <v>3310074</v>
      </c>
      <c r="G1378" s="277" t="s">
        <v>1443</v>
      </c>
      <c r="H1378" s="277" t="s">
        <v>1444</v>
      </c>
      <c r="I1378" s="245" t="s">
        <v>1439</v>
      </c>
      <c r="J1378" s="246"/>
      <c r="K1378" s="246"/>
      <c r="L1378" s="246"/>
      <c r="M1378" s="134"/>
      <c r="N1378" s="279"/>
      <c r="O1378" s="247"/>
      <c r="P1378" s="132">
        <v>40</v>
      </c>
      <c r="Q1378" s="152" t="s">
        <v>10982</v>
      </c>
      <c r="R1378" s="136">
        <v>2</v>
      </c>
      <c r="S1378" s="132"/>
      <c r="T1378" s="132">
        <v>40</v>
      </c>
      <c r="U1378" s="132"/>
      <c r="V1378" s="152"/>
      <c r="W1378" s="136"/>
      <c r="X1378" s="152"/>
      <c r="Y1378" s="136"/>
      <c r="Z1378" s="277"/>
      <c r="AA1378" s="132"/>
      <c r="AB1378" s="132"/>
      <c r="AC1378" s="132"/>
      <c r="AD1378" s="250">
        <v>40695</v>
      </c>
      <c r="AE1378" s="108" t="s">
        <v>1445</v>
      </c>
    </row>
    <row r="1379" spans="1:31" ht="27" customHeight="1" x14ac:dyDescent="0.15">
      <c r="A1379" s="132">
        <v>1116504091</v>
      </c>
      <c r="B1379" s="130" t="s">
        <v>11991</v>
      </c>
      <c r="C1379" s="130" t="s">
        <v>6324</v>
      </c>
      <c r="D1379" s="108" t="s">
        <v>105</v>
      </c>
      <c r="E1379" s="108" t="s">
        <v>6325</v>
      </c>
      <c r="F1379" s="132" t="s">
        <v>6326</v>
      </c>
      <c r="G1379" s="392" t="s">
        <v>6327</v>
      </c>
      <c r="H1379" s="139" t="s">
        <v>6327</v>
      </c>
      <c r="I1379" s="141"/>
      <c r="J1379" s="142"/>
      <c r="K1379" s="142"/>
      <c r="L1379" s="142"/>
      <c r="M1379" s="142" t="s">
        <v>765</v>
      </c>
      <c r="N1379" s="142" t="s">
        <v>765</v>
      </c>
      <c r="O1379" s="176"/>
      <c r="P1379" s="105"/>
      <c r="Q1379" s="137"/>
      <c r="R1379" s="138"/>
      <c r="S1379" s="105"/>
      <c r="T1379" s="105"/>
      <c r="U1379" s="141"/>
      <c r="V1379" s="137"/>
      <c r="W1379" s="138"/>
      <c r="X1379" s="141"/>
      <c r="Y1379" s="138"/>
      <c r="Z1379" s="105"/>
      <c r="AA1379" s="105">
        <v>20</v>
      </c>
      <c r="AB1379" s="105"/>
      <c r="AC1379" s="105"/>
      <c r="AD1379" s="155">
        <v>44105</v>
      </c>
      <c r="AE1379" s="108" t="s">
        <v>6328</v>
      </c>
    </row>
    <row r="1380" spans="1:31" ht="27" customHeight="1" x14ac:dyDescent="0.15">
      <c r="A1380" s="277">
        <v>1116504109</v>
      </c>
      <c r="B1380" s="278" t="s">
        <v>1609</v>
      </c>
      <c r="C1380" s="243" t="s">
        <v>1453</v>
      </c>
      <c r="D1380" s="243" t="s">
        <v>105</v>
      </c>
      <c r="E1380" s="108" t="s">
        <v>2447</v>
      </c>
      <c r="F1380" s="151">
        <v>3300804</v>
      </c>
      <c r="G1380" s="277" t="s">
        <v>1454</v>
      </c>
      <c r="H1380" s="277" t="s">
        <v>1454</v>
      </c>
      <c r="I1380" s="245"/>
      <c r="J1380" s="246"/>
      <c r="K1380" s="246"/>
      <c r="L1380" s="246"/>
      <c r="M1380" s="134"/>
      <c r="N1380" s="279" t="s">
        <v>1446</v>
      </c>
      <c r="O1380" s="247"/>
      <c r="P1380" s="132"/>
      <c r="Q1380" s="152"/>
      <c r="R1380" s="136"/>
      <c r="S1380" s="132"/>
      <c r="T1380" s="132"/>
      <c r="U1380" s="132"/>
      <c r="V1380" s="152"/>
      <c r="W1380" s="136"/>
      <c r="X1380" s="152"/>
      <c r="Y1380" s="136"/>
      <c r="Z1380" s="277"/>
      <c r="AA1380" s="132">
        <v>20</v>
      </c>
      <c r="AB1380" s="132"/>
      <c r="AC1380" s="132"/>
      <c r="AD1380" s="250">
        <v>40725</v>
      </c>
      <c r="AE1380" s="108" t="s">
        <v>2448</v>
      </c>
    </row>
    <row r="1381" spans="1:31" ht="27" customHeight="1" x14ac:dyDescent="0.15">
      <c r="A1381" s="277">
        <v>1116504166</v>
      </c>
      <c r="B1381" s="278" t="s">
        <v>1481</v>
      </c>
      <c r="C1381" s="243" t="s">
        <v>2694</v>
      </c>
      <c r="D1381" s="243" t="s">
        <v>105</v>
      </c>
      <c r="E1381" s="108" t="s">
        <v>1482</v>
      </c>
      <c r="F1381" s="151">
        <v>3360024</v>
      </c>
      <c r="G1381" s="277" t="s">
        <v>1483</v>
      </c>
      <c r="H1381" s="277" t="s">
        <v>1484</v>
      </c>
      <c r="I1381" s="245" t="s">
        <v>1485</v>
      </c>
      <c r="J1381" s="246"/>
      <c r="K1381" s="246"/>
      <c r="L1381" s="246"/>
      <c r="M1381" s="134" t="s">
        <v>1485</v>
      </c>
      <c r="N1381" s="279"/>
      <c r="O1381" s="247"/>
      <c r="P1381" s="132"/>
      <c r="Q1381" s="152"/>
      <c r="R1381" s="136"/>
      <c r="S1381" s="132"/>
      <c r="T1381" s="132"/>
      <c r="U1381" s="132"/>
      <c r="V1381" s="152"/>
      <c r="W1381" s="136"/>
      <c r="X1381" s="152"/>
      <c r="Y1381" s="136"/>
      <c r="Z1381" s="277"/>
      <c r="AA1381" s="132">
        <v>36</v>
      </c>
      <c r="AB1381" s="132"/>
      <c r="AC1381" s="132"/>
      <c r="AD1381" s="250">
        <v>40787</v>
      </c>
      <c r="AE1381" s="108" t="s">
        <v>1486</v>
      </c>
    </row>
    <row r="1382" spans="1:31" ht="27" customHeight="1" x14ac:dyDescent="0.15">
      <c r="A1382" s="277">
        <v>1116504190</v>
      </c>
      <c r="B1382" s="278" t="s">
        <v>1523</v>
      </c>
      <c r="C1382" s="243" t="s">
        <v>2905</v>
      </c>
      <c r="D1382" s="243" t="s">
        <v>105</v>
      </c>
      <c r="E1382" s="108" t="s">
        <v>2492</v>
      </c>
      <c r="F1382" s="151">
        <v>3380832</v>
      </c>
      <c r="G1382" s="277" t="s">
        <v>2906</v>
      </c>
      <c r="H1382" s="277" t="s">
        <v>2906</v>
      </c>
      <c r="I1382" s="245"/>
      <c r="J1382" s="246"/>
      <c r="K1382" s="246"/>
      <c r="L1382" s="246"/>
      <c r="M1382" s="134"/>
      <c r="N1382" s="279" t="s">
        <v>49</v>
      </c>
      <c r="O1382" s="247"/>
      <c r="P1382" s="132"/>
      <c r="Q1382" s="152"/>
      <c r="R1382" s="136"/>
      <c r="S1382" s="132"/>
      <c r="T1382" s="132"/>
      <c r="U1382" s="132"/>
      <c r="V1382" s="152"/>
      <c r="W1382" s="136"/>
      <c r="X1382" s="152"/>
      <c r="Y1382" s="136"/>
      <c r="Z1382" s="277"/>
      <c r="AA1382" s="132">
        <v>20</v>
      </c>
      <c r="AB1382" s="132"/>
      <c r="AC1382" s="132"/>
      <c r="AD1382" s="250">
        <v>40817</v>
      </c>
      <c r="AE1382" s="108" t="s">
        <v>1524</v>
      </c>
    </row>
    <row r="1383" spans="1:31" ht="27" customHeight="1" x14ac:dyDescent="0.15">
      <c r="A1383" s="105">
        <v>1116504240</v>
      </c>
      <c r="B1383" s="106" t="s">
        <v>1544</v>
      </c>
      <c r="C1383" s="107" t="s">
        <v>1545</v>
      </c>
      <c r="D1383" s="108" t="s">
        <v>105</v>
      </c>
      <c r="E1383" s="108" t="s">
        <v>1546</v>
      </c>
      <c r="F1383" s="139">
        <v>3370051</v>
      </c>
      <c r="G1383" s="139" t="s">
        <v>6024</v>
      </c>
      <c r="H1383" s="139" t="s">
        <v>6025</v>
      </c>
      <c r="I1383" s="141"/>
      <c r="J1383" s="142"/>
      <c r="K1383" s="142"/>
      <c r="L1383" s="142"/>
      <c r="M1383" s="142" t="s">
        <v>765</v>
      </c>
      <c r="N1383" s="143" t="s">
        <v>765</v>
      </c>
      <c r="O1383" s="138"/>
      <c r="P1383" s="105"/>
      <c r="Q1383" s="137"/>
      <c r="R1383" s="138"/>
      <c r="S1383" s="105"/>
      <c r="T1383" s="105"/>
      <c r="U1383" s="105"/>
      <c r="V1383" s="137"/>
      <c r="W1383" s="138"/>
      <c r="X1383" s="137"/>
      <c r="Y1383" s="138"/>
      <c r="Z1383" s="105"/>
      <c r="AA1383" s="105">
        <v>20</v>
      </c>
      <c r="AB1383" s="105"/>
      <c r="AC1383" s="105"/>
      <c r="AD1383" s="144">
        <v>40848</v>
      </c>
      <c r="AE1383" s="108" t="s">
        <v>6026</v>
      </c>
    </row>
    <row r="1384" spans="1:31" ht="27" customHeight="1" x14ac:dyDescent="0.15">
      <c r="A1384" s="105">
        <v>1116504273</v>
      </c>
      <c r="B1384" s="106" t="s">
        <v>1568</v>
      </c>
      <c r="C1384" s="107" t="s">
        <v>1569</v>
      </c>
      <c r="D1384" s="108" t="s">
        <v>105</v>
      </c>
      <c r="E1384" s="108" t="s">
        <v>1570</v>
      </c>
      <c r="F1384" s="139">
        <v>3390005</v>
      </c>
      <c r="G1384" s="139" t="s">
        <v>6027</v>
      </c>
      <c r="H1384" s="139" t="s">
        <v>6027</v>
      </c>
      <c r="I1384" s="141"/>
      <c r="J1384" s="142"/>
      <c r="K1384" s="142"/>
      <c r="L1384" s="142"/>
      <c r="M1384" s="142" t="s">
        <v>765</v>
      </c>
      <c r="N1384" s="143" t="s">
        <v>765</v>
      </c>
      <c r="O1384" s="138"/>
      <c r="P1384" s="105"/>
      <c r="Q1384" s="137"/>
      <c r="R1384" s="138"/>
      <c r="S1384" s="105"/>
      <c r="T1384" s="105"/>
      <c r="U1384" s="105"/>
      <c r="V1384" s="137"/>
      <c r="W1384" s="138"/>
      <c r="X1384" s="137"/>
      <c r="Y1384" s="138"/>
      <c r="Z1384" s="105"/>
      <c r="AA1384" s="105">
        <v>20</v>
      </c>
      <c r="AB1384" s="105"/>
      <c r="AC1384" s="105"/>
      <c r="AD1384" s="144">
        <v>40878</v>
      </c>
      <c r="AE1384" s="108" t="s">
        <v>1571</v>
      </c>
    </row>
    <row r="1385" spans="1:31" ht="27" customHeight="1" x14ac:dyDescent="0.15">
      <c r="A1385" s="105">
        <v>1116504232</v>
      </c>
      <c r="B1385" s="106" t="s">
        <v>5350</v>
      </c>
      <c r="C1385" s="107" t="s">
        <v>4559</v>
      </c>
      <c r="D1385" s="108" t="s">
        <v>105</v>
      </c>
      <c r="E1385" s="108" t="s">
        <v>4560</v>
      </c>
      <c r="F1385" s="139" t="s">
        <v>4561</v>
      </c>
      <c r="G1385" s="140" t="s">
        <v>4562</v>
      </c>
      <c r="H1385" s="140" t="s">
        <v>4563</v>
      </c>
      <c r="I1385" s="141"/>
      <c r="J1385" s="142"/>
      <c r="K1385" s="142"/>
      <c r="L1385" s="142"/>
      <c r="M1385" s="142"/>
      <c r="N1385" s="143" t="s">
        <v>765</v>
      </c>
      <c r="O1385" s="138"/>
      <c r="P1385" s="105"/>
      <c r="Q1385" s="137"/>
      <c r="R1385" s="138"/>
      <c r="S1385" s="105"/>
      <c r="T1385" s="105"/>
      <c r="U1385" s="105"/>
      <c r="V1385" s="137"/>
      <c r="W1385" s="138"/>
      <c r="X1385" s="137"/>
      <c r="Y1385" s="138"/>
      <c r="Z1385" s="105"/>
      <c r="AA1385" s="137">
        <v>33</v>
      </c>
      <c r="AB1385" s="105"/>
      <c r="AC1385" s="105"/>
      <c r="AD1385" s="250">
        <v>40848</v>
      </c>
      <c r="AE1385" s="108" t="s">
        <v>1415</v>
      </c>
    </row>
    <row r="1386" spans="1:31" s="65" customFormat="1" ht="27" customHeight="1" x14ac:dyDescent="0.15">
      <c r="A1386" s="105">
        <v>1116504380</v>
      </c>
      <c r="B1386" s="106" t="s">
        <v>1609</v>
      </c>
      <c r="C1386" s="107" t="s">
        <v>5056</v>
      </c>
      <c r="D1386" s="108" t="s">
        <v>105</v>
      </c>
      <c r="E1386" s="108" t="s">
        <v>1651</v>
      </c>
      <c r="F1386" s="139">
        <v>3300834</v>
      </c>
      <c r="G1386" s="140" t="s">
        <v>5057</v>
      </c>
      <c r="H1386" s="140" t="s">
        <v>5057</v>
      </c>
      <c r="I1386" s="141"/>
      <c r="J1386" s="142"/>
      <c r="K1386" s="142"/>
      <c r="L1386" s="142"/>
      <c r="M1386" s="142"/>
      <c r="N1386" s="143" t="s">
        <v>765</v>
      </c>
      <c r="O1386" s="138"/>
      <c r="P1386" s="105"/>
      <c r="Q1386" s="137"/>
      <c r="R1386" s="138"/>
      <c r="S1386" s="105"/>
      <c r="T1386" s="105"/>
      <c r="U1386" s="105"/>
      <c r="V1386" s="137"/>
      <c r="W1386" s="138"/>
      <c r="X1386" s="137"/>
      <c r="Y1386" s="138"/>
      <c r="Z1386" s="105"/>
      <c r="AA1386" s="105">
        <v>20</v>
      </c>
      <c r="AB1386" s="132"/>
      <c r="AC1386" s="132"/>
      <c r="AD1386" s="250">
        <v>40940</v>
      </c>
      <c r="AE1386" s="108" t="s">
        <v>1652</v>
      </c>
    </row>
    <row r="1387" spans="1:31" s="65" customFormat="1" ht="27" customHeight="1" x14ac:dyDescent="0.15">
      <c r="A1387" s="277">
        <v>1116504430</v>
      </c>
      <c r="B1387" s="278" t="s">
        <v>1609</v>
      </c>
      <c r="C1387" s="243" t="s">
        <v>1678</v>
      </c>
      <c r="D1387" s="243" t="s">
        <v>105</v>
      </c>
      <c r="E1387" s="108" t="s">
        <v>1679</v>
      </c>
      <c r="F1387" s="139" t="s">
        <v>1683</v>
      </c>
      <c r="G1387" s="277" t="s">
        <v>1680</v>
      </c>
      <c r="H1387" s="277" t="s">
        <v>1681</v>
      </c>
      <c r="I1387" s="245"/>
      <c r="J1387" s="246"/>
      <c r="K1387" s="246"/>
      <c r="L1387" s="246"/>
      <c r="M1387" s="134"/>
      <c r="N1387" s="279" t="s">
        <v>49</v>
      </c>
      <c r="O1387" s="247"/>
      <c r="P1387" s="132"/>
      <c r="Q1387" s="152"/>
      <c r="R1387" s="136"/>
      <c r="S1387" s="132"/>
      <c r="T1387" s="132"/>
      <c r="U1387" s="132"/>
      <c r="V1387" s="152"/>
      <c r="W1387" s="136"/>
      <c r="X1387" s="152"/>
      <c r="Y1387" s="136"/>
      <c r="Z1387" s="277">
        <v>15</v>
      </c>
      <c r="AA1387" s="132">
        <v>15</v>
      </c>
      <c r="AB1387" s="132"/>
      <c r="AC1387" s="132"/>
      <c r="AD1387" s="250">
        <v>40969</v>
      </c>
      <c r="AE1387" s="108" t="s">
        <v>1682</v>
      </c>
    </row>
    <row r="1388" spans="1:31" s="65" customFormat="1" ht="27" customHeight="1" x14ac:dyDescent="0.15">
      <c r="A1388" s="105">
        <v>1116504497</v>
      </c>
      <c r="B1388" s="106" t="s">
        <v>2037</v>
      </c>
      <c r="C1388" s="107" t="s">
        <v>2029</v>
      </c>
      <c r="D1388" s="108" t="s">
        <v>105</v>
      </c>
      <c r="E1388" s="108" t="s">
        <v>2045</v>
      </c>
      <c r="F1388" s="139" t="s">
        <v>6028</v>
      </c>
      <c r="G1388" s="139" t="s">
        <v>6029</v>
      </c>
      <c r="H1388" s="139" t="s">
        <v>6030</v>
      </c>
      <c r="I1388" s="141" t="s">
        <v>765</v>
      </c>
      <c r="J1388" s="142" t="s">
        <v>765</v>
      </c>
      <c r="K1388" s="142" t="s">
        <v>765</v>
      </c>
      <c r="L1388" s="142" t="s">
        <v>765</v>
      </c>
      <c r="M1388" s="142" t="s">
        <v>765</v>
      </c>
      <c r="N1388" s="143" t="s">
        <v>765</v>
      </c>
      <c r="O1388" s="138" t="s">
        <v>765</v>
      </c>
      <c r="P1388" s="105"/>
      <c r="Q1388" s="137"/>
      <c r="R1388" s="138"/>
      <c r="S1388" s="105"/>
      <c r="T1388" s="105"/>
      <c r="U1388" s="105"/>
      <c r="V1388" s="137"/>
      <c r="W1388" s="138"/>
      <c r="X1388" s="137"/>
      <c r="Y1388" s="138"/>
      <c r="Z1388" s="105"/>
      <c r="AA1388" s="105">
        <v>20</v>
      </c>
      <c r="AB1388" s="105"/>
      <c r="AC1388" s="105"/>
      <c r="AD1388" s="144">
        <v>41000</v>
      </c>
      <c r="AE1388" s="108" t="s">
        <v>2041</v>
      </c>
    </row>
    <row r="1389" spans="1:31" ht="27" customHeight="1" x14ac:dyDescent="0.15">
      <c r="A1389" s="132">
        <v>1116504505</v>
      </c>
      <c r="B1389" s="130" t="s">
        <v>2038</v>
      </c>
      <c r="C1389" s="130" t="s">
        <v>2030</v>
      </c>
      <c r="D1389" s="108" t="s">
        <v>105</v>
      </c>
      <c r="E1389" s="382" t="s">
        <v>8577</v>
      </c>
      <c r="F1389" s="384" t="s">
        <v>6031</v>
      </c>
      <c r="G1389" s="384" t="s">
        <v>8578</v>
      </c>
      <c r="H1389" s="384" t="s">
        <v>8579</v>
      </c>
      <c r="I1389" s="133"/>
      <c r="J1389" s="134"/>
      <c r="K1389" s="134"/>
      <c r="L1389" s="134"/>
      <c r="M1389" s="134" t="s">
        <v>2036</v>
      </c>
      <c r="N1389" s="135"/>
      <c r="O1389" s="136"/>
      <c r="P1389" s="132"/>
      <c r="Q1389" s="152"/>
      <c r="R1389" s="136"/>
      <c r="S1389" s="132"/>
      <c r="T1389" s="132">
        <v>20</v>
      </c>
      <c r="U1389" s="132"/>
      <c r="V1389" s="152"/>
      <c r="W1389" s="136"/>
      <c r="X1389" s="152"/>
      <c r="Y1389" s="136"/>
      <c r="Z1389" s="132"/>
      <c r="AA1389" s="105"/>
      <c r="AB1389" s="105"/>
      <c r="AC1389" s="105"/>
      <c r="AD1389" s="118">
        <v>41000</v>
      </c>
      <c r="AE1389" s="130" t="s">
        <v>8580</v>
      </c>
    </row>
    <row r="1390" spans="1:31" ht="27" customHeight="1" x14ac:dyDescent="0.15">
      <c r="A1390" s="132">
        <v>1116504539</v>
      </c>
      <c r="B1390" s="278" t="s">
        <v>7636</v>
      </c>
      <c r="C1390" s="278" t="s">
        <v>7638</v>
      </c>
      <c r="D1390" s="108" t="s">
        <v>105</v>
      </c>
      <c r="E1390" s="130" t="s">
        <v>2046</v>
      </c>
      <c r="F1390" s="132" t="s">
        <v>2048</v>
      </c>
      <c r="G1390" s="132" t="s">
        <v>2032</v>
      </c>
      <c r="H1390" s="132" t="s">
        <v>2033</v>
      </c>
      <c r="I1390" s="133" t="s">
        <v>765</v>
      </c>
      <c r="J1390" s="134" t="s">
        <v>765</v>
      </c>
      <c r="K1390" s="134" t="s">
        <v>765</v>
      </c>
      <c r="L1390" s="134" t="s">
        <v>765</v>
      </c>
      <c r="M1390" s="134" t="s">
        <v>765</v>
      </c>
      <c r="N1390" s="135" t="s">
        <v>765</v>
      </c>
      <c r="O1390" s="136" t="s">
        <v>765</v>
      </c>
      <c r="P1390" s="132"/>
      <c r="Q1390" s="152"/>
      <c r="R1390" s="136"/>
      <c r="S1390" s="132"/>
      <c r="T1390" s="132"/>
      <c r="U1390" s="132"/>
      <c r="V1390" s="152"/>
      <c r="W1390" s="136"/>
      <c r="X1390" s="152"/>
      <c r="Y1390" s="136"/>
      <c r="Z1390" s="132">
        <v>20</v>
      </c>
      <c r="AA1390" s="105"/>
      <c r="AB1390" s="105"/>
      <c r="AC1390" s="105"/>
      <c r="AD1390" s="118">
        <v>41000</v>
      </c>
      <c r="AE1390" s="130" t="s">
        <v>2043</v>
      </c>
    </row>
    <row r="1391" spans="1:31" ht="27" customHeight="1" x14ac:dyDescent="0.15">
      <c r="A1391" s="132">
        <v>1116504612</v>
      </c>
      <c r="B1391" s="130" t="s">
        <v>7555</v>
      </c>
      <c r="C1391" s="130" t="s">
        <v>2034</v>
      </c>
      <c r="D1391" s="108" t="s">
        <v>105</v>
      </c>
      <c r="E1391" s="130" t="s">
        <v>2047</v>
      </c>
      <c r="F1391" s="132" t="s">
        <v>2049</v>
      </c>
      <c r="G1391" s="132" t="s">
        <v>2035</v>
      </c>
      <c r="H1391" s="132" t="s">
        <v>2035</v>
      </c>
      <c r="I1391" s="142" t="s">
        <v>765</v>
      </c>
      <c r="J1391" s="142" t="s">
        <v>765</v>
      </c>
      <c r="K1391" s="142" t="s">
        <v>765</v>
      </c>
      <c r="L1391" s="142" t="s">
        <v>765</v>
      </c>
      <c r="M1391" s="142" t="s">
        <v>765</v>
      </c>
      <c r="N1391" s="143" t="s">
        <v>765</v>
      </c>
      <c r="O1391" s="138" t="s">
        <v>765</v>
      </c>
      <c r="P1391" s="132"/>
      <c r="Q1391" s="152"/>
      <c r="R1391" s="136"/>
      <c r="S1391" s="132"/>
      <c r="T1391" s="132"/>
      <c r="U1391" s="132"/>
      <c r="V1391" s="152"/>
      <c r="W1391" s="136"/>
      <c r="X1391" s="152">
        <v>6</v>
      </c>
      <c r="Y1391" s="136"/>
      <c r="Z1391" s="132"/>
      <c r="AA1391" s="105">
        <v>20</v>
      </c>
      <c r="AB1391" s="105"/>
      <c r="AC1391" s="105"/>
      <c r="AD1391" s="118">
        <v>41000</v>
      </c>
      <c r="AE1391" s="130" t="s">
        <v>4018</v>
      </c>
    </row>
    <row r="1392" spans="1:31" ht="27" customHeight="1" x14ac:dyDescent="0.15">
      <c r="A1392" s="105">
        <v>1116504711</v>
      </c>
      <c r="B1392" s="130" t="s">
        <v>3235</v>
      </c>
      <c r="C1392" s="130" t="s">
        <v>2088</v>
      </c>
      <c r="D1392" s="157" t="s">
        <v>48</v>
      </c>
      <c r="E1392" s="130" t="s">
        <v>2091</v>
      </c>
      <c r="F1392" s="105" t="s">
        <v>2092</v>
      </c>
      <c r="G1392" s="105" t="s">
        <v>2089</v>
      </c>
      <c r="H1392" s="105" t="s">
        <v>2090</v>
      </c>
      <c r="I1392" s="393"/>
      <c r="J1392" s="394"/>
      <c r="K1392" s="394"/>
      <c r="L1392" s="394"/>
      <c r="M1392" s="287" t="s">
        <v>49</v>
      </c>
      <c r="N1392" s="395" t="s">
        <v>49</v>
      </c>
      <c r="O1392" s="396"/>
      <c r="P1392" s="285"/>
      <c r="Q1392" s="284"/>
      <c r="R1392" s="397"/>
      <c r="S1392" s="285"/>
      <c r="T1392" s="285">
        <v>20</v>
      </c>
      <c r="U1392" s="285"/>
      <c r="V1392" s="284"/>
      <c r="W1392" s="397"/>
      <c r="X1392" s="152"/>
      <c r="Y1392" s="136"/>
      <c r="Z1392" s="398"/>
      <c r="AA1392" s="285"/>
      <c r="AB1392" s="285"/>
      <c r="AC1392" s="285"/>
      <c r="AD1392" s="399">
        <v>41091</v>
      </c>
      <c r="AE1392" s="214" t="s">
        <v>4019</v>
      </c>
    </row>
    <row r="1393" spans="1:31" ht="27" customHeight="1" x14ac:dyDescent="0.15">
      <c r="A1393" s="277">
        <v>1116504877</v>
      </c>
      <c r="B1393" s="278" t="s">
        <v>419</v>
      </c>
      <c r="C1393" s="243" t="s">
        <v>2108</v>
      </c>
      <c r="D1393" s="243" t="s">
        <v>105</v>
      </c>
      <c r="E1393" s="243" t="s">
        <v>2111</v>
      </c>
      <c r="F1393" s="244">
        <v>3310812</v>
      </c>
      <c r="G1393" s="277" t="s">
        <v>2109</v>
      </c>
      <c r="H1393" s="277" t="s">
        <v>2109</v>
      </c>
      <c r="I1393" s="245" t="s">
        <v>49</v>
      </c>
      <c r="J1393" s="246"/>
      <c r="K1393" s="246"/>
      <c r="L1393" s="246"/>
      <c r="M1393" s="246" t="s">
        <v>49</v>
      </c>
      <c r="N1393" s="279"/>
      <c r="O1393" s="247"/>
      <c r="P1393" s="132"/>
      <c r="Q1393" s="152"/>
      <c r="R1393" s="248"/>
      <c r="S1393" s="132"/>
      <c r="T1393" s="132">
        <v>20</v>
      </c>
      <c r="U1393" s="132"/>
      <c r="V1393" s="152"/>
      <c r="W1393" s="136"/>
      <c r="X1393" s="249"/>
      <c r="Y1393" s="136"/>
      <c r="Z1393" s="132"/>
      <c r="AA1393" s="132"/>
      <c r="AB1393" s="132"/>
      <c r="AC1393" s="132"/>
      <c r="AD1393" s="250">
        <v>41183</v>
      </c>
      <c r="AE1393" s="108" t="s">
        <v>2110</v>
      </c>
    </row>
    <row r="1394" spans="1:31" ht="27" customHeight="1" x14ac:dyDescent="0.15">
      <c r="A1394" s="277">
        <v>1116504943</v>
      </c>
      <c r="B1394" s="278" t="s">
        <v>7636</v>
      </c>
      <c r="C1394" s="278" t="s">
        <v>7639</v>
      </c>
      <c r="D1394" s="108" t="s">
        <v>105</v>
      </c>
      <c r="E1394" s="243" t="s">
        <v>2127</v>
      </c>
      <c r="F1394" s="244" t="s">
        <v>2128</v>
      </c>
      <c r="G1394" s="277" t="s">
        <v>2129</v>
      </c>
      <c r="H1394" s="277" t="s">
        <v>2130</v>
      </c>
      <c r="I1394" s="245" t="s">
        <v>2131</v>
      </c>
      <c r="J1394" s="246" t="s">
        <v>2131</v>
      </c>
      <c r="K1394" s="246" t="s">
        <v>2131</v>
      </c>
      <c r="L1394" s="246" t="s">
        <v>2131</v>
      </c>
      <c r="M1394" s="246" t="s">
        <v>2131</v>
      </c>
      <c r="N1394" s="279" t="s">
        <v>2131</v>
      </c>
      <c r="O1394" s="247" t="s">
        <v>2170</v>
      </c>
      <c r="P1394" s="132"/>
      <c r="Q1394" s="152"/>
      <c r="R1394" s="248"/>
      <c r="S1394" s="132"/>
      <c r="T1394" s="132"/>
      <c r="U1394" s="132"/>
      <c r="V1394" s="152"/>
      <c r="W1394" s="136"/>
      <c r="X1394" s="249"/>
      <c r="Y1394" s="136"/>
      <c r="Z1394" s="132">
        <v>20</v>
      </c>
      <c r="AA1394" s="132"/>
      <c r="AB1394" s="132"/>
      <c r="AC1394" s="132"/>
      <c r="AD1394" s="250">
        <v>41244</v>
      </c>
      <c r="AE1394" s="108" t="s">
        <v>2132</v>
      </c>
    </row>
    <row r="1395" spans="1:31" ht="27" customHeight="1" x14ac:dyDescent="0.15">
      <c r="A1395" s="380">
        <v>1116504984</v>
      </c>
      <c r="B1395" s="381" t="s">
        <v>11992</v>
      </c>
      <c r="C1395" s="400" t="s">
        <v>4739</v>
      </c>
      <c r="D1395" s="401" t="s">
        <v>8162</v>
      </c>
      <c r="E1395" s="401" t="s">
        <v>8174</v>
      </c>
      <c r="F1395" s="402" t="s">
        <v>7181</v>
      </c>
      <c r="G1395" s="403" t="s">
        <v>8173</v>
      </c>
      <c r="H1395" s="403" t="s">
        <v>8173</v>
      </c>
      <c r="I1395" s="385"/>
      <c r="J1395" s="386"/>
      <c r="K1395" s="386"/>
      <c r="L1395" s="386"/>
      <c r="M1395" s="386"/>
      <c r="N1395" s="387" t="s">
        <v>8136</v>
      </c>
      <c r="O1395" s="388"/>
      <c r="P1395" s="380"/>
      <c r="Q1395" s="389"/>
      <c r="R1395" s="388"/>
      <c r="S1395" s="380"/>
      <c r="T1395" s="380"/>
      <c r="U1395" s="380"/>
      <c r="V1395" s="389"/>
      <c r="W1395" s="388"/>
      <c r="X1395" s="389"/>
      <c r="Y1395" s="388"/>
      <c r="Z1395" s="380"/>
      <c r="AA1395" s="380">
        <v>20</v>
      </c>
      <c r="AB1395" s="380"/>
      <c r="AC1395" s="380"/>
      <c r="AD1395" s="404" t="s">
        <v>8657</v>
      </c>
      <c r="AE1395" s="401" t="s">
        <v>8658</v>
      </c>
    </row>
    <row r="1396" spans="1:31" ht="27" customHeight="1" x14ac:dyDescent="0.15">
      <c r="A1396" s="380">
        <v>1116504992</v>
      </c>
      <c r="B1396" s="381" t="s">
        <v>11954</v>
      </c>
      <c r="C1396" s="400" t="s">
        <v>9506</v>
      </c>
      <c r="D1396" s="401" t="s">
        <v>8077</v>
      </c>
      <c r="E1396" s="401" t="s">
        <v>9507</v>
      </c>
      <c r="F1396" s="402" t="s">
        <v>9508</v>
      </c>
      <c r="G1396" s="403" t="s">
        <v>9509</v>
      </c>
      <c r="H1396" s="403" t="s">
        <v>9510</v>
      </c>
      <c r="I1396" s="385"/>
      <c r="J1396" s="386"/>
      <c r="K1396" s="386"/>
      <c r="L1396" s="386"/>
      <c r="M1396" s="386" t="s">
        <v>765</v>
      </c>
      <c r="N1396" s="387" t="s">
        <v>765</v>
      </c>
      <c r="O1396" s="388"/>
      <c r="P1396" s="380"/>
      <c r="Q1396" s="389"/>
      <c r="R1396" s="388"/>
      <c r="S1396" s="380"/>
      <c r="T1396" s="380"/>
      <c r="U1396" s="380"/>
      <c r="V1396" s="389"/>
      <c r="W1396" s="388"/>
      <c r="X1396" s="389"/>
      <c r="Y1396" s="388"/>
      <c r="Z1396" s="380"/>
      <c r="AA1396" s="380">
        <v>10</v>
      </c>
      <c r="AB1396" s="380"/>
      <c r="AC1396" s="380"/>
      <c r="AD1396" s="404">
        <v>45566</v>
      </c>
      <c r="AE1396" s="401" t="s">
        <v>11085</v>
      </c>
    </row>
    <row r="1397" spans="1:31" ht="27" customHeight="1" x14ac:dyDescent="0.15">
      <c r="A1397" s="105">
        <v>1116505205</v>
      </c>
      <c r="B1397" s="106" t="s">
        <v>2171</v>
      </c>
      <c r="C1397" s="107" t="s">
        <v>8601</v>
      </c>
      <c r="D1397" s="108" t="s">
        <v>105</v>
      </c>
      <c r="E1397" s="108" t="s">
        <v>2172</v>
      </c>
      <c r="F1397" s="139" t="s">
        <v>4557</v>
      </c>
      <c r="G1397" s="139" t="s">
        <v>5053</v>
      </c>
      <c r="H1397" s="139" t="s">
        <v>5054</v>
      </c>
      <c r="I1397" s="141" t="s">
        <v>765</v>
      </c>
      <c r="J1397" s="142" t="s">
        <v>765</v>
      </c>
      <c r="K1397" s="142" t="s">
        <v>765</v>
      </c>
      <c r="L1397" s="142" t="s">
        <v>765</v>
      </c>
      <c r="M1397" s="142" t="s">
        <v>765</v>
      </c>
      <c r="N1397" s="143" t="s">
        <v>765</v>
      </c>
      <c r="O1397" s="138" t="s">
        <v>765</v>
      </c>
      <c r="P1397" s="105"/>
      <c r="Q1397" s="137"/>
      <c r="R1397" s="138"/>
      <c r="S1397" s="105"/>
      <c r="T1397" s="105">
        <v>7</v>
      </c>
      <c r="U1397" s="105"/>
      <c r="V1397" s="137"/>
      <c r="W1397" s="138"/>
      <c r="X1397" s="137"/>
      <c r="Y1397" s="138"/>
      <c r="Z1397" s="105"/>
      <c r="AA1397" s="105">
        <v>31</v>
      </c>
      <c r="AB1397" s="105"/>
      <c r="AC1397" s="105"/>
      <c r="AD1397" s="144">
        <v>41365</v>
      </c>
      <c r="AE1397" s="108" t="s">
        <v>5055</v>
      </c>
    </row>
    <row r="1398" spans="1:31" ht="27" customHeight="1" x14ac:dyDescent="0.15">
      <c r="A1398" s="105">
        <v>1116505338</v>
      </c>
      <c r="B1398" s="106" t="s">
        <v>6838</v>
      </c>
      <c r="C1398" s="107" t="s">
        <v>6839</v>
      </c>
      <c r="D1398" s="108" t="s">
        <v>3873</v>
      </c>
      <c r="E1398" s="406" t="s">
        <v>9188</v>
      </c>
      <c r="F1398" s="391" t="s">
        <v>6925</v>
      </c>
      <c r="G1398" s="406" t="s">
        <v>9533</v>
      </c>
      <c r="H1398" s="139"/>
      <c r="I1398" s="141"/>
      <c r="J1398" s="142"/>
      <c r="K1398" s="142"/>
      <c r="L1398" s="142"/>
      <c r="M1398" s="142" t="s">
        <v>765</v>
      </c>
      <c r="N1398" s="143" t="s">
        <v>765</v>
      </c>
      <c r="O1398" s="138" t="s">
        <v>765</v>
      </c>
      <c r="P1398" s="105"/>
      <c r="Q1398" s="137"/>
      <c r="R1398" s="138"/>
      <c r="S1398" s="105"/>
      <c r="T1398" s="105"/>
      <c r="U1398" s="105"/>
      <c r="V1398" s="137"/>
      <c r="W1398" s="138"/>
      <c r="X1398" s="137">
        <v>10</v>
      </c>
      <c r="Y1398" s="138"/>
      <c r="Z1398" s="105"/>
      <c r="AA1398" s="105">
        <v>10</v>
      </c>
      <c r="AB1398" s="105"/>
      <c r="AC1398" s="105"/>
      <c r="AD1398" s="144">
        <v>41518</v>
      </c>
      <c r="AE1398" s="108" t="s">
        <v>9189</v>
      </c>
    </row>
    <row r="1399" spans="1:31" ht="27" customHeight="1" x14ac:dyDescent="0.15">
      <c r="A1399" s="105">
        <v>1116505346</v>
      </c>
      <c r="B1399" s="130" t="s">
        <v>3398</v>
      </c>
      <c r="C1399" s="130" t="s">
        <v>3509</v>
      </c>
      <c r="D1399" s="243" t="s">
        <v>48</v>
      </c>
      <c r="E1399" s="130" t="s">
        <v>3383</v>
      </c>
      <c r="F1399" s="244" t="s">
        <v>3384</v>
      </c>
      <c r="G1399" s="105" t="s">
        <v>3385</v>
      </c>
      <c r="H1399" s="105" t="s">
        <v>5983</v>
      </c>
      <c r="I1399" s="245" t="s">
        <v>49</v>
      </c>
      <c r="J1399" s="246" t="s">
        <v>49</v>
      </c>
      <c r="K1399" s="246" t="s">
        <v>49</v>
      </c>
      <c r="L1399" s="246" t="s">
        <v>49</v>
      </c>
      <c r="M1399" s="246" t="s">
        <v>49</v>
      </c>
      <c r="N1399" s="279" t="s">
        <v>49</v>
      </c>
      <c r="O1399" s="247" t="s">
        <v>49</v>
      </c>
      <c r="P1399" s="132"/>
      <c r="Q1399" s="152"/>
      <c r="R1399" s="248"/>
      <c r="S1399" s="132"/>
      <c r="T1399" s="132">
        <v>20</v>
      </c>
      <c r="U1399" s="132"/>
      <c r="V1399" s="152"/>
      <c r="W1399" s="136"/>
      <c r="X1399" s="249"/>
      <c r="Y1399" s="136"/>
      <c r="Z1399" s="132"/>
      <c r="AA1399" s="132"/>
      <c r="AB1399" s="132"/>
      <c r="AC1399" s="132"/>
      <c r="AD1399" s="250">
        <v>42461</v>
      </c>
      <c r="AE1399" s="130" t="s">
        <v>3402</v>
      </c>
    </row>
    <row r="1400" spans="1:31" ht="27" customHeight="1" x14ac:dyDescent="0.15">
      <c r="A1400" s="175">
        <v>1116505361</v>
      </c>
      <c r="B1400" s="278" t="s">
        <v>7636</v>
      </c>
      <c r="C1400" s="278" t="s">
        <v>7640</v>
      </c>
      <c r="D1400" s="243" t="s">
        <v>105</v>
      </c>
      <c r="E1400" s="204" t="s">
        <v>2233</v>
      </c>
      <c r="F1400" s="244" t="s">
        <v>2237</v>
      </c>
      <c r="G1400" s="175" t="s">
        <v>2234</v>
      </c>
      <c r="H1400" s="175" t="s">
        <v>2235</v>
      </c>
      <c r="I1400" s="245"/>
      <c r="J1400" s="246"/>
      <c r="K1400" s="246"/>
      <c r="L1400" s="246"/>
      <c r="M1400" s="246" t="s">
        <v>2236</v>
      </c>
      <c r="N1400" s="279" t="s">
        <v>2236</v>
      </c>
      <c r="O1400" s="247" t="s">
        <v>2236</v>
      </c>
      <c r="P1400" s="132"/>
      <c r="Q1400" s="152"/>
      <c r="R1400" s="248"/>
      <c r="S1400" s="132"/>
      <c r="T1400" s="132"/>
      <c r="U1400" s="132"/>
      <c r="V1400" s="152"/>
      <c r="W1400" s="136"/>
      <c r="X1400" s="249"/>
      <c r="Y1400" s="136"/>
      <c r="Z1400" s="132">
        <v>20</v>
      </c>
      <c r="AA1400" s="132"/>
      <c r="AB1400" s="132"/>
      <c r="AC1400" s="132"/>
      <c r="AD1400" s="250">
        <v>41487</v>
      </c>
      <c r="AE1400" s="204" t="s">
        <v>2297</v>
      </c>
    </row>
    <row r="1401" spans="1:31" ht="27" customHeight="1" x14ac:dyDescent="0.15">
      <c r="A1401" s="132">
        <v>1116505486</v>
      </c>
      <c r="B1401" s="130" t="s">
        <v>2299</v>
      </c>
      <c r="C1401" s="130" t="s">
        <v>2292</v>
      </c>
      <c r="D1401" s="243" t="s">
        <v>105</v>
      </c>
      <c r="E1401" s="130" t="s">
        <v>2300</v>
      </c>
      <c r="F1401" s="244" t="s">
        <v>2301</v>
      </c>
      <c r="G1401" s="132" t="s">
        <v>2295</v>
      </c>
      <c r="H1401" s="132" t="s">
        <v>2296</v>
      </c>
      <c r="I1401" s="245" t="s">
        <v>2290</v>
      </c>
      <c r="J1401" s="246" t="s">
        <v>49</v>
      </c>
      <c r="K1401" s="246" t="s">
        <v>49</v>
      </c>
      <c r="L1401" s="246" t="s">
        <v>49</v>
      </c>
      <c r="M1401" s="246" t="s">
        <v>49</v>
      </c>
      <c r="N1401" s="279"/>
      <c r="O1401" s="247" t="s">
        <v>49</v>
      </c>
      <c r="P1401" s="132"/>
      <c r="Q1401" s="152"/>
      <c r="R1401" s="248"/>
      <c r="S1401" s="132"/>
      <c r="T1401" s="132">
        <v>20</v>
      </c>
      <c r="U1401" s="132"/>
      <c r="V1401" s="152"/>
      <c r="W1401" s="136"/>
      <c r="X1401" s="249"/>
      <c r="Y1401" s="136"/>
      <c r="Z1401" s="132"/>
      <c r="AA1401" s="132"/>
      <c r="AB1401" s="132"/>
      <c r="AC1401" s="132"/>
      <c r="AD1401" s="250">
        <v>41548</v>
      </c>
      <c r="AE1401" s="130" t="s">
        <v>2302</v>
      </c>
    </row>
    <row r="1402" spans="1:31" ht="27" customHeight="1" x14ac:dyDescent="0.15">
      <c r="A1402" s="132">
        <v>1116505577</v>
      </c>
      <c r="B1402" s="130" t="s">
        <v>12055</v>
      </c>
      <c r="C1402" s="130" t="s">
        <v>6271</v>
      </c>
      <c r="D1402" s="108" t="s">
        <v>105</v>
      </c>
      <c r="E1402" s="108" t="s">
        <v>6272</v>
      </c>
      <c r="F1402" s="132" t="s">
        <v>6273</v>
      </c>
      <c r="G1402" s="392" t="s">
        <v>6274</v>
      </c>
      <c r="H1402" s="139" t="s">
        <v>6275</v>
      </c>
      <c r="I1402" s="141"/>
      <c r="J1402" s="142"/>
      <c r="K1402" s="142"/>
      <c r="L1402" s="142"/>
      <c r="M1402" s="142" t="s">
        <v>765</v>
      </c>
      <c r="N1402" s="142" t="s">
        <v>765</v>
      </c>
      <c r="O1402" s="176"/>
      <c r="P1402" s="105"/>
      <c r="Q1402" s="137"/>
      <c r="R1402" s="138"/>
      <c r="S1402" s="105"/>
      <c r="T1402" s="105"/>
      <c r="U1402" s="141"/>
      <c r="V1402" s="137"/>
      <c r="W1402" s="138"/>
      <c r="X1402" s="133">
        <v>10</v>
      </c>
      <c r="Y1402" s="138"/>
      <c r="Z1402" s="105">
        <v>10</v>
      </c>
      <c r="AA1402" s="105"/>
      <c r="AB1402" s="105"/>
      <c r="AC1402" s="105"/>
      <c r="AD1402" s="155">
        <v>44075</v>
      </c>
      <c r="AE1402" s="108" t="s">
        <v>6276</v>
      </c>
    </row>
    <row r="1403" spans="1:31" ht="27" customHeight="1" x14ac:dyDescent="0.15">
      <c r="A1403" s="132">
        <v>1116505684</v>
      </c>
      <c r="B1403" s="130" t="s">
        <v>2311</v>
      </c>
      <c r="C1403" s="130" t="s">
        <v>2363</v>
      </c>
      <c r="D1403" s="243" t="s">
        <v>105</v>
      </c>
      <c r="E1403" s="130" t="s">
        <v>7989</v>
      </c>
      <c r="F1403" s="244" t="s">
        <v>5912</v>
      </c>
      <c r="G1403" s="132" t="s">
        <v>2365</v>
      </c>
      <c r="H1403" s="132" t="s">
        <v>2366</v>
      </c>
      <c r="I1403" s="245"/>
      <c r="J1403" s="246"/>
      <c r="K1403" s="246"/>
      <c r="L1403" s="246" t="s">
        <v>2360</v>
      </c>
      <c r="M1403" s="246" t="s">
        <v>2360</v>
      </c>
      <c r="N1403" s="279" t="s">
        <v>2360</v>
      </c>
      <c r="O1403" s="247" t="s">
        <v>2360</v>
      </c>
      <c r="P1403" s="132"/>
      <c r="Q1403" s="152"/>
      <c r="R1403" s="248"/>
      <c r="S1403" s="132"/>
      <c r="T1403" s="132"/>
      <c r="U1403" s="132"/>
      <c r="V1403" s="152"/>
      <c r="W1403" s="136"/>
      <c r="X1403" s="249">
        <v>20</v>
      </c>
      <c r="Y1403" s="136"/>
      <c r="Z1403" s="132"/>
      <c r="AA1403" s="132"/>
      <c r="AB1403" s="132"/>
      <c r="AC1403" s="132"/>
      <c r="AD1403" s="250">
        <v>41699</v>
      </c>
      <c r="AE1403" s="130" t="s">
        <v>2367</v>
      </c>
    </row>
    <row r="1404" spans="1:31" ht="27" customHeight="1" x14ac:dyDescent="0.15">
      <c r="A1404" s="380">
        <v>1116505692</v>
      </c>
      <c r="B1404" s="381" t="s">
        <v>11810</v>
      </c>
      <c r="C1404" s="382" t="s">
        <v>8369</v>
      </c>
      <c r="D1404" s="383" t="s">
        <v>8162</v>
      </c>
      <c r="E1404" s="407" t="s">
        <v>9334</v>
      </c>
      <c r="F1404" s="384" t="s">
        <v>4561</v>
      </c>
      <c r="G1404" s="402" t="s">
        <v>5120</v>
      </c>
      <c r="H1404" s="402" t="s">
        <v>5121</v>
      </c>
      <c r="I1404" s="385" t="s">
        <v>765</v>
      </c>
      <c r="J1404" s="386" t="s">
        <v>765</v>
      </c>
      <c r="K1404" s="386" t="s">
        <v>765</v>
      </c>
      <c r="L1404" s="386" t="s">
        <v>765</v>
      </c>
      <c r="M1404" s="386"/>
      <c r="N1404" s="387"/>
      <c r="O1404" s="388" t="s">
        <v>765</v>
      </c>
      <c r="P1404" s="380"/>
      <c r="Q1404" s="389"/>
      <c r="R1404" s="388"/>
      <c r="S1404" s="380"/>
      <c r="T1404" s="380"/>
      <c r="U1404" s="380">
        <v>20</v>
      </c>
      <c r="V1404" s="389"/>
      <c r="W1404" s="388"/>
      <c r="X1404" s="389"/>
      <c r="Y1404" s="388"/>
      <c r="Z1404" s="384"/>
      <c r="AA1404" s="384"/>
      <c r="AB1404" s="384"/>
      <c r="AC1404" s="384"/>
      <c r="AD1404" s="404">
        <v>43617</v>
      </c>
      <c r="AE1404" s="382" t="s">
        <v>9335</v>
      </c>
    </row>
    <row r="1405" spans="1:31" ht="27" customHeight="1" x14ac:dyDescent="0.15">
      <c r="A1405" s="105">
        <v>1116505742</v>
      </c>
      <c r="B1405" s="106" t="s">
        <v>2467</v>
      </c>
      <c r="C1405" s="278" t="s">
        <v>2449</v>
      </c>
      <c r="D1405" s="243" t="s">
        <v>105</v>
      </c>
      <c r="E1405" s="277" t="s">
        <v>5814</v>
      </c>
      <c r="F1405" s="278" t="s">
        <v>5815</v>
      </c>
      <c r="G1405" s="278" t="s">
        <v>2452</v>
      </c>
      <c r="H1405" s="277" t="s">
        <v>2453</v>
      </c>
      <c r="I1405" s="141" t="s">
        <v>765</v>
      </c>
      <c r="J1405" s="142" t="s">
        <v>765</v>
      </c>
      <c r="K1405" s="142" t="s">
        <v>765</v>
      </c>
      <c r="L1405" s="142" t="s">
        <v>765</v>
      </c>
      <c r="M1405" s="142" t="s">
        <v>765</v>
      </c>
      <c r="N1405" s="143" t="s">
        <v>765</v>
      </c>
      <c r="O1405" s="138" t="s">
        <v>765</v>
      </c>
      <c r="P1405" s="105"/>
      <c r="Q1405" s="137"/>
      <c r="R1405" s="138">
        <v>6</v>
      </c>
      <c r="S1405" s="105"/>
      <c r="T1405" s="105">
        <v>40</v>
      </c>
      <c r="U1405" s="105"/>
      <c r="V1405" s="137"/>
      <c r="W1405" s="138"/>
      <c r="X1405" s="137"/>
      <c r="Y1405" s="138"/>
      <c r="Z1405" s="277"/>
      <c r="AA1405" s="277"/>
      <c r="AB1405" s="277"/>
      <c r="AC1405" s="277"/>
      <c r="AD1405" s="144">
        <v>41730</v>
      </c>
      <c r="AE1405" s="278" t="s">
        <v>5816</v>
      </c>
    </row>
    <row r="1406" spans="1:31" ht="27" customHeight="1" x14ac:dyDescent="0.15">
      <c r="A1406" s="132">
        <v>1116505775</v>
      </c>
      <c r="B1406" s="130" t="s">
        <v>2466</v>
      </c>
      <c r="C1406" s="130" t="s">
        <v>2450</v>
      </c>
      <c r="D1406" s="243" t="s">
        <v>105</v>
      </c>
      <c r="E1406" s="130" t="s">
        <v>2463</v>
      </c>
      <c r="F1406" s="244" t="s">
        <v>2464</v>
      </c>
      <c r="G1406" s="132" t="s">
        <v>2454</v>
      </c>
      <c r="H1406" s="132" t="s">
        <v>2455</v>
      </c>
      <c r="I1406" s="245" t="s">
        <v>2462</v>
      </c>
      <c r="J1406" s="246" t="s">
        <v>2462</v>
      </c>
      <c r="K1406" s="246" t="s">
        <v>2462</v>
      </c>
      <c r="L1406" s="246" t="s">
        <v>2462</v>
      </c>
      <c r="M1406" s="246" t="s">
        <v>2462</v>
      </c>
      <c r="N1406" s="279"/>
      <c r="O1406" s="247" t="s">
        <v>2462</v>
      </c>
      <c r="P1406" s="132"/>
      <c r="Q1406" s="152"/>
      <c r="R1406" s="248"/>
      <c r="S1406" s="132"/>
      <c r="T1406" s="132">
        <v>35</v>
      </c>
      <c r="U1406" s="132"/>
      <c r="V1406" s="152"/>
      <c r="W1406" s="136"/>
      <c r="X1406" s="249"/>
      <c r="Y1406" s="136"/>
      <c r="Z1406" s="132"/>
      <c r="AA1406" s="132"/>
      <c r="AB1406" s="132"/>
      <c r="AC1406" s="132"/>
      <c r="AD1406" s="250">
        <v>41730</v>
      </c>
      <c r="AE1406" s="130" t="s">
        <v>2802</v>
      </c>
    </row>
    <row r="1407" spans="1:31" ht="27" customHeight="1" x14ac:dyDescent="0.15">
      <c r="A1407" s="105">
        <v>1116505783</v>
      </c>
      <c r="B1407" s="106" t="s">
        <v>2465</v>
      </c>
      <c r="C1407" s="107" t="s">
        <v>2451</v>
      </c>
      <c r="D1407" s="108" t="s">
        <v>105</v>
      </c>
      <c r="E1407" s="108" t="s">
        <v>4479</v>
      </c>
      <c r="F1407" s="139" t="s">
        <v>4480</v>
      </c>
      <c r="G1407" s="140" t="s">
        <v>2456</v>
      </c>
      <c r="H1407" s="140" t="s">
        <v>2457</v>
      </c>
      <c r="I1407" s="141" t="s">
        <v>765</v>
      </c>
      <c r="J1407" s="142" t="s">
        <v>765</v>
      </c>
      <c r="K1407" s="142"/>
      <c r="L1407" s="142"/>
      <c r="M1407" s="142" t="s">
        <v>765</v>
      </c>
      <c r="N1407" s="143"/>
      <c r="O1407" s="138"/>
      <c r="P1407" s="105"/>
      <c r="Q1407" s="137"/>
      <c r="R1407" s="138"/>
      <c r="S1407" s="105"/>
      <c r="T1407" s="105">
        <v>13</v>
      </c>
      <c r="U1407" s="105"/>
      <c r="V1407" s="137"/>
      <c r="W1407" s="138"/>
      <c r="X1407" s="137"/>
      <c r="Y1407" s="138"/>
      <c r="Z1407" s="105"/>
      <c r="AA1407" s="137">
        <v>13</v>
      </c>
      <c r="AB1407" s="132"/>
      <c r="AC1407" s="132"/>
      <c r="AD1407" s="250">
        <v>41730</v>
      </c>
      <c r="AE1407" s="130" t="s">
        <v>2803</v>
      </c>
    </row>
    <row r="1408" spans="1:31" ht="27" customHeight="1" x14ac:dyDescent="0.15">
      <c r="A1408" s="132">
        <v>1116505791</v>
      </c>
      <c r="B1408" s="130" t="s">
        <v>2565</v>
      </c>
      <c r="C1408" s="107" t="s">
        <v>5191</v>
      </c>
      <c r="D1408" s="243" t="s">
        <v>105</v>
      </c>
      <c r="E1408" s="108" t="s">
        <v>5194</v>
      </c>
      <c r="F1408" s="132" t="s">
        <v>4461</v>
      </c>
      <c r="G1408" s="132" t="s">
        <v>2458</v>
      </c>
      <c r="H1408" s="132" t="s">
        <v>2459</v>
      </c>
      <c r="I1408" s="245"/>
      <c r="J1408" s="246"/>
      <c r="K1408" s="246"/>
      <c r="L1408" s="246"/>
      <c r="M1408" s="246" t="s">
        <v>2462</v>
      </c>
      <c r="N1408" s="279"/>
      <c r="O1408" s="247"/>
      <c r="P1408" s="132"/>
      <c r="Q1408" s="152"/>
      <c r="R1408" s="248"/>
      <c r="S1408" s="132"/>
      <c r="T1408" s="132">
        <v>20</v>
      </c>
      <c r="U1408" s="132"/>
      <c r="V1408" s="152"/>
      <c r="W1408" s="136"/>
      <c r="X1408" s="249"/>
      <c r="Y1408" s="136"/>
      <c r="Z1408" s="132"/>
      <c r="AA1408" s="132"/>
      <c r="AB1408" s="132"/>
      <c r="AC1408" s="132"/>
      <c r="AD1408" s="250">
        <v>41730</v>
      </c>
      <c r="AE1408" s="108" t="s">
        <v>5195</v>
      </c>
    </row>
    <row r="1409" spans="1:31" ht="27" customHeight="1" x14ac:dyDescent="0.15">
      <c r="A1409" s="105">
        <v>1116505866</v>
      </c>
      <c r="B1409" s="106" t="s">
        <v>7273</v>
      </c>
      <c r="C1409" s="107" t="s">
        <v>7274</v>
      </c>
      <c r="D1409" s="108" t="s">
        <v>3873</v>
      </c>
      <c r="E1409" s="108" t="s">
        <v>7275</v>
      </c>
      <c r="F1409" s="139" t="s">
        <v>7276</v>
      </c>
      <c r="G1409" s="139" t="s">
        <v>7277</v>
      </c>
      <c r="H1409" s="139" t="s">
        <v>4469</v>
      </c>
      <c r="I1409" s="327"/>
      <c r="J1409" s="142"/>
      <c r="K1409" s="142"/>
      <c r="L1409" s="142"/>
      <c r="M1409" s="142" t="s">
        <v>765</v>
      </c>
      <c r="N1409" s="142" t="s">
        <v>765</v>
      </c>
      <c r="O1409" s="223"/>
      <c r="P1409" s="225"/>
      <c r="Q1409" s="224"/>
      <c r="R1409" s="138"/>
      <c r="S1409" s="225"/>
      <c r="T1409" s="225">
        <v>12</v>
      </c>
      <c r="U1409" s="225"/>
      <c r="V1409" s="224"/>
      <c r="W1409" s="138"/>
      <c r="X1409" s="224"/>
      <c r="Y1409" s="138"/>
      <c r="Z1409" s="225"/>
      <c r="AA1409" s="225"/>
      <c r="AB1409" s="225"/>
      <c r="AC1409" s="225"/>
      <c r="AD1409" s="408">
        <v>44621</v>
      </c>
      <c r="AE1409" s="214" t="s">
        <v>9467</v>
      </c>
    </row>
    <row r="1410" spans="1:31" ht="27" customHeight="1" x14ac:dyDescent="0.15">
      <c r="A1410" s="203">
        <v>1116505882</v>
      </c>
      <c r="B1410" s="204" t="s">
        <v>2517</v>
      </c>
      <c r="C1410" s="204" t="s">
        <v>2516</v>
      </c>
      <c r="D1410" s="243" t="s">
        <v>105</v>
      </c>
      <c r="E1410" s="519" t="s">
        <v>12187</v>
      </c>
      <c r="F1410" s="244" t="s">
        <v>5811</v>
      </c>
      <c r="G1410" s="203" t="s">
        <v>5984</v>
      </c>
      <c r="H1410" s="203" t="s">
        <v>5984</v>
      </c>
      <c r="I1410" s="245" t="s">
        <v>49</v>
      </c>
      <c r="J1410" s="246"/>
      <c r="K1410" s="246"/>
      <c r="L1410" s="246"/>
      <c r="M1410" s="246" t="s">
        <v>49</v>
      </c>
      <c r="N1410" s="279"/>
      <c r="O1410" s="247"/>
      <c r="P1410" s="132"/>
      <c r="Q1410" s="152"/>
      <c r="R1410" s="248"/>
      <c r="S1410" s="132"/>
      <c r="T1410" s="132"/>
      <c r="U1410" s="132"/>
      <c r="V1410" s="152"/>
      <c r="W1410" s="136"/>
      <c r="X1410" s="249"/>
      <c r="Y1410" s="136"/>
      <c r="Z1410" s="132"/>
      <c r="AA1410" s="132">
        <v>20</v>
      </c>
      <c r="AB1410" s="132"/>
      <c r="AC1410" s="132"/>
      <c r="AD1410" s="250">
        <v>41791</v>
      </c>
      <c r="AE1410" s="130" t="s">
        <v>6150</v>
      </c>
    </row>
    <row r="1411" spans="1:31" ht="27" customHeight="1" x14ac:dyDescent="0.15">
      <c r="A1411" s="277">
        <v>1116505890</v>
      </c>
      <c r="B1411" s="278" t="s">
        <v>2515</v>
      </c>
      <c r="C1411" s="243" t="s">
        <v>2169</v>
      </c>
      <c r="D1411" s="243" t="s">
        <v>105</v>
      </c>
      <c r="E1411" s="243" t="s">
        <v>12186</v>
      </c>
      <c r="F1411" s="244" t="s">
        <v>9014</v>
      </c>
      <c r="G1411" s="277" t="s">
        <v>5985</v>
      </c>
      <c r="H1411" s="277" t="s">
        <v>5985</v>
      </c>
      <c r="I1411" s="245" t="s">
        <v>49</v>
      </c>
      <c r="J1411" s="246"/>
      <c r="K1411" s="246"/>
      <c r="L1411" s="246"/>
      <c r="M1411" s="246" t="s">
        <v>49</v>
      </c>
      <c r="N1411" s="279"/>
      <c r="O1411" s="247"/>
      <c r="P1411" s="132"/>
      <c r="Q1411" s="152"/>
      <c r="R1411" s="248"/>
      <c r="S1411" s="132"/>
      <c r="T1411" s="132">
        <v>20</v>
      </c>
      <c r="U1411" s="132"/>
      <c r="V1411" s="152"/>
      <c r="W1411" s="136"/>
      <c r="X1411" s="249"/>
      <c r="Y1411" s="136"/>
      <c r="Z1411" s="132"/>
      <c r="AA1411" s="132"/>
      <c r="AB1411" s="132"/>
      <c r="AC1411" s="132"/>
      <c r="AD1411" s="250">
        <v>41791</v>
      </c>
      <c r="AE1411" s="108" t="s">
        <v>2518</v>
      </c>
    </row>
    <row r="1412" spans="1:31" ht="26.1" customHeight="1" x14ac:dyDescent="0.15">
      <c r="A1412" s="277">
        <v>1116505924</v>
      </c>
      <c r="B1412" s="278" t="s">
        <v>2515</v>
      </c>
      <c r="C1412" s="243" t="s">
        <v>2112</v>
      </c>
      <c r="D1412" s="243" t="s">
        <v>105</v>
      </c>
      <c r="E1412" s="243" t="s">
        <v>12185</v>
      </c>
      <c r="F1412" s="244" t="s">
        <v>5811</v>
      </c>
      <c r="G1412" s="277" t="s">
        <v>5986</v>
      </c>
      <c r="H1412" s="277" t="s">
        <v>5986</v>
      </c>
      <c r="I1412" s="245" t="s">
        <v>49</v>
      </c>
      <c r="J1412" s="246"/>
      <c r="K1412" s="246"/>
      <c r="L1412" s="246"/>
      <c r="M1412" s="246" t="s">
        <v>49</v>
      </c>
      <c r="N1412" s="279"/>
      <c r="O1412" s="247"/>
      <c r="P1412" s="132"/>
      <c r="Q1412" s="152"/>
      <c r="R1412" s="248"/>
      <c r="S1412" s="132"/>
      <c r="T1412" s="132">
        <v>20</v>
      </c>
      <c r="U1412" s="132"/>
      <c r="V1412" s="152"/>
      <c r="W1412" s="136"/>
      <c r="X1412" s="249"/>
      <c r="Y1412" s="136"/>
      <c r="Z1412" s="132"/>
      <c r="AA1412" s="132"/>
      <c r="AB1412" s="132"/>
      <c r="AC1412" s="132"/>
      <c r="AD1412" s="250">
        <v>41791</v>
      </c>
      <c r="AE1412" s="108" t="s">
        <v>2519</v>
      </c>
    </row>
    <row r="1413" spans="1:31" ht="27" customHeight="1" x14ac:dyDescent="0.15">
      <c r="A1413" s="132">
        <v>1116506021</v>
      </c>
      <c r="B1413" s="130" t="s">
        <v>2572</v>
      </c>
      <c r="C1413" s="130" t="s">
        <v>2569</v>
      </c>
      <c r="D1413" s="108" t="s">
        <v>105</v>
      </c>
      <c r="E1413" s="130" t="s">
        <v>2573</v>
      </c>
      <c r="F1413" s="132" t="s">
        <v>2574</v>
      </c>
      <c r="G1413" s="132" t="s">
        <v>2570</v>
      </c>
      <c r="H1413" s="132" t="s">
        <v>2571</v>
      </c>
      <c r="I1413" s="245"/>
      <c r="J1413" s="246"/>
      <c r="K1413" s="246"/>
      <c r="L1413" s="246"/>
      <c r="M1413" s="246" t="s">
        <v>2575</v>
      </c>
      <c r="N1413" s="279"/>
      <c r="O1413" s="247"/>
      <c r="P1413" s="132"/>
      <c r="Q1413" s="152"/>
      <c r="R1413" s="248"/>
      <c r="S1413" s="132"/>
      <c r="T1413" s="132">
        <v>20</v>
      </c>
      <c r="U1413" s="132"/>
      <c r="V1413" s="152"/>
      <c r="W1413" s="136"/>
      <c r="X1413" s="249"/>
      <c r="Y1413" s="136"/>
      <c r="Z1413" s="132"/>
      <c r="AA1413" s="132"/>
      <c r="AB1413" s="132"/>
      <c r="AC1413" s="132"/>
      <c r="AD1413" s="250">
        <v>41852</v>
      </c>
      <c r="AE1413" s="108" t="s">
        <v>2576</v>
      </c>
    </row>
    <row r="1414" spans="1:31" ht="27" customHeight="1" x14ac:dyDescent="0.15">
      <c r="A1414" s="132">
        <v>1116506120</v>
      </c>
      <c r="B1414" s="130" t="s">
        <v>2698</v>
      </c>
      <c r="C1414" s="409" t="s">
        <v>9744</v>
      </c>
      <c r="D1414" s="108" t="s">
        <v>105</v>
      </c>
      <c r="E1414" s="130" t="s">
        <v>2695</v>
      </c>
      <c r="F1414" s="132" t="s">
        <v>2699</v>
      </c>
      <c r="G1414" s="132" t="s">
        <v>4190</v>
      </c>
      <c r="H1414" s="132" t="s">
        <v>4191</v>
      </c>
      <c r="I1414" s="245"/>
      <c r="J1414" s="246"/>
      <c r="K1414" s="246"/>
      <c r="L1414" s="246"/>
      <c r="M1414" s="246" t="s">
        <v>2696</v>
      </c>
      <c r="N1414" s="279" t="s">
        <v>2696</v>
      </c>
      <c r="O1414" s="247" t="s">
        <v>2696</v>
      </c>
      <c r="P1414" s="132"/>
      <c r="Q1414" s="152"/>
      <c r="R1414" s="248"/>
      <c r="S1414" s="132"/>
      <c r="T1414" s="132"/>
      <c r="U1414" s="132"/>
      <c r="V1414" s="152"/>
      <c r="W1414" s="136"/>
      <c r="X1414" s="249">
        <v>12</v>
      </c>
      <c r="Y1414" s="136"/>
      <c r="Z1414" s="132"/>
      <c r="AA1414" s="132"/>
      <c r="AB1414" s="132"/>
      <c r="AC1414" s="132"/>
      <c r="AD1414" s="250">
        <v>41883</v>
      </c>
      <c r="AE1414" s="108" t="s">
        <v>2697</v>
      </c>
    </row>
    <row r="1415" spans="1:31" ht="27" customHeight="1" x14ac:dyDescent="0.15">
      <c r="A1415" s="105">
        <v>1116506146</v>
      </c>
      <c r="B1415" s="278" t="s">
        <v>11811</v>
      </c>
      <c r="C1415" s="278" t="s">
        <v>10729</v>
      </c>
      <c r="D1415" s="243" t="s">
        <v>105</v>
      </c>
      <c r="E1415" s="382" t="s">
        <v>7927</v>
      </c>
      <c r="F1415" s="277" t="s">
        <v>4611</v>
      </c>
      <c r="G1415" s="277" t="s">
        <v>4729</v>
      </c>
      <c r="H1415" s="277" t="s">
        <v>4730</v>
      </c>
      <c r="I1415" s="141"/>
      <c r="J1415" s="142"/>
      <c r="K1415" s="142"/>
      <c r="L1415" s="142"/>
      <c r="M1415" s="142" t="s">
        <v>49</v>
      </c>
      <c r="N1415" s="142" t="s">
        <v>49</v>
      </c>
      <c r="O1415" s="138" t="s">
        <v>49</v>
      </c>
      <c r="P1415" s="105"/>
      <c r="Q1415" s="137"/>
      <c r="R1415" s="138"/>
      <c r="S1415" s="105"/>
      <c r="T1415" s="105"/>
      <c r="U1415" s="105"/>
      <c r="V1415" s="137"/>
      <c r="W1415" s="138"/>
      <c r="X1415" s="137">
        <v>10</v>
      </c>
      <c r="Y1415" s="138"/>
      <c r="Z1415" s="277"/>
      <c r="AA1415" s="277"/>
      <c r="AB1415" s="277"/>
      <c r="AC1415" s="277"/>
      <c r="AD1415" s="410" t="s">
        <v>6350</v>
      </c>
      <c r="AE1415" s="278" t="s">
        <v>6351</v>
      </c>
    </row>
    <row r="1416" spans="1:31" ht="27" customHeight="1" x14ac:dyDescent="0.15">
      <c r="A1416" s="277">
        <v>1116506161</v>
      </c>
      <c r="B1416" s="382" t="s">
        <v>11812</v>
      </c>
      <c r="C1416" s="243" t="s">
        <v>5282</v>
      </c>
      <c r="D1416" s="243" t="s">
        <v>105</v>
      </c>
      <c r="E1416" s="108" t="s">
        <v>4416</v>
      </c>
      <c r="F1416" s="139" t="s">
        <v>4413</v>
      </c>
      <c r="G1416" s="105" t="s">
        <v>4414</v>
      </c>
      <c r="H1416" s="105" t="s">
        <v>4415</v>
      </c>
      <c r="I1416" s="245" t="s">
        <v>49</v>
      </c>
      <c r="J1416" s="246"/>
      <c r="K1416" s="246"/>
      <c r="L1416" s="134" t="s">
        <v>49</v>
      </c>
      <c r="M1416" s="134" t="s">
        <v>49</v>
      </c>
      <c r="N1416" s="279" t="s">
        <v>49</v>
      </c>
      <c r="O1416" s="138" t="s">
        <v>765</v>
      </c>
      <c r="P1416" s="132"/>
      <c r="Q1416" s="152"/>
      <c r="R1416" s="136"/>
      <c r="S1416" s="132"/>
      <c r="T1416" s="132"/>
      <c r="U1416" s="132"/>
      <c r="V1416" s="152"/>
      <c r="W1416" s="136"/>
      <c r="X1416" s="152">
        <v>20</v>
      </c>
      <c r="Y1416" s="136"/>
      <c r="Z1416" s="277"/>
      <c r="AA1416" s="132"/>
      <c r="AB1416" s="132"/>
      <c r="AC1416" s="132"/>
      <c r="AD1416" s="250" t="s">
        <v>2711</v>
      </c>
      <c r="AE1416" s="108" t="s">
        <v>4417</v>
      </c>
    </row>
    <row r="1417" spans="1:31" ht="27" customHeight="1" x14ac:dyDescent="0.15">
      <c r="A1417" s="203">
        <v>1116506203</v>
      </c>
      <c r="B1417" s="204" t="s">
        <v>2713</v>
      </c>
      <c r="C1417" s="204" t="s">
        <v>2712</v>
      </c>
      <c r="D1417" s="243" t="s">
        <v>105</v>
      </c>
      <c r="E1417" s="278" t="s">
        <v>2714</v>
      </c>
      <c r="F1417" s="244" t="s">
        <v>2715</v>
      </c>
      <c r="G1417" s="203" t="s">
        <v>2716</v>
      </c>
      <c r="H1417" s="203" t="s">
        <v>3005</v>
      </c>
      <c r="I1417" s="116"/>
      <c r="J1417" s="154"/>
      <c r="K1417" s="154" t="s">
        <v>2717</v>
      </c>
      <c r="L1417" s="154"/>
      <c r="M1417" s="154"/>
      <c r="N1417" s="143"/>
      <c r="O1417" s="138"/>
      <c r="P1417" s="277"/>
      <c r="Q1417" s="152"/>
      <c r="R1417" s="136"/>
      <c r="S1417" s="132"/>
      <c r="T1417" s="132">
        <v>10</v>
      </c>
      <c r="U1417" s="132"/>
      <c r="V1417" s="152"/>
      <c r="W1417" s="136"/>
      <c r="X1417" s="249"/>
      <c r="Y1417" s="136"/>
      <c r="Z1417" s="132"/>
      <c r="AA1417" s="277">
        <v>10</v>
      </c>
      <c r="AB1417" s="277"/>
      <c r="AC1417" s="277"/>
      <c r="AD1417" s="250">
        <v>41913</v>
      </c>
      <c r="AE1417" s="108" t="s">
        <v>2718</v>
      </c>
    </row>
    <row r="1418" spans="1:31" ht="27" customHeight="1" x14ac:dyDescent="0.15">
      <c r="A1418" s="277">
        <v>1116506229</v>
      </c>
      <c r="B1418" s="278" t="s">
        <v>12018</v>
      </c>
      <c r="C1418" s="278" t="s">
        <v>5809</v>
      </c>
      <c r="D1418" s="243" t="s">
        <v>105</v>
      </c>
      <c r="E1418" s="278" t="s">
        <v>5810</v>
      </c>
      <c r="F1418" s="277" t="s">
        <v>5811</v>
      </c>
      <c r="G1418" s="277" t="s">
        <v>5812</v>
      </c>
      <c r="H1418" s="277" t="s">
        <v>5813</v>
      </c>
      <c r="I1418" s="141"/>
      <c r="J1418" s="142"/>
      <c r="K1418" s="142"/>
      <c r="L1418" s="142"/>
      <c r="M1418" s="142" t="s">
        <v>765</v>
      </c>
      <c r="N1418" s="143" t="s">
        <v>765</v>
      </c>
      <c r="O1418" s="138" t="s">
        <v>765</v>
      </c>
      <c r="P1418" s="105"/>
      <c r="Q1418" s="137"/>
      <c r="R1418" s="138"/>
      <c r="S1418" s="105"/>
      <c r="T1418" s="105"/>
      <c r="U1418" s="105"/>
      <c r="V1418" s="137"/>
      <c r="W1418" s="138"/>
      <c r="X1418" s="137">
        <v>6</v>
      </c>
      <c r="Y1418" s="138"/>
      <c r="Z1418" s="277"/>
      <c r="AA1418" s="105">
        <v>14</v>
      </c>
      <c r="AB1418" s="277"/>
      <c r="AC1418" s="277"/>
      <c r="AD1418" s="144">
        <v>41944</v>
      </c>
      <c r="AE1418" s="278" t="s">
        <v>7187</v>
      </c>
    </row>
    <row r="1419" spans="1:31" ht="27" customHeight="1" x14ac:dyDescent="0.15">
      <c r="A1419" s="203">
        <v>1116506369</v>
      </c>
      <c r="B1419" s="204" t="s">
        <v>2754</v>
      </c>
      <c r="C1419" s="204" t="s">
        <v>2742</v>
      </c>
      <c r="D1419" s="243" t="s">
        <v>105</v>
      </c>
      <c r="E1419" s="204" t="s">
        <v>2744</v>
      </c>
      <c r="F1419" s="244" t="s">
        <v>2750</v>
      </c>
      <c r="G1419" s="203" t="s">
        <v>2747</v>
      </c>
      <c r="H1419" s="203" t="s">
        <v>2748</v>
      </c>
      <c r="I1419" s="116"/>
      <c r="J1419" s="154"/>
      <c r="K1419" s="154"/>
      <c r="L1419" s="154"/>
      <c r="M1419" s="154" t="s">
        <v>2751</v>
      </c>
      <c r="N1419" s="143" t="s">
        <v>2751</v>
      </c>
      <c r="O1419" s="138" t="s">
        <v>2751</v>
      </c>
      <c r="P1419" s="277"/>
      <c r="Q1419" s="152"/>
      <c r="R1419" s="136"/>
      <c r="S1419" s="132"/>
      <c r="T1419" s="132"/>
      <c r="U1419" s="132"/>
      <c r="V1419" s="152"/>
      <c r="W1419" s="136"/>
      <c r="X1419" s="249"/>
      <c r="Y1419" s="136"/>
      <c r="Z1419" s="132">
        <v>20</v>
      </c>
      <c r="AA1419" s="277"/>
      <c r="AB1419" s="277"/>
      <c r="AC1419" s="277"/>
      <c r="AD1419" s="250">
        <v>41974</v>
      </c>
      <c r="AE1419" s="108" t="s">
        <v>2753</v>
      </c>
    </row>
    <row r="1420" spans="1:31" s="65" customFormat="1" ht="27" customHeight="1" x14ac:dyDescent="0.15">
      <c r="A1420" s="132">
        <v>1116506377</v>
      </c>
      <c r="B1420" s="130" t="s">
        <v>3234</v>
      </c>
      <c r="C1420" s="130" t="s">
        <v>2741</v>
      </c>
      <c r="D1420" s="243" t="s">
        <v>105</v>
      </c>
      <c r="E1420" s="130" t="s">
        <v>2743</v>
      </c>
      <c r="F1420" s="244" t="s">
        <v>2749</v>
      </c>
      <c r="G1420" s="132" t="s">
        <v>2745</v>
      </c>
      <c r="H1420" s="132" t="s">
        <v>2746</v>
      </c>
      <c r="I1420" s="116"/>
      <c r="J1420" s="154"/>
      <c r="K1420" s="154"/>
      <c r="L1420" s="154"/>
      <c r="M1420" s="134" t="s">
        <v>49</v>
      </c>
      <c r="N1420" s="143" t="s">
        <v>49</v>
      </c>
      <c r="O1420" s="138" t="s">
        <v>765</v>
      </c>
      <c r="P1420" s="277"/>
      <c r="Q1420" s="152"/>
      <c r="R1420" s="136"/>
      <c r="S1420" s="132"/>
      <c r="T1420" s="132"/>
      <c r="U1420" s="132"/>
      <c r="V1420" s="152"/>
      <c r="W1420" s="136"/>
      <c r="X1420" s="249">
        <v>20</v>
      </c>
      <c r="Y1420" s="136"/>
      <c r="Z1420" s="132"/>
      <c r="AA1420" s="277"/>
      <c r="AB1420" s="277"/>
      <c r="AC1420" s="277"/>
      <c r="AD1420" s="250">
        <v>41974</v>
      </c>
      <c r="AE1420" s="108" t="s">
        <v>2752</v>
      </c>
    </row>
    <row r="1421" spans="1:31" ht="27" customHeight="1" x14ac:dyDescent="0.15">
      <c r="A1421" s="105">
        <v>1116506559</v>
      </c>
      <c r="B1421" s="106" t="s">
        <v>4554</v>
      </c>
      <c r="C1421" s="107" t="s">
        <v>4555</v>
      </c>
      <c r="D1421" s="108" t="s">
        <v>105</v>
      </c>
      <c r="E1421" s="108" t="s">
        <v>4556</v>
      </c>
      <c r="F1421" s="139" t="s">
        <v>4557</v>
      </c>
      <c r="G1421" s="140" t="s">
        <v>2800</v>
      </c>
      <c r="H1421" s="140" t="s">
        <v>2801</v>
      </c>
      <c r="I1421" s="141"/>
      <c r="J1421" s="142"/>
      <c r="K1421" s="142"/>
      <c r="L1421" s="142"/>
      <c r="M1421" s="142"/>
      <c r="N1421" s="143" t="s">
        <v>765</v>
      </c>
      <c r="O1421" s="138"/>
      <c r="P1421" s="105"/>
      <c r="Q1421" s="152"/>
      <c r="R1421" s="136"/>
      <c r="S1421" s="105"/>
      <c r="T1421" s="105"/>
      <c r="U1421" s="105"/>
      <c r="V1421" s="137"/>
      <c r="W1421" s="138"/>
      <c r="X1421" s="137"/>
      <c r="Y1421" s="138"/>
      <c r="Z1421" s="105">
        <v>20</v>
      </c>
      <c r="AA1421" s="105"/>
      <c r="AB1421" s="105"/>
      <c r="AC1421" s="105"/>
      <c r="AD1421" s="144">
        <v>42064</v>
      </c>
      <c r="AE1421" s="108" t="s">
        <v>4558</v>
      </c>
    </row>
    <row r="1422" spans="1:31" ht="27" customHeight="1" x14ac:dyDescent="0.15">
      <c r="A1422" s="132">
        <v>1116506617</v>
      </c>
      <c r="B1422" s="130" t="s">
        <v>2907</v>
      </c>
      <c r="C1422" s="130" t="s">
        <v>2994</v>
      </c>
      <c r="D1422" s="243" t="s">
        <v>105</v>
      </c>
      <c r="E1422" s="204" t="s">
        <v>2908</v>
      </c>
      <c r="F1422" s="244" t="s">
        <v>2995</v>
      </c>
      <c r="G1422" s="132" t="s">
        <v>2996</v>
      </c>
      <c r="H1422" s="132" t="s">
        <v>2997</v>
      </c>
      <c r="I1422" s="116" t="s">
        <v>2986</v>
      </c>
      <c r="J1422" s="154" t="s">
        <v>2986</v>
      </c>
      <c r="K1422" s="154" t="s">
        <v>2986</v>
      </c>
      <c r="L1422" s="154" t="s">
        <v>2986</v>
      </c>
      <c r="M1422" s="154" t="s">
        <v>2986</v>
      </c>
      <c r="N1422" s="143" t="s">
        <v>2986</v>
      </c>
      <c r="O1422" s="138" t="s">
        <v>2986</v>
      </c>
      <c r="P1422" s="277"/>
      <c r="Q1422" s="152"/>
      <c r="R1422" s="136">
        <v>6</v>
      </c>
      <c r="S1422" s="132"/>
      <c r="T1422" s="132">
        <v>25</v>
      </c>
      <c r="U1422" s="132"/>
      <c r="V1422" s="152"/>
      <c r="W1422" s="136"/>
      <c r="X1422" s="249"/>
      <c r="Y1422" s="136"/>
      <c r="Z1422" s="132"/>
      <c r="AA1422" s="277"/>
      <c r="AB1422" s="277"/>
      <c r="AC1422" s="277"/>
      <c r="AD1422" s="250">
        <v>42095</v>
      </c>
      <c r="AE1422" s="108" t="s">
        <v>2909</v>
      </c>
    </row>
    <row r="1423" spans="1:31" ht="27" customHeight="1" x14ac:dyDescent="0.15">
      <c r="A1423" s="132">
        <v>1116506708</v>
      </c>
      <c r="B1423" s="130" t="s">
        <v>2039</v>
      </c>
      <c r="C1423" s="130" t="s">
        <v>2031</v>
      </c>
      <c r="D1423" s="108" t="s">
        <v>105</v>
      </c>
      <c r="E1423" s="130" t="s">
        <v>2901</v>
      </c>
      <c r="F1423" s="105" t="s">
        <v>2987</v>
      </c>
      <c r="G1423" s="105" t="s">
        <v>2988</v>
      </c>
      <c r="H1423" s="105" t="s">
        <v>2989</v>
      </c>
      <c r="I1423" s="133"/>
      <c r="J1423" s="134"/>
      <c r="K1423" s="134"/>
      <c r="L1423" s="134"/>
      <c r="M1423" s="134" t="s">
        <v>2986</v>
      </c>
      <c r="N1423" s="135" t="s">
        <v>2986</v>
      </c>
      <c r="O1423" s="136"/>
      <c r="P1423" s="132"/>
      <c r="Q1423" s="152"/>
      <c r="R1423" s="136"/>
      <c r="S1423" s="132"/>
      <c r="T1423" s="132"/>
      <c r="U1423" s="132"/>
      <c r="V1423" s="152"/>
      <c r="W1423" s="136"/>
      <c r="X1423" s="152"/>
      <c r="Y1423" s="136"/>
      <c r="Z1423" s="132"/>
      <c r="AA1423" s="105">
        <v>20</v>
      </c>
      <c r="AB1423" s="105"/>
      <c r="AC1423" s="105"/>
      <c r="AD1423" s="118">
        <v>42095</v>
      </c>
      <c r="AE1423" s="130" t="s">
        <v>2042</v>
      </c>
    </row>
    <row r="1424" spans="1:31" ht="27" customHeight="1" x14ac:dyDescent="0.15">
      <c r="A1424" s="132">
        <v>1116506765</v>
      </c>
      <c r="B1424" s="130" t="s">
        <v>2902</v>
      </c>
      <c r="C1424" s="130" t="s">
        <v>2990</v>
      </c>
      <c r="D1424" s="243" t="s">
        <v>105</v>
      </c>
      <c r="E1424" s="130" t="s">
        <v>2903</v>
      </c>
      <c r="F1424" s="244" t="s">
        <v>2991</v>
      </c>
      <c r="G1424" s="132" t="s">
        <v>2992</v>
      </c>
      <c r="H1424" s="132" t="s">
        <v>2992</v>
      </c>
      <c r="I1424" s="116"/>
      <c r="J1424" s="154"/>
      <c r="K1424" s="154"/>
      <c r="L1424" s="154"/>
      <c r="M1424" s="154"/>
      <c r="N1424" s="143" t="s">
        <v>2986</v>
      </c>
      <c r="O1424" s="138"/>
      <c r="P1424" s="277"/>
      <c r="Q1424" s="152"/>
      <c r="R1424" s="136"/>
      <c r="S1424" s="132"/>
      <c r="T1424" s="132"/>
      <c r="U1424" s="132"/>
      <c r="V1424" s="152"/>
      <c r="W1424" s="136"/>
      <c r="X1424" s="249"/>
      <c r="Y1424" s="136"/>
      <c r="Z1424" s="132"/>
      <c r="AA1424" s="277">
        <v>20</v>
      </c>
      <c r="AB1424" s="277"/>
      <c r="AC1424" s="277"/>
      <c r="AD1424" s="250">
        <v>42095</v>
      </c>
      <c r="AE1424" s="108" t="s">
        <v>2904</v>
      </c>
    </row>
    <row r="1425" spans="1:31" ht="27" customHeight="1" x14ac:dyDescent="0.15">
      <c r="A1425" s="132">
        <v>1116506773</v>
      </c>
      <c r="B1425" s="130" t="s">
        <v>2910</v>
      </c>
      <c r="C1425" s="130" t="s">
        <v>3069</v>
      </c>
      <c r="D1425" s="243" t="s">
        <v>105</v>
      </c>
      <c r="E1425" s="130" t="s">
        <v>2911</v>
      </c>
      <c r="F1425" s="244" t="s">
        <v>3070</v>
      </c>
      <c r="G1425" s="132" t="s">
        <v>3071</v>
      </c>
      <c r="H1425" s="132" t="s">
        <v>3072</v>
      </c>
      <c r="I1425" s="116" t="s">
        <v>765</v>
      </c>
      <c r="J1425" s="154" t="s">
        <v>765</v>
      </c>
      <c r="K1425" s="154" t="s">
        <v>765</v>
      </c>
      <c r="L1425" s="154" t="s">
        <v>765</v>
      </c>
      <c r="M1425" s="154" t="s">
        <v>765</v>
      </c>
      <c r="N1425" s="143" t="s">
        <v>765</v>
      </c>
      <c r="O1425" s="138" t="s">
        <v>765</v>
      </c>
      <c r="P1425" s="277"/>
      <c r="Q1425" s="152"/>
      <c r="R1425" s="136">
        <v>3</v>
      </c>
      <c r="S1425" s="132"/>
      <c r="T1425" s="132">
        <v>30</v>
      </c>
      <c r="U1425" s="132"/>
      <c r="V1425" s="152"/>
      <c r="W1425" s="136"/>
      <c r="X1425" s="249"/>
      <c r="Y1425" s="136"/>
      <c r="Z1425" s="132"/>
      <c r="AA1425" s="277">
        <v>10</v>
      </c>
      <c r="AB1425" s="277"/>
      <c r="AC1425" s="277"/>
      <c r="AD1425" s="250">
        <v>42095</v>
      </c>
      <c r="AE1425" s="108" t="s">
        <v>2912</v>
      </c>
    </row>
    <row r="1426" spans="1:31" ht="27" customHeight="1" x14ac:dyDescent="0.15">
      <c r="A1426" s="132">
        <v>1116506831</v>
      </c>
      <c r="B1426" s="130" t="s">
        <v>2999</v>
      </c>
      <c r="C1426" s="130" t="s">
        <v>2998</v>
      </c>
      <c r="D1426" s="243" t="s">
        <v>105</v>
      </c>
      <c r="E1426" s="204" t="s">
        <v>3000</v>
      </c>
      <c r="F1426" s="244" t="s">
        <v>3001</v>
      </c>
      <c r="G1426" s="132" t="s">
        <v>3002</v>
      </c>
      <c r="H1426" s="132" t="s">
        <v>3003</v>
      </c>
      <c r="I1426" s="116"/>
      <c r="J1426" s="154"/>
      <c r="K1426" s="154"/>
      <c r="L1426" s="154"/>
      <c r="M1426" s="154" t="s">
        <v>49</v>
      </c>
      <c r="N1426" s="143" t="s">
        <v>49</v>
      </c>
      <c r="O1426" s="138"/>
      <c r="P1426" s="277"/>
      <c r="Q1426" s="152"/>
      <c r="R1426" s="136"/>
      <c r="S1426" s="132"/>
      <c r="T1426" s="132"/>
      <c r="U1426" s="132"/>
      <c r="V1426" s="152"/>
      <c r="W1426" s="136"/>
      <c r="X1426" s="249"/>
      <c r="Y1426" s="136"/>
      <c r="Z1426" s="132"/>
      <c r="AA1426" s="277">
        <v>20</v>
      </c>
      <c r="AB1426" s="277"/>
      <c r="AC1426" s="277"/>
      <c r="AD1426" s="250">
        <v>42125</v>
      </c>
      <c r="AE1426" s="108" t="s">
        <v>3004</v>
      </c>
    </row>
    <row r="1427" spans="1:31" ht="27" customHeight="1" x14ac:dyDescent="0.15">
      <c r="A1427" s="132">
        <v>1116506872</v>
      </c>
      <c r="B1427" s="130" t="s">
        <v>3010</v>
      </c>
      <c r="C1427" s="130" t="s">
        <v>3823</v>
      </c>
      <c r="D1427" s="243" t="s">
        <v>105</v>
      </c>
      <c r="E1427" s="130" t="s">
        <v>3011</v>
      </c>
      <c r="F1427" s="244" t="s">
        <v>3012</v>
      </c>
      <c r="G1427" s="132" t="s">
        <v>3013</v>
      </c>
      <c r="H1427" s="132" t="s">
        <v>3014</v>
      </c>
      <c r="I1427" s="245" t="s">
        <v>49</v>
      </c>
      <c r="J1427" s="246" t="s">
        <v>49</v>
      </c>
      <c r="K1427" s="246" t="s">
        <v>49</v>
      </c>
      <c r="L1427" s="246" t="s">
        <v>49</v>
      </c>
      <c r="M1427" s="246" t="s">
        <v>49</v>
      </c>
      <c r="N1427" s="279" t="s">
        <v>49</v>
      </c>
      <c r="O1427" s="247" t="s">
        <v>49</v>
      </c>
      <c r="P1427" s="132"/>
      <c r="Q1427" s="152"/>
      <c r="R1427" s="248"/>
      <c r="S1427" s="132"/>
      <c r="T1427" s="132">
        <v>10</v>
      </c>
      <c r="U1427" s="132"/>
      <c r="V1427" s="152"/>
      <c r="W1427" s="136"/>
      <c r="X1427" s="249"/>
      <c r="Y1427" s="136"/>
      <c r="Z1427" s="132"/>
      <c r="AA1427" s="132">
        <v>10</v>
      </c>
      <c r="AB1427" s="132"/>
      <c r="AC1427" s="132"/>
      <c r="AD1427" s="250">
        <v>42156</v>
      </c>
      <c r="AE1427" s="130" t="s">
        <v>3035</v>
      </c>
    </row>
    <row r="1428" spans="1:31" ht="27" customHeight="1" x14ac:dyDescent="0.15">
      <c r="A1428" s="132">
        <v>1116507003</v>
      </c>
      <c r="B1428" s="130" t="s">
        <v>3124</v>
      </c>
      <c r="C1428" s="130" t="s">
        <v>3739</v>
      </c>
      <c r="D1428" s="243" t="s">
        <v>105</v>
      </c>
      <c r="E1428" s="130" t="s">
        <v>6151</v>
      </c>
      <c r="F1428" s="244" t="s">
        <v>3125</v>
      </c>
      <c r="G1428" s="132" t="s">
        <v>3126</v>
      </c>
      <c r="H1428" s="132" t="s">
        <v>3127</v>
      </c>
      <c r="I1428" s="245" t="s">
        <v>765</v>
      </c>
      <c r="J1428" s="246" t="s">
        <v>765</v>
      </c>
      <c r="K1428" s="246" t="s">
        <v>765</v>
      </c>
      <c r="L1428" s="246" t="s">
        <v>765</v>
      </c>
      <c r="M1428" s="246" t="s">
        <v>765</v>
      </c>
      <c r="N1428" s="279" t="s">
        <v>765</v>
      </c>
      <c r="O1428" s="247" t="s">
        <v>765</v>
      </c>
      <c r="P1428" s="132"/>
      <c r="Q1428" s="152"/>
      <c r="R1428" s="248"/>
      <c r="S1428" s="132"/>
      <c r="T1428" s="132"/>
      <c r="U1428" s="132"/>
      <c r="V1428" s="152"/>
      <c r="W1428" s="136"/>
      <c r="X1428" s="249">
        <v>20</v>
      </c>
      <c r="Y1428" s="136"/>
      <c r="Z1428" s="132"/>
      <c r="AA1428" s="132"/>
      <c r="AB1428" s="132"/>
      <c r="AC1428" s="132"/>
      <c r="AD1428" s="250">
        <v>42217</v>
      </c>
      <c r="AE1428" s="130" t="s">
        <v>3128</v>
      </c>
    </row>
    <row r="1429" spans="1:31" ht="27" customHeight="1" x14ac:dyDescent="0.15">
      <c r="A1429" s="105">
        <v>1116507011</v>
      </c>
      <c r="B1429" s="130" t="s">
        <v>5349</v>
      </c>
      <c r="C1429" s="280" t="s">
        <v>5346</v>
      </c>
      <c r="D1429" s="108" t="s">
        <v>105</v>
      </c>
      <c r="E1429" s="108" t="s">
        <v>9801</v>
      </c>
      <c r="F1429" s="139" t="s">
        <v>4396</v>
      </c>
      <c r="G1429" s="105" t="s">
        <v>5347</v>
      </c>
      <c r="H1429" s="105" t="s">
        <v>5987</v>
      </c>
      <c r="I1429" s="141"/>
      <c r="J1429" s="142"/>
      <c r="K1429" s="142"/>
      <c r="L1429" s="142"/>
      <c r="M1429" s="142" t="s">
        <v>765</v>
      </c>
      <c r="N1429" s="177"/>
      <c r="O1429" s="176"/>
      <c r="P1429" s="105"/>
      <c r="Q1429" s="137"/>
      <c r="R1429" s="138"/>
      <c r="S1429" s="105"/>
      <c r="T1429" s="132">
        <v>10</v>
      </c>
      <c r="U1429" s="105"/>
      <c r="V1429" s="137"/>
      <c r="W1429" s="138"/>
      <c r="X1429" s="137"/>
      <c r="Y1429" s="138"/>
      <c r="Z1429" s="105"/>
      <c r="AA1429" s="105"/>
      <c r="AB1429" s="105"/>
      <c r="AC1429" s="105"/>
      <c r="AD1429" s="155">
        <v>43678</v>
      </c>
      <c r="AE1429" s="108" t="s">
        <v>5348</v>
      </c>
    </row>
    <row r="1430" spans="1:31" ht="27" customHeight="1" x14ac:dyDescent="0.15">
      <c r="A1430" s="132">
        <v>1116507086</v>
      </c>
      <c r="B1430" s="130" t="s">
        <v>3147</v>
      </c>
      <c r="C1430" s="130" t="s">
        <v>3146</v>
      </c>
      <c r="D1430" s="243" t="s">
        <v>105</v>
      </c>
      <c r="E1430" s="130" t="s">
        <v>3148</v>
      </c>
      <c r="F1430" s="244" t="s">
        <v>3151</v>
      </c>
      <c r="G1430" s="132" t="s">
        <v>3149</v>
      </c>
      <c r="H1430" s="132" t="s">
        <v>3150</v>
      </c>
      <c r="I1430" s="245"/>
      <c r="J1430" s="246"/>
      <c r="K1430" s="246"/>
      <c r="L1430" s="246"/>
      <c r="M1430" s="246" t="s">
        <v>765</v>
      </c>
      <c r="N1430" s="279" t="s">
        <v>765</v>
      </c>
      <c r="O1430" s="247" t="s">
        <v>765</v>
      </c>
      <c r="P1430" s="132"/>
      <c r="Q1430" s="152"/>
      <c r="R1430" s="248"/>
      <c r="S1430" s="132"/>
      <c r="T1430" s="132"/>
      <c r="U1430" s="132"/>
      <c r="V1430" s="152"/>
      <c r="W1430" s="136"/>
      <c r="X1430" s="249"/>
      <c r="Y1430" s="136"/>
      <c r="Z1430" s="132">
        <v>20</v>
      </c>
      <c r="AA1430" s="132"/>
      <c r="AB1430" s="132"/>
      <c r="AC1430" s="132"/>
      <c r="AD1430" s="250">
        <v>42248</v>
      </c>
      <c r="AE1430" s="130" t="s">
        <v>3152</v>
      </c>
    </row>
    <row r="1431" spans="1:31" ht="27" customHeight="1" x14ac:dyDescent="0.15">
      <c r="A1431" s="132">
        <v>1116507128</v>
      </c>
      <c r="B1431" s="278" t="s">
        <v>7636</v>
      </c>
      <c r="C1431" s="278" t="s">
        <v>7641</v>
      </c>
      <c r="D1431" s="243" t="s">
        <v>105</v>
      </c>
      <c r="E1431" s="130" t="s">
        <v>3981</v>
      </c>
      <c r="F1431" s="244" t="s">
        <v>3982</v>
      </c>
      <c r="G1431" s="132" t="s">
        <v>3155</v>
      </c>
      <c r="H1431" s="132" t="s">
        <v>3156</v>
      </c>
      <c r="I1431" s="245"/>
      <c r="J1431" s="246"/>
      <c r="K1431" s="246"/>
      <c r="L1431" s="246"/>
      <c r="M1431" s="246" t="s">
        <v>765</v>
      </c>
      <c r="N1431" s="279" t="s">
        <v>765</v>
      </c>
      <c r="O1431" s="247" t="s">
        <v>765</v>
      </c>
      <c r="P1431" s="132"/>
      <c r="Q1431" s="152"/>
      <c r="R1431" s="248"/>
      <c r="S1431" s="132"/>
      <c r="T1431" s="132"/>
      <c r="U1431" s="132"/>
      <c r="V1431" s="152"/>
      <c r="W1431" s="136"/>
      <c r="X1431" s="249"/>
      <c r="Y1431" s="136"/>
      <c r="Z1431" s="132">
        <v>20</v>
      </c>
      <c r="AA1431" s="132"/>
      <c r="AB1431" s="132"/>
      <c r="AC1431" s="132"/>
      <c r="AD1431" s="250">
        <v>42278</v>
      </c>
      <c r="AE1431" s="130" t="s">
        <v>3157</v>
      </c>
    </row>
    <row r="1432" spans="1:31" ht="27" customHeight="1" x14ac:dyDescent="0.15">
      <c r="A1432" s="132">
        <v>1116507151</v>
      </c>
      <c r="B1432" s="130" t="s">
        <v>3191</v>
      </c>
      <c r="C1432" s="130" t="s">
        <v>3190</v>
      </c>
      <c r="D1432" s="243" t="s">
        <v>105</v>
      </c>
      <c r="E1432" s="130" t="s">
        <v>3192</v>
      </c>
      <c r="F1432" s="244" t="s">
        <v>3193</v>
      </c>
      <c r="G1432" s="132" t="s">
        <v>3194</v>
      </c>
      <c r="H1432" s="132" t="s">
        <v>3195</v>
      </c>
      <c r="I1432" s="245"/>
      <c r="J1432" s="246"/>
      <c r="K1432" s="246"/>
      <c r="L1432" s="246"/>
      <c r="M1432" s="246" t="s">
        <v>765</v>
      </c>
      <c r="N1432" s="279" t="s">
        <v>765</v>
      </c>
      <c r="O1432" s="247"/>
      <c r="P1432" s="132"/>
      <c r="Q1432" s="152"/>
      <c r="R1432" s="248"/>
      <c r="S1432" s="132"/>
      <c r="T1432" s="132"/>
      <c r="U1432" s="132"/>
      <c r="V1432" s="152"/>
      <c r="W1432" s="136"/>
      <c r="X1432" s="249"/>
      <c r="Y1432" s="136"/>
      <c r="Z1432" s="132"/>
      <c r="AA1432" s="132">
        <v>20</v>
      </c>
      <c r="AB1432" s="132"/>
      <c r="AC1432" s="132"/>
      <c r="AD1432" s="250">
        <v>42309</v>
      </c>
      <c r="AE1432" s="130" t="s">
        <v>3196</v>
      </c>
    </row>
    <row r="1433" spans="1:31" ht="27" customHeight="1" x14ac:dyDescent="0.15">
      <c r="A1433" s="132">
        <v>1116507169</v>
      </c>
      <c r="B1433" s="130" t="s">
        <v>3198</v>
      </c>
      <c r="C1433" s="130" t="s">
        <v>3197</v>
      </c>
      <c r="D1433" s="243" t="s">
        <v>105</v>
      </c>
      <c r="E1433" s="130" t="s">
        <v>11167</v>
      </c>
      <c r="F1433" s="244" t="s">
        <v>11168</v>
      </c>
      <c r="G1433" s="132" t="s">
        <v>11169</v>
      </c>
      <c r="H1433" s="132" t="s">
        <v>11170</v>
      </c>
      <c r="I1433" s="245"/>
      <c r="J1433" s="246"/>
      <c r="K1433" s="246"/>
      <c r="L1433" s="246"/>
      <c r="M1433" s="246" t="s">
        <v>765</v>
      </c>
      <c r="N1433" s="279" t="s">
        <v>765</v>
      </c>
      <c r="O1433" s="247" t="s">
        <v>3199</v>
      </c>
      <c r="P1433" s="132"/>
      <c r="Q1433" s="152"/>
      <c r="R1433" s="248"/>
      <c r="S1433" s="132"/>
      <c r="T1433" s="132"/>
      <c r="U1433" s="132"/>
      <c r="V1433" s="152"/>
      <c r="W1433" s="136"/>
      <c r="X1433" s="249"/>
      <c r="Y1433" s="136"/>
      <c r="Z1433" s="132">
        <v>20</v>
      </c>
      <c r="AA1433" s="132"/>
      <c r="AB1433" s="132"/>
      <c r="AC1433" s="132"/>
      <c r="AD1433" s="250">
        <v>42309</v>
      </c>
      <c r="AE1433" s="130" t="s">
        <v>11171</v>
      </c>
    </row>
    <row r="1434" spans="1:31" ht="27" customHeight="1" x14ac:dyDescent="0.15">
      <c r="A1434" s="132">
        <v>1116507219</v>
      </c>
      <c r="B1434" s="130" t="s">
        <v>3232</v>
      </c>
      <c r="C1434" s="130" t="s">
        <v>3228</v>
      </c>
      <c r="D1434" s="243" t="s">
        <v>105</v>
      </c>
      <c r="E1434" s="130" t="s">
        <v>9589</v>
      </c>
      <c r="F1434" s="244" t="s">
        <v>2237</v>
      </c>
      <c r="G1434" s="132" t="s">
        <v>3229</v>
      </c>
      <c r="H1434" s="132" t="s">
        <v>3230</v>
      </c>
      <c r="I1434" s="245"/>
      <c r="J1434" s="246"/>
      <c r="K1434" s="246"/>
      <c r="L1434" s="246"/>
      <c r="M1434" s="246" t="s">
        <v>765</v>
      </c>
      <c r="N1434" s="279" t="s">
        <v>765</v>
      </c>
      <c r="O1434" s="247"/>
      <c r="P1434" s="132"/>
      <c r="Q1434" s="152"/>
      <c r="R1434" s="248"/>
      <c r="S1434" s="132"/>
      <c r="T1434" s="132"/>
      <c r="U1434" s="132"/>
      <c r="V1434" s="152"/>
      <c r="W1434" s="136"/>
      <c r="X1434" s="249"/>
      <c r="Y1434" s="136"/>
      <c r="Z1434" s="132"/>
      <c r="AA1434" s="132">
        <v>20</v>
      </c>
      <c r="AB1434" s="132"/>
      <c r="AC1434" s="132"/>
      <c r="AD1434" s="250">
        <v>42339</v>
      </c>
      <c r="AE1434" s="130" t="s">
        <v>5988</v>
      </c>
    </row>
    <row r="1435" spans="1:31" ht="27" customHeight="1" x14ac:dyDescent="0.15">
      <c r="A1435" s="105">
        <v>1116507243</v>
      </c>
      <c r="B1435" s="130" t="s">
        <v>3231</v>
      </c>
      <c r="C1435" s="130" t="s">
        <v>2291</v>
      </c>
      <c r="D1435" s="243" t="s">
        <v>105</v>
      </c>
      <c r="E1435" s="130" t="s">
        <v>2293</v>
      </c>
      <c r="F1435" s="244" t="s">
        <v>3227</v>
      </c>
      <c r="G1435" s="105" t="s">
        <v>2294</v>
      </c>
      <c r="H1435" s="105" t="s">
        <v>5989</v>
      </c>
      <c r="I1435" s="245"/>
      <c r="J1435" s="246"/>
      <c r="K1435" s="246"/>
      <c r="L1435" s="246"/>
      <c r="M1435" s="246" t="s">
        <v>49</v>
      </c>
      <c r="N1435" s="279" t="s">
        <v>49</v>
      </c>
      <c r="O1435" s="247"/>
      <c r="P1435" s="132"/>
      <c r="Q1435" s="152"/>
      <c r="R1435" s="248"/>
      <c r="S1435" s="132"/>
      <c r="T1435" s="132"/>
      <c r="U1435" s="132"/>
      <c r="V1435" s="152"/>
      <c r="W1435" s="136"/>
      <c r="X1435" s="249"/>
      <c r="Y1435" s="136"/>
      <c r="Z1435" s="132"/>
      <c r="AA1435" s="132">
        <v>20</v>
      </c>
      <c r="AB1435" s="132"/>
      <c r="AC1435" s="132"/>
      <c r="AD1435" s="250">
        <v>42339</v>
      </c>
      <c r="AE1435" s="130" t="s">
        <v>2298</v>
      </c>
    </row>
    <row r="1436" spans="1:31" ht="27" customHeight="1" x14ac:dyDescent="0.15">
      <c r="A1436" s="203">
        <v>1116507342</v>
      </c>
      <c r="B1436" s="204" t="s">
        <v>3269</v>
      </c>
      <c r="C1436" s="204" t="s">
        <v>3268</v>
      </c>
      <c r="D1436" s="243" t="s">
        <v>3270</v>
      </c>
      <c r="E1436" s="204" t="s">
        <v>3271</v>
      </c>
      <c r="F1436" s="244" t="s">
        <v>3272</v>
      </c>
      <c r="G1436" s="175" t="s">
        <v>3273</v>
      </c>
      <c r="H1436" s="175" t="s">
        <v>3274</v>
      </c>
      <c r="I1436" s="245" t="s">
        <v>765</v>
      </c>
      <c r="J1436" s="246" t="s">
        <v>765</v>
      </c>
      <c r="K1436" s="246" t="s">
        <v>765</v>
      </c>
      <c r="L1436" s="246" t="s">
        <v>765</v>
      </c>
      <c r="M1436" s="246" t="s">
        <v>765</v>
      </c>
      <c r="N1436" s="279" t="s">
        <v>765</v>
      </c>
      <c r="O1436" s="247" t="s">
        <v>765</v>
      </c>
      <c r="P1436" s="132"/>
      <c r="Q1436" s="152"/>
      <c r="R1436" s="248"/>
      <c r="S1436" s="132"/>
      <c r="T1436" s="132"/>
      <c r="U1436" s="132"/>
      <c r="V1436" s="152"/>
      <c r="W1436" s="136"/>
      <c r="X1436" s="249"/>
      <c r="Y1436" s="136"/>
      <c r="Z1436" s="132">
        <v>20</v>
      </c>
      <c r="AA1436" s="132"/>
      <c r="AB1436" s="132"/>
      <c r="AC1436" s="132"/>
      <c r="AD1436" s="250">
        <v>42401</v>
      </c>
      <c r="AE1436" s="204" t="s">
        <v>3275</v>
      </c>
    </row>
    <row r="1437" spans="1:31" ht="27" customHeight="1" x14ac:dyDescent="0.15">
      <c r="A1437" s="132">
        <v>1116507359</v>
      </c>
      <c r="B1437" s="278" t="s">
        <v>7636</v>
      </c>
      <c r="C1437" s="278" t="s">
        <v>7642</v>
      </c>
      <c r="D1437" s="243" t="s">
        <v>48</v>
      </c>
      <c r="E1437" s="130" t="s">
        <v>3443</v>
      </c>
      <c r="F1437" s="244" t="s">
        <v>5990</v>
      </c>
      <c r="G1437" s="105" t="s">
        <v>3444</v>
      </c>
      <c r="H1437" s="105" t="s">
        <v>3445</v>
      </c>
      <c r="I1437" s="245"/>
      <c r="J1437" s="246"/>
      <c r="K1437" s="246"/>
      <c r="L1437" s="246"/>
      <c r="M1437" s="246" t="s">
        <v>765</v>
      </c>
      <c r="N1437" s="279" t="s">
        <v>765</v>
      </c>
      <c r="O1437" s="247" t="s">
        <v>765</v>
      </c>
      <c r="P1437" s="132"/>
      <c r="Q1437" s="152"/>
      <c r="R1437" s="248"/>
      <c r="S1437" s="132"/>
      <c r="T1437" s="132"/>
      <c r="U1437" s="132"/>
      <c r="V1437" s="152"/>
      <c r="W1437" s="136"/>
      <c r="X1437" s="249"/>
      <c r="Y1437" s="136"/>
      <c r="Z1437" s="132">
        <v>20</v>
      </c>
      <c r="AA1437" s="132"/>
      <c r="AB1437" s="132"/>
      <c r="AC1437" s="132"/>
      <c r="AD1437" s="250">
        <v>42401</v>
      </c>
      <c r="AE1437" s="130" t="s">
        <v>3446</v>
      </c>
    </row>
    <row r="1438" spans="1:31" ht="27" customHeight="1" x14ac:dyDescent="0.15">
      <c r="A1438" s="132">
        <v>1116507433</v>
      </c>
      <c r="B1438" s="130" t="s">
        <v>3399</v>
      </c>
      <c r="C1438" s="130" t="s">
        <v>3379</v>
      </c>
      <c r="D1438" s="243" t="s">
        <v>105</v>
      </c>
      <c r="E1438" s="130" t="s">
        <v>3400</v>
      </c>
      <c r="F1438" s="244" t="s">
        <v>3380</v>
      </c>
      <c r="G1438" s="105" t="s">
        <v>3381</v>
      </c>
      <c r="H1438" s="105" t="s">
        <v>3382</v>
      </c>
      <c r="I1438" s="245" t="s">
        <v>49</v>
      </c>
      <c r="J1438" s="246"/>
      <c r="K1438" s="246"/>
      <c r="L1438" s="246"/>
      <c r="M1438" s="246" t="s">
        <v>49</v>
      </c>
      <c r="N1438" s="279"/>
      <c r="O1438" s="247"/>
      <c r="P1438" s="132"/>
      <c r="Q1438" s="152"/>
      <c r="R1438" s="248">
        <v>5</v>
      </c>
      <c r="S1438" s="132"/>
      <c r="T1438" s="132">
        <v>27</v>
      </c>
      <c r="U1438" s="132"/>
      <c r="V1438" s="152"/>
      <c r="W1438" s="136"/>
      <c r="X1438" s="249"/>
      <c r="Y1438" s="136"/>
      <c r="Z1438" s="132"/>
      <c r="AA1438" s="132"/>
      <c r="AB1438" s="132"/>
      <c r="AC1438" s="132"/>
      <c r="AD1438" s="250">
        <v>42461</v>
      </c>
      <c r="AE1438" s="130" t="s">
        <v>3397</v>
      </c>
    </row>
    <row r="1439" spans="1:31" ht="27" customHeight="1" x14ac:dyDescent="0.15">
      <c r="A1439" s="203">
        <v>1116507516</v>
      </c>
      <c r="B1439" s="204" t="s">
        <v>3521</v>
      </c>
      <c r="C1439" s="204" t="s">
        <v>3520</v>
      </c>
      <c r="D1439" s="243" t="s">
        <v>105</v>
      </c>
      <c r="E1439" s="204" t="s">
        <v>3522</v>
      </c>
      <c r="F1439" s="244" t="s">
        <v>3526</v>
      </c>
      <c r="G1439" s="175" t="s">
        <v>3523</v>
      </c>
      <c r="H1439" s="175" t="s">
        <v>3524</v>
      </c>
      <c r="I1439" s="245" t="s">
        <v>49</v>
      </c>
      <c r="J1439" s="246"/>
      <c r="K1439" s="246"/>
      <c r="L1439" s="246"/>
      <c r="M1439" s="246"/>
      <c r="N1439" s="246"/>
      <c r="O1439" s="247" t="s">
        <v>49</v>
      </c>
      <c r="P1439" s="132"/>
      <c r="Q1439" s="152"/>
      <c r="R1439" s="248"/>
      <c r="S1439" s="132"/>
      <c r="T1439" s="132"/>
      <c r="U1439" s="132">
        <v>20</v>
      </c>
      <c r="V1439" s="152"/>
      <c r="W1439" s="136"/>
      <c r="X1439" s="249"/>
      <c r="Y1439" s="136"/>
      <c r="Z1439" s="132"/>
      <c r="AA1439" s="132"/>
      <c r="AB1439" s="132"/>
      <c r="AC1439" s="132"/>
      <c r="AD1439" s="250">
        <v>42522</v>
      </c>
      <c r="AE1439" s="204" t="s">
        <v>3525</v>
      </c>
    </row>
    <row r="1440" spans="1:31" ht="27" customHeight="1" x14ac:dyDescent="0.15">
      <c r="A1440" s="203">
        <v>1116507532</v>
      </c>
      <c r="B1440" s="204" t="s">
        <v>5516</v>
      </c>
      <c r="C1440" s="204" t="s">
        <v>3435</v>
      </c>
      <c r="D1440" s="243" t="s">
        <v>105</v>
      </c>
      <c r="E1440" s="204" t="s">
        <v>3436</v>
      </c>
      <c r="F1440" s="244" t="s">
        <v>3439</v>
      </c>
      <c r="G1440" s="175" t="s">
        <v>3437</v>
      </c>
      <c r="H1440" s="175" t="s">
        <v>3438</v>
      </c>
      <c r="I1440" s="245" t="s">
        <v>49</v>
      </c>
      <c r="J1440" s="246" t="s">
        <v>765</v>
      </c>
      <c r="K1440" s="246" t="s">
        <v>765</v>
      </c>
      <c r="L1440" s="246" t="s">
        <v>49</v>
      </c>
      <c r="M1440" s="246" t="s">
        <v>49</v>
      </c>
      <c r="N1440" s="246" t="s">
        <v>765</v>
      </c>
      <c r="O1440" s="246"/>
      <c r="P1440" s="132"/>
      <c r="Q1440" s="152"/>
      <c r="R1440" s="248"/>
      <c r="S1440" s="132"/>
      <c r="T1440" s="132"/>
      <c r="U1440" s="132"/>
      <c r="V1440" s="152"/>
      <c r="W1440" s="136"/>
      <c r="X1440" s="249"/>
      <c r="Y1440" s="136"/>
      <c r="Z1440" s="132"/>
      <c r="AA1440" s="132">
        <v>20</v>
      </c>
      <c r="AB1440" s="132"/>
      <c r="AC1440" s="132"/>
      <c r="AD1440" s="250">
        <v>42522</v>
      </c>
      <c r="AE1440" s="204" t="s">
        <v>3440</v>
      </c>
    </row>
    <row r="1441" spans="1:31" ht="27" customHeight="1" x14ac:dyDescent="0.15">
      <c r="A1441" s="132">
        <v>1116507623</v>
      </c>
      <c r="B1441" s="130" t="s">
        <v>11604</v>
      </c>
      <c r="C1441" s="130" t="s">
        <v>3495</v>
      </c>
      <c r="D1441" s="243" t="s">
        <v>105</v>
      </c>
      <c r="E1441" s="130" t="s">
        <v>4050</v>
      </c>
      <c r="F1441" s="132" t="s">
        <v>3601</v>
      </c>
      <c r="G1441" s="132" t="s">
        <v>3496</v>
      </c>
      <c r="H1441" s="132" t="s">
        <v>3497</v>
      </c>
      <c r="I1441" s="245"/>
      <c r="J1441" s="246"/>
      <c r="K1441" s="246"/>
      <c r="L1441" s="246"/>
      <c r="M1441" s="246" t="s">
        <v>3600</v>
      </c>
      <c r="N1441" s="279" t="s">
        <v>3600</v>
      </c>
      <c r="O1441" s="247"/>
      <c r="P1441" s="132"/>
      <c r="Q1441" s="152"/>
      <c r="R1441" s="248"/>
      <c r="S1441" s="132"/>
      <c r="T1441" s="132"/>
      <c r="U1441" s="132"/>
      <c r="V1441" s="152"/>
      <c r="W1441" s="136"/>
      <c r="X1441" s="249"/>
      <c r="Y1441" s="136"/>
      <c r="Z1441" s="132">
        <v>20</v>
      </c>
      <c r="AA1441" s="132"/>
      <c r="AB1441" s="132"/>
      <c r="AC1441" s="132"/>
      <c r="AD1441" s="250">
        <v>42583</v>
      </c>
      <c r="AE1441" s="130" t="s">
        <v>3696</v>
      </c>
    </row>
    <row r="1442" spans="1:31" ht="27" customHeight="1" x14ac:dyDescent="0.15">
      <c r="A1442" s="132">
        <v>1116507680</v>
      </c>
      <c r="B1442" s="278" t="s">
        <v>5436</v>
      </c>
      <c r="C1442" s="278" t="s">
        <v>5435</v>
      </c>
      <c r="D1442" s="243" t="s">
        <v>105</v>
      </c>
      <c r="E1442" s="130" t="s">
        <v>3594</v>
      </c>
      <c r="F1442" s="132" t="s">
        <v>3596</v>
      </c>
      <c r="G1442" s="132" t="s">
        <v>3591</v>
      </c>
      <c r="H1442" s="132" t="s">
        <v>3592</v>
      </c>
      <c r="I1442" s="245"/>
      <c r="J1442" s="246" t="s">
        <v>765</v>
      </c>
      <c r="K1442" s="246" t="s">
        <v>765</v>
      </c>
      <c r="L1442" s="246" t="s">
        <v>765</v>
      </c>
      <c r="M1442" s="246" t="s">
        <v>49</v>
      </c>
      <c r="N1442" s="279" t="s">
        <v>765</v>
      </c>
      <c r="O1442" s="247" t="s">
        <v>765</v>
      </c>
      <c r="P1442" s="132"/>
      <c r="Q1442" s="152"/>
      <c r="R1442" s="248"/>
      <c r="S1442" s="132"/>
      <c r="T1442" s="132"/>
      <c r="U1442" s="132"/>
      <c r="V1442" s="152"/>
      <c r="W1442" s="136"/>
      <c r="X1442" s="249">
        <v>20</v>
      </c>
      <c r="Y1442" s="136"/>
      <c r="Z1442" s="132"/>
      <c r="AA1442" s="132"/>
      <c r="AB1442" s="132"/>
      <c r="AC1442" s="132"/>
      <c r="AD1442" s="250">
        <v>42644</v>
      </c>
      <c r="AE1442" s="130" t="s">
        <v>3598</v>
      </c>
    </row>
    <row r="1443" spans="1:31" ht="27" customHeight="1" x14ac:dyDescent="0.15">
      <c r="A1443" s="132">
        <v>1116507722</v>
      </c>
      <c r="B1443" s="130" t="s">
        <v>3590</v>
      </c>
      <c r="C1443" s="130" t="s">
        <v>3589</v>
      </c>
      <c r="D1443" s="243" t="s">
        <v>105</v>
      </c>
      <c r="E1443" s="130" t="s">
        <v>3595</v>
      </c>
      <c r="F1443" s="132" t="s">
        <v>3597</v>
      </c>
      <c r="G1443" s="132" t="s">
        <v>3593</v>
      </c>
      <c r="H1443" s="132" t="s">
        <v>3593</v>
      </c>
      <c r="I1443" s="245"/>
      <c r="J1443" s="246"/>
      <c r="K1443" s="246"/>
      <c r="L1443" s="246"/>
      <c r="M1443" s="246" t="s">
        <v>49</v>
      </c>
      <c r="N1443" s="279" t="s">
        <v>49</v>
      </c>
      <c r="O1443" s="247"/>
      <c r="P1443" s="132"/>
      <c r="Q1443" s="152"/>
      <c r="R1443" s="248"/>
      <c r="S1443" s="132"/>
      <c r="T1443" s="132"/>
      <c r="U1443" s="132"/>
      <c r="V1443" s="152"/>
      <c r="W1443" s="136"/>
      <c r="X1443" s="249"/>
      <c r="Y1443" s="136"/>
      <c r="Z1443" s="132"/>
      <c r="AA1443" s="132">
        <v>20</v>
      </c>
      <c r="AB1443" s="132"/>
      <c r="AC1443" s="132"/>
      <c r="AD1443" s="250">
        <v>42644</v>
      </c>
      <c r="AE1443" s="130" t="s">
        <v>3599</v>
      </c>
    </row>
    <row r="1444" spans="1:31" ht="27" customHeight="1" x14ac:dyDescent="0.15">
      <c r="A1444" s="277">
        <v>1116507821</v>
      </c>
      <c r="B1444" s="278" t="s">
        <v>3646</v>
      </c>
      <c r="C1444" s="278" t="s">
        <v>2779</v>
      </c>
      <c r="D1444" s="243" t="s">
        <v>105</v>
      </c>
      <c r="E1444" s="278" t="s">
        <v>10931</v>
      </c>
      <c r="F1444" s="277" t="s">
        <v>5602</v>
      </c>
      <c r="G1444" s="277" t="s">
        <v>2780</v>
      </c>
      <c r="H1444" s="277" t="s">
        <v>2781</v>
      </c>
      <c r="I1444" s="141"/>
      <c r="J1444" s="142"/>
      <c r="K1444" s="142"/>
      <c r="L1444" s="142"/>
      <c r="M1444" s="142" t="s">
        <v>765</v>
      </c>
      <c r="N1444" s="143" t="s">
        <v>765</v>
      </c>
      <c r="O1444" s="138" t="s">
        <v>765</v>
      </c>
      <c r="P1444" s="105"/>
      <c r="Q1444" s="137"/>
      <c r="R1444" s="138"/>
      <c r="S1444" s="105"/>
      <c r="T1444" s="105"/>
      <c r="U1444" s="105"/>
      <c r="V1444" s="137"/>
      <c r="W1444" s="138"/>
      <c r="X1444" s="137"/>
      <c r="Y1444" s="138"/>
      <c r="Z1444" s="277"/>
      <c r="AA1444" s="277">
        <v>20</v>
      </c>
      <c r="AB1444" s="277"/>
      <c r="AC1444" s="277"/>
      <c r="AD1444" s="250">
        <v>42705</v>
      </c>
      <c r="AE1444" s="278" t="s">
        <v>3647</v>
      </c>
    </row>
    <row r="1445" spans="1:31" ht="27" customHeight="1" x14ac:dyDescent="0.15">
      <c r="A1445" s="132">
        <v>1116507888</v>
      </c>
      <c r="B1445" s="130" t="s">
        <v>3690</v>
      </c>
      <c r="C1445" s="130" t="s">
        <v>4418</v>
      </c>
      <c r="D1445" s="243" t="s">
        <v>105</v>
      </c>
      <c r="E1445" s="130" t="s">
        <v>3691</v>
      </c>
      <c r="F1445" s="132" t="s">
        <v>3692</v>
      </c>
      <c r="G1445" s="132" t="s">
        <v>3693</v>
      </c>
      <c r="H1445" s="132" t="s">
        <v>3694</v>
      </c>
      <c r="I1445" s="245"/>
      <c r="J1445" s="246"/>
      <c r="K1445" s="246"/>
      <c r="L1445" s="246"/>
      <c r="M1445" s="246" t="s">
        <v>49</v>
      </c>
      <c r="N1445" s="279"/>
      <c r="O1445" s="247"/>
      <c r="P1445" s="132"/>
      <c r="Q1445" s="152"/>
      <c r="R1445" s="248"/>
      <c r="S1445" s="132"/>
      <c r="T1445" s="132">
        <v>20</v>
      </c>
      <c r="U1445" s="132"/>
      <c r="V1445" s="152"/>
      <c r="W1445" s="136"/>
      <c r="X1445" s="249"/>
      <c r="Y1445" s="136"/>
      <c r="Z1445" s="132"/>
      <c r="AA1445" s="132"/>
      <c r="AB1445" s="132"/>
      <c r="AC1445" s="132"/>
      <c r="AD1445" s="250">
        <v>42736</v>
      </c>
      <c r="AE1445" s="130" t="s">
        <v>3695</v>
      </c>
    </row>
    <row r="1446" spans="1:31" ht="27" customHeight="1" x14ac:dyDescent="0.15">
      <c r="A1446" s="132">
        <v>1116507904</v>
      </c>
      <c r="B1446" s="130" t="s">
        <v>3731</v>
      </c>
      <c r="C1446" s="130" t="s">
        <v>3730</v>
      </c>
      <c r="D1446" s="243" t="s">
        <v>105</v>
      </c>
      <c r="E1446" s="130" t="s">
        <v>3736</v>
      </c>
      <c r="F1446" s="132" t="s">
        <v>3732</v>
      </c>
      <c r="G1446" s="132" t="s">
        <v>3733</v>
      </c>
      <c r="H1446" s="132" t="s">
        <v>3734</v>
      </c>
      <c r="I1446" s="245"/>
      <c r="J1446" s="246"/>
      <c r="K1446" s="246"/>
      <c r="L1446" s="246"/>
      <c r="M1446" s="246" t="s">
        <v>49</v>
      </c>
      <c r="N1446" s="246" t="s">
        <v>49</v>
      </c>
      <c r="O1446" s="247"/>
      <c r="P1446" s="132"/>
      <c r="Q1446" s="152"/>
      <c r="R1446" s="248"/>
      <c r="S1446" s="132"/>
      <c r="T1446" s="132"/>
      <c r="U1446" s="132"/>
      <c r="V1446" s="152"/>
      <c r="W1446" s="136"/>
      <c r="X1446" s="249"/>
      <c r="Y1446" s="136"/>
      <c r="Z1446" s="132"/>
      <c r="AA1446" s="132">
        <v>20</v>
      </c>
      <c r="AB1446" s="132"/>
      <c r="AC1446" s="132"/>
      <c r="AD1446" s="250">
        <v>42767</v>
      </c>
      <c r="AE1446" s="130" t="s">
        <v>3735</v>
      </c>
    </row>
    <row r="1447" spans="1:31" ht="27" customHeight="1" x14ac:dyDescent="0.15">
      <c r="A1447" s="132">
        <v>1116508027</v>
      </c>
      <c r="B1447" s="130" t="s">
        <v>3819</v>
      </c>
      <c r="C1447" s="130" t="s">
        <v>5991</v>
      </c>
      <c r="D1447" s="243" t="s">
        <v>48</v>
      </c>
      <c r="E1447" s="130" t="s">
        <v>5992</v>
      </c>
      <c r="F1447" s="132" t="s">
        <v>2650</v>
      </c>
      <c r="G1447" s="132" t="s">
        <v>3820</v>
      </c>
      <c r="H1447" s="132" t="s">
        <v>3821</v>
      </c>
      <c r="I1447" s="141" t="s">
        <v>7456</v>
      </c>
      <c r="J1447" s="142" t="s">
        <v>7456</v>
      </c>
      <c r="K1447" s="142" t="s">
        <v>7456</v>
      </c>
      <c r="L1447" s="142" t="s">
        <v>7456</v>
      </c>
      <c r="M1447" s="246" t="s">
        <v>49</v>
      </c>
      <c r="N1447" s="279" t="s">
        <v>49</v>
      </c>
      <c r="O1447" s="247" t="s">
        <v>49</v>
      </c>
      <c r="P1447" s="132"/>
      <c r="Q1447" s="152"/>
      <c r="R1447" s="248"/>
      <c r="S1447" s="132"/>
      <c r="T1447" s="132">
        <v>20</v>
      </c>
      <c r="U1447" s="132"/>
      <c r="V1447" s="152"/>
      <c r="W1447" s="136"/>
      <c r="X1447" s="249"/>
      <c r="Y1447" s="136"/>
      <c r="Z1447" s="132"/>
      <c r="AA1447" s="132">
        <v>10</v>
      </c>
      <c r="AB1447" s="132"/>
      <c r="AC1447" s="132"/>
      <c r="AD1447" s="250">
        <v>42826</v>
      </c>
      <c r="AE1447" s="130" t="s">
        <v>3822</v>
      </c>
    </row>
    <row r="1448" spans="1:31" ht="27" customHeight="1" x14ac:dyDescent="0.15">
      <c r="A1448" s="132">
        <v>1116508050</v>
      </c>
      <c r="B1448" s="130" t="s">
        <v>3871</v>
      </c>
      <c r="C1448" s="130" t="s">
        <v>3861</v>
      </c>
      <c r="D1448" s="243" t="s">
        <v>3873</v>
      </c>
      <c r="E1448" s="130" t="s">
        <v>3874</v>
      </c>
      <c r="F1448" s="132" t="s">
        <v>3878</v>
      </c>
      <c r="G1448" s="132" t="s">
        <v>5993</v>
      </c>
      <c r="H1448" s="132" t="s">
        <v>3862</v>
      </c>
      <c r="I1448" s="133"/>
      <c r="J1448" s="134"/>
      <c r="K1448" s="134" t="s">
        <v>49</v>
      </c>
      <c r="L1448" s="134" t="s">
        <v>49</v>
      </c>
      <c r="M1448" s="246" t="s">
        <v>49</v>
      </c>
      <c r="N1448" s="279" t="s">
        <v>49</v>
      </c>
      <c r="O1448" s="247"/>
      <c r="P1448" s="132"/>
      <c r="Q1448" s="152"/>
      <c r="R1448" s="248"/>
      <c r="S1448" s="132"/>
      <c r="T1448" s="132"/>
      <c r="U1448" s="132"/>
      <c r="V1448" s="152"/>
      <c r="W1448" s="136"/>
      <c r="X1448" s="249"/>
      <c r="Y1448" s="136"/>
      <c r="Z1448" s="132"/>
      <c r="AA1448" s="132">
        <v>20</v>
      </c>
      <c r="AB1448" s="132"/>
      <c r="AC1448" s="132"/>
      <c r="AD1448" s="250">
        <v>42856</v>
      </c>
      <c r="AE1448" s="130" t="s">
        <v>3882</v>
      </c>
    </row>
    <row r="1449" spans="1:31" ht="27" customHeight="1" x14ac:dyDescent="0.15">
      <c r="A1449" s="132">
        <v>1116508068</v>
      </c>
      <c r="B1449" s="130" t="s">
        <v>8948</v>
      </c>
      <c r="C1449" s="130" t="s">
        <v>11813</v>
      </c>
      <c r="D1449" s="243" t="s">
        <v>3873</v>
      </c>
      <c r="E1449" s="130" t="s">
        <v>3875</v>
      </c>
      <c r="F1449" s="132" t="s">
        <v>3879</v>
      </c>
      <c r="G1449" s="132" t="s">
        <v>3863</v>
      </c>
      <c r="H1449" s="132" t="s">
        <v>3864</v>
      </c>
      <c r="I1449" s="133" t="s">
        <v>3853</v>
      </c>
      <c r="J1449" s="134"/>
      <c r="K1449" s="134" t="s">
        <v>3853</v>
      </c>
      <c r="L1449" s="134" t="s">
        <v>3853</v>
      </c>
      <c r="M1449" s="246" t="s">
        <v>3853</v>
      </c>
      <c r="N1449" s="279" t="s">
        <v>3853</v>
      </c>
      <c r="O1449" s="247"/>
      <c r="P1449" s="132"/>
      <c r="Q1449" s="152"/>
      <c r="R1449" s="248"/>
      <c r="S1449" s="132"/>
      <c r="T1449" s="132"/>
      <c r="U1449" s="132"/>
      <c r="V1449" s="152"/>
      <c r="W1449" s="136"/>
      <c r="X1449" s="249"/>
      <c r="Y1449" s="136"/>
      <c r="Z1449" s="132">
        <v>40</v>
      </c>
      <c r="AA1449" s="132"/>
      <c r="AB1449" s="132"/>
      <c r="AC1449" s="132"/>
      <c r="AD1449" s="250">
        <v>42856</v>
      </c>
      <c r="AE1449" s="130" t="s">
        <v>3883</v>
      </c>
    </row>
    <row r="1450" spans="1:31" ht="27" customHeight="1" x14ac:dyDescent="0.15">
      <c r="A1450" s="132">
        <v>1116508092</v>
      </c>
      <c r="B1450" s="130" t="s">
        <v>6996</v>
      </c>
      <c r="C1450" s="130" t="s">
        <v>3865</v>
      </c>
      <c r="D1450" s="243" t="s">
        <v>3873</v>
      </c>
      <c r="E1450" s="130" t="s">
        <v>3876</v>
      </c>
      <c r="F1450" s="132" t="s">
        <v>3880</v>
      </c>
      <c r="G1450" s="132" t="s">
        <v>3866</v>
      </c>
      <c r="H1450" s="132" t="s">
        <v>3867</v>
      </c>
      <c r="I1450" s="133" t="s">
        <v>765</v>
      </c>
      <c r="J1450" s="134" t="s">
        <v>765</v>
      </c>
      <c r="K1450" s="134" t="s">
        <v>765</v>
      </c>
      <c r="L1450" s="134" t="s">
        <v>765</v>
      </c>
      <c r="M1450" s="246" t="s">
        <v>765</v>
      </c>
      <c r="N1450" s="279" t="s">
        <v>765</v>
      </c>
      <c r="O1450" s="247" t="s">
        <v>765</v>
      </c>
      <c r="P1450" s="132"/>
      <c r="Q1450" s="152"/>
      <c r="R1450" s="248"/>
      <c r="S1450" s="132"/>
      <c r="T1450" s="132"/>
      <c r="U1450" s="132"/>
      <c r="V1450" s="152"/>
      <c r="W1450" s="136"/>
      <c r="X1450" s="249"/>
      <c r="Y1450" s="136"/>
      <c r="Z1450" s="132">
        <v>20</v>
      </c>
      <c r="AA1450" s="132"/>
      <c r="AB1450" s="132"/>
      <c r="AC1450" s="132"/>
      <c r="AD1450" s="250">
        <v>42856</v>
      </c>
      <c r="AE1450" s="130" t="s">
        <v>3884</v>
      </c>
    </row>
    <row r="1451" spans="1:31" ht="27" customHeight="1" x14ac:dyDescent="0.15">
      <c r="A1451" s="132">
        <v>1116508126</v>
      </c>
      <c r="B1451" s="130" t="s">
        <v>3872</v>
      </c>
      <c r="C1451" s="130" t="s">
        <v>3868</v>
      </c>
      <c r="D1451" s="243" t="s">
        <v>3873</v>
      </c>
      <c r="E1451" s="130" t="s">
        <v>3877</v>
      </c>
      <c r="F1451" s="132" t="s">
        <v>3881</v>
      </c>
      <c r="G1451" s="132" t="s">
        <v>3869</v>
      </c>
      <c r="H1451" s="132" t="s">
        <v>3870</v>
      </c>
      <c r="I1451" s="133"/>
      <c r="J1451" s="134"/>
      <c r="K1451" s="134"/>
      <c r="L1451" s="134"/>
      <c r="M1451" s="246" t="s">
        <v>3853</v>
      </c>
      <c r="N1451" s="279" t="s">
        <v>3853</v>
      </c>
      <c r="O1451" s="247" t="s">
        <v>3853</v>
      </c>
      <c r="P1451" s="132"/>
      <c r="Q1451" s="152"/>
      <c r="R1451" s="248"/>
      <c r="S1451" s="132"/>
      <c r="T1451" s="132"/>
      <c r="U1451" s="132"/>
      <c r="V1451" s="152"/>
      <c r="W1451" s="136"/>
      <c r="X1451" s="249"/>
      <c r="Y1451" s="136"/>
      <c r="Z1451" s="132">
        <v>20</v>
      </c>
      <c r="AA1451" s="132"/>
      <c r="AB1451" s="132"/>
      <c r="AC1451" s="132"/>
      <c r="AD1451" s="250">
        <v>42856</v>
      </c>
      <c r="AE1451" s="130" t="s">
        <v>3885</v>
      </c>
    </row>
    <row r="1452" spans="1:31" ht="27" customHeight="1" x14ac:dyDescent="0.15">
      <c r="A1452" s="132">
        <v>1116508142</v>
      </c>
      <c r="B1452" s="130" t="s">
        <v>3933</v>
      </c>
      <c r="C1452" s="130" t="s">
        <v>3932</v>
      </c>
      <c r="D1452" s="243" t="s">
        <v>3934</v>
      </c>
      <c r="E1452" s="130" t="s">
        <v>3935</v>
      </c>
      <c r="F1452" s="132" t="s">
        <v>3936</v>
      </c>
      <c r="G1452" s="132" t="s">
        <v>4020</v>
      </c>
      <c r="H1452" s="132" t="s">
        <v>4020</v>
      </c>
      <c r="I1452" s="133"/>
      <c r="J1452" s="134"/>
      <c r="K1452" s="134"/>
      <c r="L1452" s="134"/>
      <c r="M1452" s="246" t="s">
        <v>3928</v>
      </c>
      <c r="N1452" s="279"/>
      <c r="O1452" s="247"/>
      <c r="P1452" s="132"/>
      <c r="Q1452" s="152"/>
      <c r="R1452" s="248"/>
      <c r="S1452" s="132"/>
      <c r="T1452" s="132"/>
      <c r="U1452" s="132"/>
      <c r="V1452" s="152"/>
      <c r="W1452" s="136"/>
      <c r="X1452" s="249">
        <v>6</v>
      </c>
      <c r="Y1452" s="136"/>
      <c r="Z1452" s="132"/>
      <c r="AA1452" s="132">
        <v>24</v>
      </c>
      <c r="AB1452" s="132"/>
      <c r="AC1452" s="132"/>
      <c r="AD1452" s="250">
        <v>42887</v>
      </c>
      <c r="AE1452" s="130" t="s">
        <v>4052</v>
      </c>
    </row>
    <row r="1453" spans="1:31" ht="27" customHeight="1" x14ac:dyDescent="0.15">
      <c r="A1453" s="132">
        <v>1116508308</v>
      </c>
      <c r="B1453" s="130" t="s">
        <v>4053</v>
      </c>
      <c r="C1453" s="130" t="s">
        <v>4045</v>
      </c>
      <c r="D1453" s="243" t="s">
        <v>48</v>
      </c>
      <c r="E1453" s="278" t="s">
        <v>5351</v>
      </c>
      <c r="F1453" s="277" t="s">
        <v>5352</v>
      </c>
      <c r="G1453" s="132" t="s">
        <v>4046</v>
      </c>
      <c r="H1453" s="132" t="s">
        <v>4047</v>
      </c>
      <c r="I1453" s="133"/>
      <c r="J1453" s="134"/>
      <c r="K1453" s="134"/>
      <c r="L1453" s="134"/>
      <c r="M1453" s="246" t="s">
        <v>4048</v>
      </c>
      <c r="N1453" s="279" t="s">
        <v>4048</v>
      </c>
      <c r="O1453" s="247"/>
      <c r="P1453" s="132"/>
      <c r="Q1453" s="152"/>
      <c r="R1453" s="248"/>
      <c r="S1453" s="132"/>
      <c r="T1453" s="132"/>
      <c r="U1453" s="132"/>
      <c r="V1453" s="152"/>
      <c r="W1453" s="136"/>
      <c r="X1453" s="249"/>
      <c r="Y1453" s="136"/>
      <c r="Z1453" s="132">
        <v>20</v>
      </c>
      <c r="AA1453" s="132"/>
      <c r="AB1453" s="132"/>
      <c r="AC1453" s="132"/>
      <c r="AD1453" s="250">
        <v>43009</v>
      </c>
      <c r="AE1453" s="130" t="s">
        <v>4049</v>
      </c>
    </row>
    <row r="1454" spans="1:31" ht="27" customHeight="1" x14ac:dyDescent="0.15">
      <c r="A1454" s="132">
        <v>1116508464</v>
      </c>
      <c r="B1454" s="130" t="s">
        <v>4224</v>
      </c>
      <c r="C1454" s="130" t="s">
        <v>4225</v>
      </c>
      <c r="D1454" s="243" t="s">
        <v>4226</v>
      </c>
      <c r="E1454" s="243" t="s">
        <v>4227</v>
      </c>
      <c r="F1454" s="132" t="s">
        <v>4228</v>
      </c>
      <c r="G1454" s="132" t="s">
        <v>4229</v>
      </c>
      <c r="H1454" s="132" t="s">
        <v>4230</v>
      </c>
      <c r="I1454" s="133"/>
      <c r="J1454" s="134"/>
      <c r="K1454" s="134"/>
      <c r="L1454" s="134"/>
      <c r="M1454" s="246" t="s">
        <v>4231</v>
      </c>
      <c r="N1454" s="279" t="s">
        <v>4231</v>
      </c>
      <c r="O1454" s="247"/>
      <c r="P1454" s="132"/>
      <c r="Q1454" s="152"/>
      <c r="R1454" s="248"/>
      <c r="S1454" s="132"/>
      <c r="T1454" s="132"/>
      <c r="U1454" s="132"/>
      <c r="V1454" s="152"/>
      <c r="W1454" s="136"/>
      <c r="X1454" s="249"/>
      <c r="Y1454" s="136"/>
      <c r="Z1454" s="132">
        <v>20</v>
      </c>
      <c r="AA1454" s="132"/>
      <c r="AB1454" s="132"/>
      <c r="AC1454" s="132"/>
      <c r="AD1454" s="250">
        <v>43101</v>
      </c>
      <c r="AE1454" s="130" t="s">
        <v>4232</v>
      </c>
    </row>
    <row r="1455" spans="1:31" ht="27" customHeight="1" x14ac:dyDescent="0.15">
      <c r="A1455" s="277">
        <v>1116508563</v>
      </c>
      <c r="B1455" s="278" t="s">
        <v>4403</v>
      </c>
      <c r="C1455" s="243" t="s">
        <v>4386</v>
      </c>
      <c r="D1455" s="243" t="s">
        <v>105</v>
      </c>
      <c r="E1455" s="243" t="s">
        <v>4405</v>
      </c>
      <c r="F1455" s="244" t="s">
        <v>4387</v>
      </c>
      <c r="G1455" s="277" t="s">
        <v>4388</v>
      </c>
      <c r="H1455" s="277" t="s">
        <v>5994</v>
      </c>
      <c r="I1455" s="133" t="s">
        <v>49</v>
      </c>
      <c r="J1455" s="134"/>
      <c r="K1455" s="134"/>
      <c r="L1455" s="134"/>
      <c r="M1455" s="134" t="s">
        <v>765</v>
      </c>
      <c r="N1455" s="135"/>
      <c r="O1455" s="136"/>
      <c r="P1455" s="132"/>
      <c r="Q1455" s="152"/>
      <c r="R1455" s="136">
        <v>2</v>
      </c>
      <c r="S1455" s="132"/>
      <c r="T1455" s="277">
        <v>20</v>
      </c>
      <c r="U1455" s="132"/>
      <c r="V1455" s="152"/>
      <c r="W1455" s="136"/>
      <c r="X1455" s="152"/>
      <c r="Y1455" s="136"/>
      <c r="Z1455" s="132"/>
      <c r="AA1455" s="132">
        <v>30</v>
      </c>
      <c r="AB1455" s="132"/>
      <c r="AC1455" s="132"/>
      <c r="AD1455" s="250">
        <v>43191</v>
      </c>
      <c r="AE1455" s="108" t="s">
        <v>4389</v>
      </c>
    </row>
    <row r="1456" spans="1:31" ht="27" customHeight="1" x14ac:dyDescent="0.15">
      <c r="A1456" s="277">
        <v>1116508639</v>
      </c>
      <c r="B1456" s="278" t="s">
        <v>3231</v>
      </c>
      <c r="C1456" s="243" t="s">
        <v>4408</v>
      </c>
      <c r="D1456" s="243" t="s">
        <v>105</v>
      </c>
      <c r="E1456" s="243" t="s">
        <v>4406</v>
      </c>
      <c r="F1456" s="244" t="s">
        <v>4391</v>
      </c>
      <c r="G1456" s="277" t="s">
        <v>4392</v>
      </c>
      <c r="H1456" s="277" t="s">
        <v>4393</v>
      </c>
      <c r="I1456" s="133"/>
      <c r="J1456" s="134"/>
      <c r="K1456" s="134"/>
      <c r="L1456" s="134"/>
      <c r="M1456" s="134" t="s">
        <v>765</v>
      </c>
      <c r="N1456" s="135" t="s">
        <v>765</v>
      </c>
      <c r="O1456" s="136"/>
      <c r="P1456" s="132"/>
      <c r="Q1456" s="152"/>
      <c r="R1456" s="136"/>
      <c r="S1456" s="132"/>
      <c r="T1456" s="277"/>
      <c r="U1456" s="132"/>
      <c r="V1456" s="152"/>
      <c r="W1456" s="136"/>
      <c r="X1456" s="152"/>
      <c r="Y1456" s="136"/>
      <c r="Z1456" s="132"/>
      <c r="AA1456" s="132">
        <v>20</v>
      </c>
      <c r="AB1456" s="132"/>
      <c r="AC1456" s="132"/>
      <c r="AD1456" s="250">
        <v>43191</v>
      </c>
      <c r="AE1456" s="108" t="s">
        <v>4394</v>
      </c>
    </row>
    <row r="1457" spans="1:31" ht="27" customHeight="1" x14ac:dyDescent="0.15">
      <c r="A1457" s="277">
        <v>1116508670</v>
      </c>
      <c r="B1457" s="278" t="s">
        <v>4404</v>
      </c>
      <c r="C1457" s="243" t="s">
        <v>4395</v>
      </c>
      <c r="D1457" s="243" t="s">
        <v>105</v>
      </c>
      <c r="E1457" s="243" t="s">
        <v>4407</v>
      </c>
      <c r="F1457" s="244" t="s">
        <v>4396</v>
      </c>
      <c r="G1457" s="277" t="s">
        <v>4397</v>
      </c>
      <c r="H1457" s="277" t="s">
        <v>4397</v>
      </c>
      <c r="I1457" s="133"/>
      <c r="J1457" s="134"/>
      <c r="K1457" s="134"/>
      <c r="L1457" s="134"/>
      <c r="M1457" s="134" t="s">
        <v>765</v>
      </c>
      <c r="N1457" s="135"/>
      <c r="O1457" s="136"/>
      <c r="P1457" s="132"/>
      <c r="Q1457" s="152"/>
      <c r="R1457" s="136">
        <v>5</v>
      </c>
      <c r="S1457" s="132"/>
      <c r="T1457" s="277">
        <v>30</v>
      </c>
      <c r="U1457" s="132"/>
      <c r="V1457" s="152"/>
      <c r="W1457" s="136"/>
      <c r="X1457" s="152"/>
      <c r="Y1457" s="136"/>
      <c r="Z1457" s="132"/>
      <c r="AA1457" s="132"/>
      <c r="AB1457" s="132"/>
      <c r="AC1457" s="132"/>
      <c r="AD1457" s="250">
        <v>43191</v>
      </c>
      <c r="AE1457" s="108" t="s">
        <v>4409</v>
      </c>
    </row>
    <row r="1458" spans="1:31" ht="27" customHeight="1" x14ac:dyDescent="0.15">
      <c r="A1458" s="105">
        <v>1116508712</v>
      </c>
      <c r="B1458" s="106" t="s">
        <v>4429</v>
      </c>
      <c r="C1458" s="107" t="s">
        <v>4424</v>
      </c>
      <c r="D1458" s="108" t="s">
        <v>105</v>
      </c>
      <c r="E1458" s="108" t="s">
        <v>4430</v>
      </c>
      <c r="F1458" s="139" t="s">
        <v>4425</v>
      </c>
      <c r="G1458" s="140" t="s">
        <v>4426</v>
      </c>
      <c r="H1458" s="140" t="s">
        <v>4427</v>
      </c>
      <c r="I1458" s="141"/>
      <c r="J1458" s="142"/>
      <c r="K1458" s="142"/>
      <c r="L1458" s="142"/>
      <c r="M1458" s="142" t="s">
        <v>765</v>
      </c>
      <c r="N1458" s="143"/>
      <c r="O1458" s="138"/>
      <c r="P1458" s="105"/>
      <c r="Q1458" s="137"/>
      <c r="R1458" s="138"/>
      <c r="S1458" s="105"/>
      <c r="T1458" s="105"/>
      <c r="U1458" s="105"/>
      <c r="V1458" s="137"/>
      <c r="W1458" s="138"/>
      <c r="X1458" s="137"/>
      <c r="Y1458" s="138"/>
      <c r="Z1458" s="105"/>
      <c r="AA1458" s="105"/>
      <c r="AB1458" s="132" t="s">
        <v>4428</v>
      </c>
      <c r="AC1458" s="132"/>
      <c r="AD1458" s="144">
        <v>43191</v>
      </c>
      <c r="AE1458" s="108" t="s">
        <v>4431</v>
      </c>
    </row>
    <row r="1459" spans="1:31" ht="27" customHeight="1" x14ac:dyDescent="0.15">
      <c r="A1459" s="105">
        <v>1116508779</v>
      </c>
      <c r="B1459" s="106" t="s">
        <v>5296</v>
      </c>
      <c r="C1459" s="107" t="s">
        <v>4465</v>
      </c>
      <c r="D1459" s="108" t="s">
        <v>105</v>
      </c>
      <c r="E1459" s="108" t="s">
        <v>4466</v>
      </c>
      <c r="F1459" s="139" t="s">
        <v>4467</v>
      </c>
      <c r="G1459" s="139" t="s">
        <v>4468</v>
      </c>
      <c r="H1459" s="140" t="s">
        <v>4469</v>
      </c>
      <c r="I1459" s="141"/>
      <c r="J1459" s="142"/>
      <c r="K1459" s="142"/>
      <c r="L1459" s="142"/>
      <c r="M1459" s="142" t="s">
        <v>765</v>
      </c>
      <c r="N1459" s="142" t="s">
        <v>765</v>
      </c>
      <c r="O1459" s="138"/>
      <c r="P1459" s="105"/>
      <c r="Q1459" s="137"/>
      <c r="R1459" s="138"/>
      <c r="S1459" s="105"/>
      <c r="T1459" s="105">
        <v>10</v>
      </c>
      <c r="U1459" s="105"/>
      <c r="V1459" s="137"/>
      <c r="W1459" s="138"/>
      <c r="X1459" s="137"/>
      <c r="Y1459" s="138"/>
      <c r="Z1459" s="105"/>
      <c r="AA1459" s="105">
        <v>10</v>
      </c>
      <c r="AB1459" s="132"/>
      <c r="AC1459" s="132"/>
      <c r="AD1459" s="144">
        <v>43221</v>
      </c>
      <c r="AE1459" s="108" t="s">
        <v>4470</v>
      </c>
    </row>
    <row r="1460" spans="1:31" ht="27" customHeight="1" x14ac:dyDescent="0.15">
      <c r="A1460" s="132">
        <v>1116508787</v>
      </c>
      <c r="B1460" s="106" t="s">
        <v>5297</v>
      </c>
      <c r="C1460" s="107" t="s">
        <v>4471</v>
      </c>
      <c r="D1460" s="108" t="s">
        <v>105</v>
      </c>
      <c r="E1460" s="108" t="s">
        <v>4472</v>
      </c>
      <c r="F1460" s="132" t="s">
        <v>4473</v>
      </c>
      <c r="G1460" s="132" t="s">
        <v>4474</v>
      </c>
      <c r="H1460" s="132" t="s">
        <v>4475</v>
      </c>
      <c r="I1460" s="141"/>
      <c r="J1460" s="142"/>
      <c r="K1460" s="142"/>
      <c r="L1460" s="142"/>
      <c r="M1460" s="142"/>
      <c r="N1460" s="143" t="s">
        <v>765</v>
      </c>
      <c r="O1460" s="138"/>
      <c r="P1460" s="105"/>
      <c r="Q1460" s="137"/>
      <c r="R1460" s="138"/>
      <c r="S1460" s="105"/>
      <c r="T1460" s="105"/>
      <c r="U1460" s="105"/>
      <c r="V1460" s="137"/>
      <c r="W1460" s="138"/>
      <c r="X1460" s="137"/>
      <c r="Y1460" s="138"/>
      <c r="Z1460" s="105"/>
      <c r="AA1460" s="105">
        <v>20</v>
      </c>
      <c r="AB1460" s="132"/>
      <c r="AC1460" s="132"/>
      <c r="AD1460" s="144">
        <v>43221</v>
      </c>
      <c r="AE1460" s="108" t="s">
        <v>4476</v>
      </c>
    </row>
    <row r="1461" spans="1:31" ht="27" customHeight="1" x14ac:dyDescent="0.15">
      <c r="A1461" s="105">
        <v>1116508829</v>
      </c>
      <c r="B1461" s="106" t="s">
        <v>5298</v>
      </c>
      <c r="C1461" s="107" t="s">
        <v>4512</v>
      </c>
      <c r="D1461" s="108" t="s">
        <v>105</v>
      </c>
      <c r="E1461" s="108" t="s">
        <v>4513</v>
      </c>
      <c r="F1461" s="139" t="s">
        <v>4514</v>
      </c>
      <c r="G1461" s="139" t="s">
        <v>4515</v>
      </c>
      <c r="H1461" s="140" t="s">
        <v>4516</v>
      </c>
      <c r="I1461" s="141"/>
      <c r="J1461" s="142"/>
      <c r="K1461" s="142"/>
      <c r="L1461" s="142"/>
      <c r="M1461" s="142"/>
      <c r="N1461" s="143" t="s">
        <v>765</v>
      </c>
      <c r="O1461" s="138"/>
      <c r="P1461" s="105"/>
      <c r="Q1461" s="137"/>
      <c r="R1461" s="138"/>
      <c r="S1461" s="105"/>
      <c r="T1461" s="105"/>
      <c r="U1461" s="105"/>
      <c r="V1461" s="137"/>
      <c r="W1461" s="138"/>
      <c r="X1461" s="137">
        <v>20</v>
      </c>
      <c r="Y1461" s="138"/>
      <c r="Z1461" s="105"/>
      <c r="AA1461" s="105"/>
      <c r="AB1461" s="144"/>
      <c r="AC1461" s="144"/>
      <c r="AD1461" s="144">
        <v>43252</v>
      </c>
      <c r="AE1461" s="108" t="s">
        <v>4517</v>
      </c>
    </row>
    <row r="1462" spans="1:31" ht="27" customHeight="1" x14ac:dyDescent="0.15">
      <c r="A1462" s="105">
        <v>1116508878</v>
      </c>
      <c r="B1462" s="106" t="s">
        <v>5299</v>
      </c>
      <c r="C1462" s="107" t="s">
        <v>4564</v>
      </c>
      <c r="D1462" s="108" t="s">
        <v>105</v>
      </c>
      <c r="E1462" s="108" t="s">
        <v>4565</v>
      </c>
      <c r="F1462" s="139" t="s">
        <v>4566</v>
      </c>
      <c r="G1462" s="139" t="s">
        <v>4567</v>
      </c>
      <c r="H1462" s="140" t="s">
        <v>4568</v>
      </c>
      <c r="I1462" s="141"/>
      <c r="J1462" s="142"/>
      <c r="K1462" s="142"/>
      <c r="L1462" s="142"/>
      <c r="M1462" s="142" t="s">
        <v>765</v>
      </c>
      <c r="N1462" s="143"/>
      <c r="O1462" s="138"/>
      <c r="P1462" s="105"/>
      <c r="Q1462" s="137"/>
      <c r="R1462" s="138"/>
      <c r="S1462" s="105"/>
      <c r="T1462" s="105">
        <v>20</v>
      </c>
      <c r="U1462" s="105"/>
      <c r="V1462" s="137"/>
      <c r="W1462" s="138"/>
      <c r="X1462" s="137"/>
      <c r="Y1462" s="138"/>
      <c r="Z1462" s="105"/>
      <c r="AA1462" s="105"/>
      <c r="AB1462" s="105"/>
      <c r="AC1462" s="105"/>
      <c r="AD1462" s="144">
        <v>43282</v>
      </c>
      <c r="AE1462" s="108" t="s">
        <v>4569</v>
      </c>
    </row>
    <row r="1463" spans="1:31" ht="27" customHeight="1" x14ac:dyDescent="0.15">
      <c r="A1463" s="105">
        <v>1116508936</v>
      </c>
      <c r="B1463" s="106" t="s">
        <v>5300</v>
      </c>
      <c r="C1463" s="107" t="s">
        <v>4570</v>
      </c>
      <c r="D1463" s="108" t="s">
        <v>105</v>
      </c>
      <c r="E1463" s="108" t="s">
        <v>4571</v>
      </c>
      <c r="F1463" s="139" t="s">
        <v>5243</v>
      </c>
      <c r="G1463" s="139" t="s">
        <v>4572</v>
      </c>
      <c r="H1463" s="139" t="s">
        <v>4572</v>
      </c>
      <c r="I1463" s="141" t="s">
        <v>765</v>
      </c>
      <c r="J1463" s="142" t="s">
        <v>765</v>
      </c>
      <c r="K1463" s="142" t="s">
        <v>765</v>
      </c>
      <c r="L1463" s="142" t="s">
        <v>765</v>
      </c>
      <c r="M1463" s="142" t="s">
        <v>765</v>
      </c>
      <c r="N1463" s="142" t="s">
        <v>765</v>
      </c>
      <c r="O1463" s="138" t="s">
        <v>765</v>
      </c>
      <c r="P1463" s="105"/>
      <c r="Q1463" s="137"/>
      <c r="R1463" s="138"/>
      <c r="S1463" s="105"/>
      <c r="T1463" s="105"/>
      <c r="U1463" s="105"/>
      <c r="V1463" s="137"/>
      <c r="W1463" s="138"/>
      <c r="X1463" s="137"/>
      <c r="Y1463" s="138"/>
      <c r="Z1463" s="105"/>
      <c r="AA1463" s="105">
        <v>20</v>
      </c>
      <c r="AB1463" s="105"/>
      <c r="AC1463" s="105"/>
      <c r="AD1463" s="144">
        <v>43282</v>
      </c>
      <c r="AE1463" s="108" t="s">
        <v>4573</v>
      </c>
    </row>
    <row r="1464" spans="1:31" ht="27" customHeight="1" x14ac:dyDescent="0.15">
      <c r="A1464" s="132">
        <v>1116508944</v>
      </c>
      <c r="B1464" s="106" t="s">
        <v>5438</v>
      </c>
      <c r="C1464" s="278" t="s">
        <v>5437</v>
      </c>
      <c r="D1464" s="108" t="s">
        <v>105</v>
      </c>
      <c r="E1464" s="108" t="s">
        <v>4574</v>
      </c>
      <c r="F1464" s="132" t="s">
        <v>4413</v>
      </c>
      <c r="G1464" s="132" t="s">
        <v>4575</v>
      </c>
      <c r="H1464" s="132" t="s">
        <v>4576</v>
      </c>
      <c r="I1464" s="141"/>
      <c r="J1464" s="142"/>
      <c r="K1464" s="142"/>
      <c r="L1464" s="142"/>
      <c r="M1464" s="142"/>
      <c r="N1464" s="143" t="s">
        <v>765</v>
      </c>
      <c r="O1464" s="138"/>
      <c r="P1464" s="105"/>
      <c r="Q1464" s="137"/>
      <c r="R1464" s="138"/>
      <c r="S1464" s="105"/>
      <c r="T1464" s="105"/>
      <c r="U1464" s="105"/>
      <c r="V1464" s="137"/>
      <c r="W1464" s="138"/>
      <c r="X1464" s="137">
        <v>20</v>
      </c>
      <c r="Y1464" s="138"/>
      <c r="Z1464" s="105"/>
      <c r="AA1464" s="105"/>
      <c r="AB1464" s="105"/>
      <c r="AC1464" s="105"/>
      <c r="AD1464" s="144">
        <v>43282</v>
      </c>
      <c r="AE1464" s="108" t="s">
        <v>4577</v>
      </c>
    </row>
    <row r="1465" spans="1:31" ht="27" customHeight="1" x14ac:dyDescent="0.15">
      <c r="A1465" s="105">
        <v>1116509025</v>
      </c>
      <c r="B1465" s="106" t="s">
        <v>5438</v>
      </c>
      <c r="C1465" s="278" t="s">
        <v>5439</v>
      </c>
      <c r="D1465" s="108" t="s">
        <v>105</v>
      </c>
      <c r="E1465" s="108" t="s">
        <v>4606</v>
      </c>
      <c r="F1465" s="139" t="s">
        <v>4607</v>
      </c>
      <c r="G1465" s="139" t="s">
        <v>4608</v>
      </c>
      <c r="H1465" s="139" t="s">
        <v>4609</v>
      </c>
      <c r="I1465" s="141"/>
      <c r="J1465" s="142" t="s">
        <v>765</v>
      </c>
      <c r="K1465" s="142" t="s">
        <v>765</v>
      </c>
      <c r="L1465" s="246" t="s">
        <v>49</v>
      </c>
      <c r="M1465" s="142" t="s">
        <v>765</v>
      </c>
      <c r="N1465" s="177" t="s">
        <v>765</v>
      </c>
      <c r="O1465" s="138" t="s">
        <v>765</v>
      </c>
      <c r="P1465" s="105"/>
      <c r="Q1465" s="137"/>
      <c r="R1465" s="138"/>
      <c r="S1465" s="105"/>
      <c r="T1465" s="105"/>
      <c r="U1465" s="105"/>
      <c r="V1465" s="137"/>
      <c r="W1465" s="138"/>
      <c r="X1465" s="116">
        <v>20</v>
      </c>
      <c r="Y1465" s="138"/>
      <c r="Z1465" s="105"/>
      <c r="AA1465" s="105"/>
      <c r="AB1465" s="144"/>
      <c r="AC1465" s="144"/>
      <c r="AD1465" s="144">
        <v>43313</v>
      </c>
      <c r="AE1465" s="108" t="s">
        <v>4610</v>
      </c>
    </row>
    <row r="1466" spans="1:31" ht="27" customHeight="1" x14ac:dyDescent="0.15">
      <c r="A1466" s="105">
        <v>1116509124</v>
      </c>
      <c r="B1466" s="130" t="s">
        <v>5514</v>
      </c>
      <c r="C1466" s="130" t="s">
        <v>4707</v>
      </c>
      <c r="D1466" s="108" t="s">
        <v>105</v>
      </c>
      <c r="E1466" s="108" t="s">
        <v>4708</v>
      </c>
      <c r="F1466" s="139" t="s">
        <v>4709</v>
      </c>
      <c r="G1466" s="105" t="s">
        <v>4710</v>
      </c>
      <c r="H1466" s="105" t="s">
        <v>4711</v>
      </c>
      <c r="I1466" s="141"/>
      <c r="J1466" s="142"/>
      <c r="K1466" s="142"/>
      <c r="L1466" s="142"/>
      <c r="M1466" s="142" t="s">
        <v>765</v>
      </c>
      <c r="N1466" s="154" t="s">
        <v>765</v>
      </c>
      <c r="O1466" s="138" t="s">
        <v>765</v>
      </c>
      <c r="P1466" s="105"/>
      <c r="Q1466" s="137"/>
      <c r="R1466" s="138"/>
      <c r="S1466" s="105"/>
      <c r="T1466" s="105"/>
      <c r="U1466" s="105"/>
      <c r="V1466" s="116"/>
      <c r="W1466" s="138"/>
      <c r="X1466" s="116"/>
      <c r="Y1466" s="138"/>
      <c r="Z1466" s="105"/>
      <c r="AA1466" s="105">
        <v>40</v>
      </c>
      <c r="AB1466" s="144"/>
      <c r="AC1466" s="144"/>
      <c r="AD1466" s="144">
        <v>43374</v>
      </c>
      <c r="AE1466" s="108" t="s">
        <v>6733</v>
      </c>
    </row>
    <row r="1467" spans="1:31" ht="27" customHeight="1" x14ac:dyDescent="0.15">
      <c r="A1467" s="105">
        <v>1116509132</v>
      </c>
      <c r="B1467" s="130" t="s">
        <v>5515</v>
      </c>
      <c r="C1467" s="130" t="s">
        <v>4712</v>
      </c>
      <c r="D1467" s="108" t="s">
        <v>105</v>
      </c>
      <c r="E1467" s="108" t="s">
        <v>4713</v>
      </c>
      <c r="F1467" s="139" t="s">
        <v>4714</v>
      </c>
      <c r="G1467" s="105" t="s">
        <v>3126</v>
      </c>
      <c r="H1467" s="105" t="s">
        <v>3127</v>
      </c>
      <c r="I1467" s="141" t="s">
        <v>765</v>
      </c>
      <c r="J1467" s="142" t="s">
        <v>765</v>
      </c>
      <c r="K1467" s="142" t="s">
        <v>765</v>
      </c>
      <c r="L1467" s="142" t="s">
        <v>765</v>
      </c>
      <c r="M1467" s="142" t="s">
        <v>765</v>
      </c>
      <c r="N1467" s="143" t="s">
        <v>765</v>
      </c>
      <c r="O1467" s="138" t="s">
        <v>765</v>
      </c>
      <c r="P1467" s="105"/>
      <c r="Q1467" s="137"/>
      <c r="R1467" s="138"/>
      <c r="S1467" s="105"/>
      <c r="T1467" s="105"/>
      <c r="U1467" s="105"/>
      <c r="V1467" s="137"/>
      <c r="W1467" s="138"/>
      <c r="X1467" s="137"/>
      <c r="Y1467" s="138"/>
      <c r="Z1467" s="105"/>
      <c r="AA1467" s="105"/>
      <c r="AB1467" s="144" t="s">
        <v>4731</v>
      </c>
      <c r="AC1467" s="144"/>
      <c r="AD1467" s="144">
        <v>43374</v>
      </c>
      <c r="AE1467" s="108" t="s">
        <v>4577</v>
      </c>
    </row>
    <row r="1468" spans="1:31" ht="27" customHeight="1" x14ac:dyDescent="0.15">
      <c r="A1468" s="105">
        <v>1116509140</v>
      </c>
      <c r="B1468" s="130" t="s">
        <v>5515</v>
      </c>
      <c r="C1468" s="130" t="s">
        <v>4715</v>
      </c>
      <c r="D1468" s="108" t="s">
        <v>105</v>
      </c>
      <c r="E1468" s="108" t="s">
        <v>4716</v>
      </c>
      <c r="F1468" s="139" t="s">
        <v>4717</v>
      </c>
      <c r="G1468" s="105" t="s">
        <v>4718</v>
      </c>
      <c r="H1468" s="105" t="s">
        <v>4719</v>
      </c>
      <c r="I1468" s="141" t="s">
        <v>765</v>
      </c>
      <c r="J1468" s="142" t="s">
        <v>765</v>
      </c>
      <c r="K1468" s="142" t="s">
        <v>765</v>
      </c>
      <c r="L1468" s="142" t="s">
        <v>765</v>
      </c>
      <c r="M1468" s="142" t="s">
        <v>765</v>
      </c>
      <c r="N1468" s="143" t="s">
        <v>765</v>
      </c>
      <c r="O1468" s="138" t="s">
        <v>765</v>
      </c>
      <c r="P1468" s="105"/>
      <c r="Q1468" s="137"/>
      <c r="R1468" s="138"/>
      <c r="S1468" s="105"/>
      <c r="T1468" s="105"/>
      <c r="U1468" s="105"/>
      <c r="V1468" s="137"/>
      <c r="W1468" s="138"/>
      <c r="X1468" s="137"/>
      <c r="Y1468" s="138"/>
      <c r="Z1468" s="105"/>
      <c r="AA1468" s="105"/>
      <c r="AB1468" s="144" t="s">
        <v>4731</v>
      </c>
      <c r="AC1468" s="144"/>
      <c r="AD1468" s="144">
        <v>43374</v>
      </c>
      <c r="AE1468" s="108" t="s">
        <v>4720</v>
      </c>
    </row>
    <row r="1469" spans="1:31" ht="27" customHeight="1" x14ac:dyDescent="0.15">
      <c r="A1469" s="105">
        <v>1116509157</v>
      </c>
      <c r="B1469" s="130" t="s">
        <v>5313</v>
      </c>
      <c r="C1469" s="130" t="s">
        <v>4721</v>
      </c>
      <c r="D1469" s="108" t="s">
        <v>105</v>
      </c>
      <c r="E1469" s="401" t="s">
        <v>7990</v>
      </c>
      <c r="F1469" s="384" t="s">
        <v>5912</v>
      </c>
      <c r="G1469" s="105" t="s">
        <v>4723</v>
      </c>
      <c r="H1469" s="105" t="s">
        <v>4724</v>
      </c>
      <c r="I1469" s="141" t="s">
        <v>765</v>
      </c>
      <c r="J1469" s="142" t="s">
        <v>765</v>
      </c>
      <c r="K1469" s="142" t="s">
        <v>765</v>
      </c>
      <c r="L1469" s="142" t="s">
        <v>765</v>
      </c>
      <c r="M1469" s="142" t="s">
        <v>765</v>
      </c>
      <c r="N1469" s="143" t="s">
        <v>765</v>
      </c>
      <c r="O1469" s="138" t="s">
        <v>765</v>
      </c>
      <c r="P1469" s="105"/>
      <c r="Q1469" s="137"/>
      <c r="R1469" s="138"/>
      <c r="S1469" s="105"/>
      <c r="T1469" s="105"/>
      <c r="U1469" s="105"/>
      <c r="V1469" s="137"/>
      <c r="W1469" s="138"/>
      <c r="X1469" s="137"/>
      <c r="Y1469" s="138"/>
      <c r="Z1469" s="105"/>
      <c r="AA1469" s="105"/>
      <c r="AB1469" s="144" t="s">
        <v>4731</v>
      </c>
      <c r="AC1469" s="144"/>
      <c r="AD1469" s="144">
        <v>43374</v>
      </c>
      <c r="AE1469" s="108" t="s">
        <v>4725</v>
      </c>
    </row>
    <row r="1470" spans="1:31" ht="27" customHeight="1" x14ac:dyDescent="0.15">
      <c r="A1470" s="105">
        <v>1116509165</v>
      </c>
      <c r="B1470" s="106" t="s">
        <v>5438</v>
      </c>
      <c r="C1470" s="107" t="s">
        <v>5435</v>
      </c>
      <c r="D1470" s="108" t="s">
        <v>105</v>
      </c>
      <c r="E1470" s="108" t="s">
        <v>4726</v>
      </c>
      <c r="F1470" s="139" t="s">
        <v>4727</v>
      </c>
      <c r="G1470" s="105" t="s">
        <v>3591</v>
      </c>
      <c r="H1470" s="105" t="s">
        <v>3592</v>
      </c>
      <c r="I1470" s="141" t="s">
        <v>765</v>
      </c>
      <c r="J1470" s="142" t="s">
        <v>765</v>
      </c>
      <c r="K1470" s="142" t="s">
        <v>765</v>
      </c>
      <c r="L1470" s="142" t="s">
        <v>765</v>
      </c>
      <c r="M1470" s="142" t="s">
        <v>765</v>
      </c>
      <c r="N1470" s="143" t="s">
        <v>765</v>
      </c>
      <c r="O1470" s="138" t="s">
        <v>765</v>
      </c>
      <c r="P1470" s="105"/>
      <c r="Q1470" s="137"/>
      <c r="R1470" s="138"/>
      <c r="S1470" s="105"/>
      <c r="T1470" s="105"/>
      <c r="U1470" s="105"/>
      <c r="V1470" s="137"/>
      <c r="W1470" s="138"/>
      <c r="X1470" s="137"/>
      <c r="Y1470" s="138"/>
      <c r="Z1470" s="105"/>
      <c r="AA1470" s="105"/>
      <c r="AB1470" s="144" t="s">
        <v>4731</v>
      </c>
      <c r="AC1470" s="144"/>
      <c r="AD1470" s="144">
        <v>43374</v>
      </c>
      <c r="AE1470" s="108" t="s">
        <v>4728</v>
      </c>
    </row>
    <row r="1471" spans="1:31" ht="27" customHeight="1" x14ac:dyDescent="0.15">
      <c r="A1471" s="277">
        <v>1116509173</v>
      </c>
      <c r="B1471" s="381" t="s">
        <v>11812</v>
      </c>
      <c r="C1471" s="243" t="s">
        <v>5282</v>
      </c>
      <c r="D1471" s="243" t="s">
        <v>105</v>
      </c>
      <c r="E1471" s="108" t="s">
        <v>4416</v>
      </c>
      <c r="F1471" s="139" t="s">
        <v>4413</v>
      </c>
      <c r="G1471" s="105" t="s">
        <v>4414</v>
      </c>
      <c r="H1471" s="105" t="s">
        <v>4415</v>
      </c>
      <c r="I1471" s="134" t="s">
        <v>49</v>
      </c>
      <c r="J1471" s="134" t="s">
        <v>49</v>
      </c>
      <c r="K1471" s="134" t="s">
        <v>49</v>
      </c>
      <c r="L1471" s="134" t="s">
        <v>49</v>
      </c>
      <c r="M1471" s="134" t="s">
        <v>49</v>
      </c>
      <c r="N1471" s="279" t="s">
        <v>49</v>
      </c>
      <c r="O1471" s="279" t="s">
        <v>49</v>
      </c>
      <c r="P1471" s="132"/>
      <c r="Q1471" s="152"/>
      <c r="R1471" s="136"/>
      <c r="S1471" s="132"/>
      <c r="T1471" s="132"/>
      <c r="U1471" s="132"/>
      <c r="V1471" s="152"/>
      <c r="W1471" s="136"/>
      <c r="X1471" s="152"/>
      <c r="Y1471" s="136"/>
      <c r="Z1471" s="277"/>
      <c r="AA1471" s="132"/>
      <c r="AB1471" s="132" t="s">
        <v>49</v>
      </c>
      <c r="AC1471" s="132"/>
      <c r="AD1471" s="144">
        <v>43374</v>
      </c>
      <c r="AE1471" s="108" t="s">
        <v>4417</v>
      </c>
    </row>
    <row r="1472" spans="1:31" ht="27" customHeight="1" x14ac:dyDescent="0.15">
      <c r="A1472" s="105">
        <v>1116509181</v>
      </c>
      <c r="B1472" s="278" t="s">
        <v>11814</v>
      </c>
      <c r="C1472" s="278" t="s">
        <v>10729</v>
      </c>
      <c r="D1472" s="243" t="s">
        <v>105</v>
      </c>
      <c r="E1472" s="382" t="s">
        <v>7927</v>
      </c>
      <c r="F1472" s="277" t="s">
        <v>4611</v>
      </c>
      <c r="G1472" s="139" t="s">
        <v>4729</v>
      </c>
      <c r="H1472" s="140" t="s">
        <v>4730</v>
      </c>
      <c r="I1472" s="142"/>
      <c r="J1472" s="142"/>
      <c r="K1472" s="142"/>
      <c r="L1472" s="142"/>
      <c r="M1472" s="142" t="s">
        <v>49</v>
      </c>
      <c r="N1472" s="142" t="s">
        <v>49</v>
      </c>
      <c r="O1472" s="138" t="s">
        <v>49</v>
      </c>
      <c r="P1472" s="105"/>
      <c r="Q1472" s="137"/>
      <c r="R1472" s="138"/>
      <c r="S1472" s="105"/>
      <c r="T1472" s="137"/>
      <c r="U1472" s="105"/>
      <c r="V1472" s="137"/>
      <c r="W1472" s="138"/>
      <c r="X1472" s="137"/>
      <c r="Y1472" s="138"/>
      <c r="Z1472" s="105"/>
      <c r="AA1472" s="105"/>
      <c r="AB1472" s="105" t="s">
        <v>49</v>
      </c>
      <c r="AC1472" s="105"/>
      <c r="AD1472" s="144">
        <v>43374</v>
      </c>
      <c r="AE1472" s="278" t="s">
        <v>6351</v>
      </c>
    </row>
    <row r="1473" spans="1:31" ht="27" customHeight="1" x14ac:dyDescent="0.15">
      <c r="A1473" s="105">
        <v>1116509199</v>
      </c>
      <c r="B1473" s="106" t="s">
        <v>5314</v>
      </c>
      <c r="C1473" s="107" t="s">
        <v>4732</v>
      </c>
      <c r="D1473" s="108" t="s">
        <v>105</v>
      </c>
      <c r="E1473" s="108" t="s">
        <v>4733</v>
      </c>
      <c r="F1473" s="139" t="s">
        <v>4611</v>
      </c>
      <c r="G1473" s="139" t="s">
        <v>4734</v>
      </c>
      <c r="H1473" s="139" t="s">
        <v>4735</v>
      </c>
      <c r="I1473" s="141"/>
      <c r="J1473" s="142"/>
      <c r="K1473" s="142"/>
      <c r="L1473" s="142"/>
      <c r="M1473" s="142" t="s">
        <v>765</v>
      </c>
      <c r="N1473" s="142" t="s">
        <v>765</v>
      </c>
      <c r="O1473" s="138" t="s">
        <v>765</v>
      </c>
      <c r="P1473" s="105"/>
      <c r="Q1473" s="137"/>
      <c r="R1473" s="138"/>
      <c r="S1473" s="105"/>
      <c r="T1473" s="105"/>
      <c r="U1473" s="105"/>
      <c r="V1473" s="137"/>
      <c r="W1473" s="138"/>
      <c r="X1473" s="137"/>
      <c r="Y1473" s="138"/>
      <c r="Z1473" s="105"/>
      <c r="AA1473" s="105"/>
      <c r="AB1473" s="144" t="s">
        <v>4731</v>
      </c>
      <c r="AC1473" s="144"/>
      <c r="AD1473" s="144">
        <v>43374</v>
      </c>
      <c r="AE1473" s="108" t="s">
        <v>4736</v>
      </c>
    </row>
    <row r="1474" spans="1:31" ht="27" customHeight="1" x14ac:dyDescent="0.15">
      <c r="A1474" s="132">
        <v>1116509207</v>
      </c>
      <c r="B1474" s="106" t="s">
        <v>5315</v>
      </c>
      <c r="C1474" s="107" t="s">
        <v>4737</v>
      </c>
      <c r="D1474" s="108" t="s">
        <v>105</v>
      </c>
      <c r="E1474" s="406" t="s">
        <v>9188</v>
      </c>
      <c r="F1474" s="391" t="s">
        <v>6925</v>
      </c>
      <c r="G1474" s="405" t="s">
        <v>9533</v>
      </c>
      <c r="H1474" s="132"/>
      <c r="I1474" s="141" t="s">
        <v>765</v>
      </c>
      <c r="J1474" s="142" t="s">
        <v>765</v>
      </c>
      <c r="K1474" s="142" t="s">
        <v>765</v>
      </c>
      <c r="L1474" s="142" t="s">
        <v>765</v>
      </c>
      <c r="M1474" s="142" t="s">
        <v>765</v>
      </c>
      <c r="N1474" s="143" t="s">
        <v>765</v>
      </c>
      <c r="O1474" s="138"/>
      <c r="P1474" s="105"/>
      <c r="Q1474" s="137"/>
      <c r="R1474" s="138"/>
      <c r="S1474" s="105"/>
      <c r="T1474" s="105"/>
      <c r="U1474" s="105"/>
      <c r="V1474" s="137"/>
      <c r="W1474" s="138"/>
      <c r="X1474" s="137"/>
      <c r="Y1474" s="138"/>
      <c r="Z1474" s="105"/>
      <c r="AA1474" s="105"/>
      <c r="AB1474" s="144" t="s">
        <v>4731</v>
      </c>
      <c r="AC1474" s="144"/>
      <c r="AD1474" s="144">
        <v>43374</v>
      </c>
      <c r="AE1474" s="108" t="s">
        <v>9189</v>
      </c>
    </row>
    <row r="1475" spans="1:31" ht="27" customHeight="1" x14ac:dyDescent="0.15">
      <c r="A1475" s="380">
        <v>1116509215</v>
      </c>
      <c r="B1475" s="381" t="s">
        <v>11992</v>
      </c>
      <c r="C1475" s="400" t="s">
        <v>10518</v>
      </c>
      <c r="D1475" s="383" t="s">
        <v>8162</v>
      </c>
      <c r="E1475" s="401" t="s">
        <v>8172</v>
      </c>
      <c r="F1475" s="402" t="s">
        <v>7181</v>
      </c>
      <c r="G1475" s="402" t="s">
        <v>8173</v>
      </c>
      <c r="H1475" s="403" t="s">
        <v>8173</v>
      </c>
      <c r="I1475" s="385"/>
      <c r="J1475" s="386"/>
      <c r="K1475" s="386"/>
      <c r="L1475" s="386"/>
      <c r="M1475" s="386"/>
      <c r="N1475" s="387" t="s">
        <v>8136</v>
      </c>
      <c r="O1475" s="388"/>
      <c r="P1475" s="380"/>
      <c r="Q1475" s="389"/>
      <c r="R1475" s="388"/>
      <c r="S1475" s="380"/>
      <c r="T1475" s="380"/>
      <c r="U1475" s="380"/>
      <c r="V1475" s="389"/>
      <c r="W1475" s="388"/>
      <c r="X1475" s="389"/>
      <c r="Y1475" s="388"/>
      <c r="Z1475" s="380"/>
      <c r="AA1475" s="380"/>
      <c r="AB1475" s="380" t="s">
        <v>8136</v>
      </c>
      <c r="AC1475" s="380"/>
      <c r="AD1475" s="390">
        <v>43344</v>
      </c>
      <c r="AE1475" s="401" t="s">
        <v>10519</v>
      </c>
    </row>
    <row r="1476" spans="1:31" ht="27" customHeight="1" x14ac:dyDescent="0.15">
      <c r="A1476" s="105">
        <v>1116509223</v>
      </c>
      <c r="B1476" s="106" t="s">
        <v>5316</v>
      </c>
      <c r="C1476" s="409" t="s">
        <v>9744</v>
      </c>
      <c r="D1476" s="108" t="s">
        <v>105</v>
      </c>
      <c r="E1476" s="108" t="s">
        <v>4740</v>
      </c>
      <c r="F1476" s="139" t="s">
        <v>4612</v>
      </c>
      <c r="G1476" s="140" t="s">
        <v>4741</v>
      </c>
      <c r="H1476" s="140" t="s">
        <v>4742</v>
      </c>
      <c r="I1476" s="141"/>
      <c r="J1476" s="142"/>
      <c r="K1476" s="142"/>
      <c r="L1476" s="142"/>
      <c r="M1476" s="142" t="s">
        <v>765</v>
      </c>
      <c r="N1476" s="143" t="s">
        <v>765</v>
      </c>
      <c r="O1476" s="138" t="s">
        <v>765</v>
      </c>
      <c r="P1476" s="105"/>
      <c r="Q1476" s="137"/>
      <c r="R1476" s="138"/>
      <c r="S1476" s="105"/>
      <c r="T1476" s="105"/>
      <c r="U1476" s="105"/>
      <c r="V1476" s="137"/>
      <c r="W1476" s="138"/>
      <c r="X1476" s="137"/>
      <c r="Y1476" s="138"/>
      <c r="Z1476" s="105"/>
      <c r="AA1476" s="105"/>
      <c r="AB1476" s="144" t="s">
        <v>4731</v>
      </c>
      <c r="AC1476" s="144"/>
      <c r="AD1476" s="144">
        <v>43374</v>
      </c>
      <c r="AE1476" s="108" t="s">
        <v>4738</v>
      </c>
    </row>
    <row r="1477" spans="1:31" ht="27" customHeight="1" x14ac:dyDescent="0.15">
      <c r="A1477" s="105">
        <v>1116509330</v>
      </c>
      <c r="B1477" s="130" t="s">
        <v>5317</v>
      </c>
      <c r="C1477" s="130" t="s">
        <v>4812</v>
      </c>
      <c r="D1477" s="108" t="s">
        <v>4813</v>
      </c>
      <c r="E1477" s="108" t="s">
        <v>4814</v>
      </c>
      <c r="F1477" s="139" t="s">
        <v>4815</v>
      </c>
      <c r="G1477" s="105" t="s">
        <v>4816</v>
      </c>
      <c r="H1477" s="105" t="s">
        <v>4817</v>
      </c>
      <c r="I1477" s="141" t="s">
        <v>765</v>
      </c>
      <c r="J1477" s="142" t="s">
        <v>765</v>
      </c>
      <c r="K1477" s="142" t="s">
        <v>765</v>
      </c>
      <c r="L1477" s="142" t="s">
        <v>765</v>
      </c>
      <c r="M1477" s="142" t="s">
        <v>765</v>
      </c>
      <c r="N1477" s="143" t="s">
        <v>765</v>
      </c>
      <c r="O1477" s="138" t="s">
        <v>765</v>
      </c>
      <c r="P1477" s="105"/>
      <c r="Q1477" s="137"/>
      <c r="R1477" s="138"/>
      <c r="S1477" s="105"/>
      <c r="T1477" s="105"/>
      <c r="U1477" s="105"/>
      <c r="V1477" s="137"/>
      <c r="W1477" s="138"/>
      <c r="X1477" s="137"/>
      <c r="Y1477" s="138"/>
      <c r="Z1477" s="105"/>
      <c r="AA1477" s="105"/>
      <c r="AB1477" s="144" t="s">
        <v>4819</v>
      </c>
      <c r="AC1477" s="144"/>
      <c r="AD1477" s="144">
        <v>43435</v>
      </c>
      <c r="AE1477" s="108" t="s">
        <v>4818</v>
      </c>
    </row>
    <row r="1478" spans="1:31" ht="27" customHeight="1" x14ac:dyDescent="0.15">
      <c r="A1478" s="132">
        <v>1116509561</v>
      </c>
      <c r="B1478" s="130" t="s">
        <v>5137</v>
      </c>
      <c r="C1478" s="130" t="s">
        <v>5128</v>
      </c>
      <c r="D1478" s="108" t="s">
        <v>105</v>
      </c>
      <c r="E1478" s="108" t="s">
        <v>9818</v>
      </c>
      <c r="F1478" s="140" t="s">
        <v>5131</v>
      </c>
      <c r="G1478" s="132" t="s">
        <v>5129</v>
      </c>
      <c r="H1478" s="132" t="s">
        <v>5132</v>
      </c>
      <c r="I1478" s="141"/>
      <c r="J1478" s="142"/>
      <c r="K1478" s="142"/>
      <c r="L1478" s="142"/>
      <c r="M1478" s="134" t="s">
        <v>49</v>
      </c>
      <c r="N1478" s="143"/>
      <c r="O1478" s="138"/>
      <c r="P1478" s="105"/>
      <c r="Q1478" s="137"/>
      <c r="R1478" s="138"/>
      <c r="S1478" s="105"/>
      <c r="T1478" s="105"/>
      <c r="U1478" s="105"/>
      <c r="V1478" s="137"/>
      <c r="W1478" s="138"/>
      <c r="X1478" s="137"/>
      <c r="Y1478" s="138"/>
      <c r="Z1478" s="105"/>
      <c r="AA1478" s="105">
        <v>20</v>
      </c>
      <c r="AB1478" s="105"/>
      <c r="AC1478" s="105"/>
      <c r="AD1478" s="144">
        <v>43556</v>
      </c>
      <c r="AE1478" s="361" t="s">
        <v>5130</v>
      </c>
    </row>
    <row r="1479" spans="1:31" ht="27" customHeight="1" x14ac:dyDescent="0.15">
      <c r="A1479" s="105">
        <v>1116509587</v>
      </c>
      <c r="B1479" s="130" t="s">
        <v>5138</v>
      </c>
      <c r="C1479" s="280" t="s">
        <v>5133</v>
      </c>
      <c r="D1479" s="108" t="s">
        <v>105</v>
      </c>
      <c r="E1479" s="108" t="s">
        <v>9811</v>
      </c>
      <c r="F1479" s="139" t="s">
        <v>5134</v>
      </c>
      <c r="G1479" s="105" t="s">
        <v>5135</v>
      </c>
      <c r="H1479" s="105" t="s">
        <v>43</v>
      </c>
      <c r="I1479" s="141" t="s">
        <v>765</v>
      </c>
      <c r="J1479" s="142" t="s">
        <v>765</v>
      </c>
      <c r="K1479" s="142" t="s">
        <v>765</v>
      </c>
      <c r="L1479" s="142" t="s">
        <v>765</v>
      </c>
      <c r="M1479" s="142" t="s">
        <v>765</v>
      </c>
      <c r="N1479" s="143" t="s">
        <v>765</v>
      </c>
      <c r="O1479" s="138" t="s">
        <v>765</v>
      </c>
      <c r="P1479" s="105">
        <v>60</v>
      </c>
      <c r="Q1479" s="137"/>
      <c r="R1479" s="138"/>
      <c r="S1479" s="105"/>
      <c r="T1479" s="105">
        <v>60</v>
      </c>
      <c r="U1479" s="105"/>
      <c r="V1479" s="137"/>
      <c r="W1479" s="138">
        <v>10</v>
      </c>
      <c r="X1479" s="137"/>
      <c r="Y1479" s="138"/>
      <c r="Z1479" s="105">
        <v>10</v>
      </c>
      <c r="AA1479" s="105">
        <v>30</v>
      </c>
      <c r="AB1479" s="105"/>
      <c r="AC1479" s="105"/>
      <c r="AD1479" s="144">
        <v>43556</v>
      </c>
      <c r="AE1479" s="108" t="s">
        <v>5136</v>
      </c>
    </row>
    <row r="1480" spans="1:31" ht="27" customHeight="1" x14ac:dyDescent="0.15">
      <c r="A1480" s="132">
        <v>1116509728</v>
      </c>
      <c r="B1480" s="130" t="s">
        <v>5318</v>
      </c>
      <c r="C1480" s="130" t="s">
        <v>5091</v>
      </c>
      <c r="D1480" s="108" t="s">
        <v>105</v>
      </c>
      <c r="E1480" s="130" t="s">
        <v>5092</v>
      </c>
      <c r="F1480" s="105" t="s">
        <v>2654</v>
      </c>
      <c r="G1480" s="105" t="s">
        <v>5093</v>
      </c>
      <c r="H1480" s="105" t="s">
        <v>5094</v>
      </c>
      <c r="I1480" s="141"/>
      <c r="J1480" s="142"/>
      <c r="K1480" s="142"/>
      <c r="L1480" s="142"/>
      <c r="M1480" s="142" t="s">
        <v>765</v>
      </c>
      <c r="N1480" s="143" t="s">
        <v>765</v>
      </c>
      <c r="O1480" s="138"/>
      <c r="P1480" s="105"/>
      <c r="Q1480" s="137"/>
      <c r="R1480" s="138"/>
      <c r="S1480" s="105"/>
      <c r="T1480" s="105"/>
      <c r="U1480" s="105"/>
      <c r="V1480" s="137"/>
      <c r="W1480" s="138"/>
      <c r="X1480" s="133">
        <v>20</v>
      </c>
      <c r="Y1480" s="138"/>
      <c r="Z1480" s="105"/>
      <c r="AA1480" s="105"/>
      <c r="AB1480" s="105"/>
      <c r="AC1480" s="105"/>
      <c r="AD1480" s="155" t="s">
        <v>5102</v>
      </c>
      <c r="AE1480" s="108" t="s">
        <v>5095</v>
      </c>
    </row>
    <row r="1481" spans="1:31" ht="27" customHeight="1" x14ac:dyDescent="0.15">
      <c r="A1481" s="132">
        <v>1116509736</v>
      </c>
      <c r="B1481" s="130" t="s">
        <v>5319</v>
      </c>
      <c r="C1481" s="130" t="s">
        <v>5096</v>
      </c>
      <c r="D1481" s="108" t="s">
        <v>105</v>
      </c>
      <c r="E1481" s="130" t="s">
        <v>5097</v>
      </c>
      <c r="F1481" s="105" t="s">
        <v>5098</v>
      </c>
      <c r="G1481" s="105" t="s">
        <v>5099</v>
      </c>
      <c r="H1481" s="105" t="s">
        <v>5100</v>
      </c>
      <c r="I1481" s="141"/>
      <c r="J1481" s="142"/>
      <c r="K1481" s="142"/>
      <c r="L1481" s="142"/>
      <c r="M1481" s="142" t="s">
        <v>765</v>
      </c>
      <c r="N1481" s="143" t="s">
        <v>765</v>
      </c>
      <c r="O1481" s="138" t="s">
        <v>765</v>
      </c>
      <c r="P1481" s="105"/>
      <c r="Q1481" s="137"/>
      <c r="R1481" s="138"/>
      <c r="S1481" s="105"/>
      <c r="T1481" s="105"/>
      <c r="U1481" s="105"/>
      <c r="V1481" s="133">
        <v>12</v>
      </c>
      <c r="W1481" s="138"/>
      <c r="X1481" s="133">
        <v>8</v>
      </c>
      <c r="Y1481" s="138"/>
      <c r="Z1481" s="105"/>
      <c r="AA1481" s="105"/>
      <c r="AB1481" s="105"/>
      <c r="AC1481" s="105"/>
      <c r="AD1481" s="155" t="s">
        <v>5102</v>
      </c>
      <c r="AE1481" s="108" t="s">
        <v>5101</v>
      </c>
    </row>
    <row r="1482" spans="1:31" ht="27" customHeight="1" x14ac:dyDescent="0.15">
      <c r="A1482" s="132">
        <v>1116509819</v>
      </c>
      <c r="B1482" s="130" t="s">
        <v>5281</v>
      </c>
      <c r="C1482" s="130" t="s">
        <v>5275</v>
      </c>
      <c r="D1482" s="108" t="s">
        <v>105</v>
      </c>
      <c r="E1482" s="130" t="s">
        <v>5276</v>
      </c>
      <c r="F1482" s="105" t="s">
        <v>5280</v>
      </c>
      <c r="G1482" s="105" t="s">
        <v>5277</v>
      </c>
      <c r="H1482" s="105" t="s">
        <v>5278</v>
      </c>
      <c r="I1482" s="141"/>
      <c r="J1482" s="142"/>
      <c r="K1482" s="142"/>
      <c r="L1482" s="142"/>
      <c r="M1482" s="142" t="s">
        <v>765</v>
      </c>
      <c r="N1482" s="143" t="s">
        <v>765</v>
      </c>
      <c r="O1482" s="138"/>
      <c r="P1482" s="105"/>
      <c r="Q1482" s="137"/>
      <c r="R1482" s="138"/>
      <c r="S1482" s="105"/>
      <c r="T1482" s="105"/>
      <c r="U1482" s="105"/>
      <c r="V1482" s="137"/>
      <c r="W1482" s="138"/>
      <c r="X1482" s="141"/>
      <c r="Y1482" s="138"/>
      <c r="Z1482" s="105"/>
      <c r="AA1482" s="105">
        <v>20</v>
      </c>
      <c r="AB1482" s="105"/>
      <c r="AC1482" s="105"/>
      <c r="AD1482" s="155">
        <v>43678</v>
      </c>
      <c r="AE1482" s="108" t="s">
        <v>5279</v>
      </c>
    </row>
    <row r="1483" spans="1:31" ht="27" customHeight="1" x14ac:dyDescent="0.15">
      <c r="A1483" s="105">
        <v>1116510007</v>
      </c>
      <c r="B1483" s="106" t="s">
        <v>5438</v>
      </c>
      <c r="C1483" s="107" t="s">
        <v>5439</v>
      </c>
      <c r="D1483" s="108" t="s">
        <v>105</v>
      </c>
      <c r="E1483" s="281" t="s">
        <v>5345</v>
      </c>
      <c r="F1483" s="139" t="s">
        <v>4607</v>
      </c>
      <c r="G1483" s="105" t="s">
        <v>4608</v>
      </c>
      <c r="H1483" s="105" t="s">
        <v>4609</v>
      </c>
      <c r="I1483" s="141"/>
      <c r="J1483" s="154" t="s">
        <v>765</v>
      </c>
      <c r="K1483" s="154" t="s">
        <v>765</v>
      </c>
      <c r="L1483" s="154" t="s">
        <v>765</v>
      </c>
      <c r="M1483" s="154" t="s">
        <v>765</v>
      </c>
      <c r="N1483" s="154" t="s">
        <v>765</v>
      </c>
      <c r="O1483" s="138" t="s">
        <v>765</v>
      </c>
      <c r="P1483" s="105"/>
      <c r="Q1483" s="137"/>
      <c r="R1483" s="138"/>
      <c r="S1483" s="105"/>
      <c r="T1483" s="105"/>
      <c r="U1483" s="105"/>
      <c r="V1483" s="137"/>
      <c r="W1483" s="138"/>
      <c r="X1483" s="137"/>
      <c r="Y1483" s="138"/>
      <c r="Z1483" s="105"/>
      <c r="AA1483" s="105"/>
      <c r="AB1483" s="105" t="s">
        <v>765</v>
      </c>
      <c r="AC1483" s="105"/>
      <c r="AD1483" s="155">
        <v>43739</v>
      </c>
      <c r="AE1483" s="108" t="s">
        <v>5341</v>
      </c>
    </row>
    <row r="1484" spans="1:31" ht="33" customHeight="1" x14ac:dyDescent="0.15">
      <c r="A1484" s="105">
        <v>1116510023</v>
      </c>
      <c r="B1484" s="106" t="s">
        <v>2037</v>
      </c>
      <c r="C1484" s="107" t="s">
        <v>2027</v>
      </c>
      <c r="D1484" s="108" t="s">
        <v>105</v>
      </c>
      <c r="E1484" s="108" t="s">
        <v>2044</v>
      </c>
      <c r="F1484" s="139" t="s">
        <v>6031</v>
      </c>
      <c r="G1484" s="139" t="s">
        <v>6032</v>
      </c>
      <c r="H1484" s="139" t="s">
        <v>6033</v>
      </c>
      <c r="I1484" s="141" t="s">
        <v>765</v>
      </c>
      <c r="J1484" s="142" t="s">
        <v>765</v>
      </c>
      <c r="K1484" s="142" t="s">
        <v>765</v>
      </c>
      <c r="L1484" s="142" t="s">
        <v>765</v>
      </c>
      <c r="M1484" s="142" t="s">
        <v>765</v>
      </c>
      <c r="N1484" s="143" t="s">
        <v>765</v>
      </c>
      <c r="O1484" s="138" t="s">
        <v>765</v>
      </c>
      <c r="P1484" s="105"/>
      <c r="Q1484" s="137"/>
      <c r="R1484" s="138"/>
      <c r="S1484" s="105"/>
      <c r="T1484" s="105"/>
      <c r="U1484" s="105"/>
      <c r="V1484" s="137"/>
      <c r="W1484" s="138"/>
      <c r="X1484" s="137"/>
      <c r="Y1484" s="138"/>
      <c r="Z1484" s="105"/>
      <c r="AA1484" s="105">
        <v>20</v>
      </c>
      <c r="AB1484" s="105"/>
      <c r="AC1484" s="105"/>
      <c r="AD1484" s="144">
        <v>41000</v>
      </c>
      <c r="AE1484" s="108" t="s">
        <v>2040</v>
      </c>
    </row>
    <row r="1485" spans="1:31" ht="27" customHeight="1" x14ac:dyDescent="0.15">
      <c r="A1485" s="411">
        <v>1116510049</v>
      </c>
      <c r="B1485" s="339" t="s">
        <v>585</v>
      </c>
      <c r="C1485" s="364" t="s">
        <v>586</v>
      </c>
      <c r="D1485" s="214" t="s">
        <v>587</v>
      </c>
      <c r="E1485" s="108" t="s">
        <v>588</v>
      </c>
      <c r="F1485" s="412">
        <v>3360911</v>
      </c>
      <c r="G1485" s="284" t="s">
        <v>589</v>
      </c>
      <c r="H1485" s="285" t="s">
        <v>2521</v>
      </c>
      <c r="I1485" s="413"/>
      <c r="J1485" s="414"/>
      <c r="K1485" s="414"/>
      <c r="L1485" s="414"/>
      <c r="M1485" s="287" t="s">
        <v>242</v>
      </c>
      <c r="N1485" s="289"/>
      <c r="O1485" s="226"/>
      <c r="P1485" s="285">
        <v>50</v>
      </c>
      <c r="Q1485" s="224" t="s">
        <v>49</v>
      </c>
      <c r="R1485" s="226">
        <v>5</v>
      </c>
      <c r="S1485" s="285"/>
      <c r="T1485" s="285">
        <v>50</v>
      </c>
      <c r="U1485" s="285"/>
      <c r="V1485" s="284"/>
      <c r="W1485" s="397"/>
      <c r="X1485" s="393"/>
      <c r="Y1485" s="415"/>
      <c r="Z1485" s="285"/>
      <c r="AA1485" s="398"/>
      <c r="AB1485" s="398"/>
      <c r="AC1485" s="398"/>
      <c r="AD1485" s="399">
        <v>40087</v>
      </c>
      <c r="AE1485" s="214" t="s">
        <v>6152</v>
      </c>
    </row>
    <row r="1486" spans="1:31" ht="27" customHeight="1" x14ac:dyDescent="0.15">
      <c r="A1486" s="380">
        <v>1116510056</v>
      </c>
      <c r="B1486" s="382" t="s">
        <v>12019</v>
      </c>
      <c r="C1486" s="382" t="s">
        <v>8161</v>
      </c>
      <c r="D1486" s="383" t="s">
        <v>8162</v>
      </c>
      <c r="E1486" s="401" t="s">
        <v>9802</v>
      </c>
      <c r="F1486" s="384" t="s">
        <v>8163</v>
      </c>
      <c r="G1486" s="402" t="s">
        <v>4426</v>
      </c>
      <c r="H1486" s="402" t="s">
        <v>4427</v>
      </c>
      <c r="I1486" s="385"/>
      <c r="J1486" s="386"/>
      <c r="K1486" s="386"/>
      <c r="L1486" s="386"/>
      <c r="M1486" s="386" t="s">
        <v>8136</v>
      </c>
      <c r="N1486" s="387"/>
      <c r="O1486" s="388"/>
      <c r="P1486" s="380"/>
      <c r="Q1486" s="389"/>
      <c r="R1486" s="388"/>
      <c r="S1486" s="380"/>
      <c r="T1486" s="380"/>
      <c r="U1486" s="380"/>
      <c r="V1486" s="389">
        <v>6</v>
      </c>
      <c r="W1486" s="388"/>
      <c r="X1486" s="389">
        <v>18</v>
      </c>
      <c r="Y1486" s="388"/>
      <c r="Z1486" s="384"/>
      <c r="AA1486" s="384">
        <v>30</v>
      </c>
      <c r="AB1486" s="384"/>
      <c r="AC1486" s="384"/>
      <c r="AD1486" s="144">
        <v>39904</v>
      </c>
      <c r="AE1486" s="382" t="s">
        <v>9079</v>
      </c>
    </row>
    <row r="1487" spans="1:31" ht="27" customHeight="1" x14ac:dyDescent="0.15">
      <c r="A1487" s="105">
        <v>1116510064</v>
      </c>
      <c r="B1487" s="106" t="s">
        <v>1408</v>
      </c>
      <c r="C1487" s="107" t="s">
        <v>1400</v>
      </c>
      <c r="D1487" s="108" t="s">
        <v>3873</v>
      </c>
      <c r="E1487" s="108" t="s">
        <v>1401</v>
      </c>
      <c r="F1487" s="139" t="s">
        <v>5929</v>
      </c>
      <c r="G1487" s="139" t="s">
        <v>4477</v>
      </c>
      <c r="H1487" s="139" t="s">
        <v>4478</v>
      </c>
      <c r="I1487" s="141"/>
      <c r="J1487" s="142"/>
      <c r="K1487" s="142"/>
      <c r="L1487" s="142"/>
      <c r="M1487" s="142" t="s">
        <v>765</v>
      </c>
      <c r="N1487" s="143"/>
      <c r="O1487" s="138"/>
      <c r="P1487" s="105"/>
      <c r="Q1487" s="137"/>
      <c r="R1487" s="138"/>
      <c r="S1487" s="105"/>
      <c r="T1487" s="105"/>
      <c r="U1487" s="105"/>
      <c r="V1487" s="137"/>
      <c r="W1487" s="138"/>
      <c r="X1487" s="137"/>
      <c r="Y1487" s="138"/>
      <c r="Z1487" s="105"/>
      <c r="AA1487" s="105">
        <v>40</v>
      </c>
      <c r="AB1487" s="105"/>
      <c r="AC1487" s="105"/>
      <c r="AD1487" s="144">
        <v>41365</v>
      </c>
      <c r="AE1487" s="108" t="s">
        <v>1402</v>
      </c>
    </row>
    <row r="1488" spans="1:31" s="190" customFormat="1" ht="27" customHeight="1" x14ac:dyDescent="0.15">
      <c r="A1488" s="105">
        <v>1116510114</v>
      </c>
      <c r="B1488" s="106" t="s">
        <v>2037</v>
      </c>
      <c r="C1488" s="107" t="s">
        <v>2028</v>
      </c>
      <c r="D1488" s="108" t="s">
        <v>105</v>
      </c>
      <c r="E1488" s="108" t="s">
        <v>2044</v>
      </c>
      <c r="F1488" s="139" t="s">
        <v>6031</v>
      </c>
      <c r="G1488" s="139" t="s">
        <v>6034</v>
      </c>
      <c r="H1488" s="139" t="s">
        <v>6035</v>
      </c>
      <c r="I1488" s="141" t="s">
        <v>765</v>
      </c>
      <c r="J1488" s="142" t="s">
        <v>765</v>
      </c>
      <c r="K1488" s="142" t="s">
        <v>765</v>
      </c>
      <c r="L1488" s="142" t="s">
        <v>765</v>
      </c>
      <c r="M1488" s="142" t="s">
        <v>765</v>
      </c>
      <c r="N1488" s="143" t="s">
        <v>765</v>
      </c>
      <c r="O1488" s="138" t="s">
        <v>765</v>
      </c>
      <c r="P1488" s="105"/>
      <c r="Q1488" s="137"/>
      <c r="R1488" s="138"/>
      <c r="S1488" s="105"/>
      <c r="T1488" s="105">
        <v>40</v>
      </c>
      <c r="U1488" s="105"/>
      <c r="V1488" s="137"/>
      <c r="W1488" s="138"/>
      <c r="X1488" s="137"/>
      <c r="Y1488" s="138"/>
      <c r="Z1488" s="105"/>
      <c r="AA1488" s="105"/>
      <c r="AB1488" s="105"/>
      <c r="AC1488" s="105"/>
      <c r="AD1488" s="144">
        <v>41000</v>
      </c>
      <c r="AE1488" s="108" t="s">
        <v>2040</v>
      </c>
    </row>
    <row r="1489" spans="1:31" ht="27" customHeight="1" x14ac:dyDescent="0.15">
      <c r="A1489" s="105">
        <v>1116510122</v>
      </c>
      <c r="B1489" s="106" t="s">
        <v>441</v>
      </c>
      <c r="C1489" s="107" t="s">
        <v>4521</v>
      </c>
      <c r="D1489" s="108" t="s">
        <v>3873</v>
      </c>
      <c r="E1489" s="108" t="s">
        <v>4522</v>
      </c>
      <c r="F1489" s="139">
        <v>3380014</v>
      </c>
      <c r="G1489" s="140" t="s">
        <v>4523</v>
      </c>
      <c r="H1489" s="140" t="s">
        <v>4524</v>
      </c>
      <c r="I1489" s="141" t="s">
        <v>765</v>
      </c>
      <c r="J1489" s="142" t="s">
        <v>765</v>
      </c>
      <c r="K1489" s="142" t="s">
        <v>765</v>
      </c>
      <c r="L1489" s="142" t="s">
        <v>765</v>
      </c>
      <c r="M1489" s="142" t="s">
        <v>765</v>
      </c>
      <c r="N1489" s="143" t="s">
        <v>765</v>
      </c>
      <c r="O1489" s="138" t="s">
        <v>765</v>
      </c>
      <c r="P1489" s="105"/>
      <c r="Q1489" s="137"/>
      <c r="R1489" s="138"/>
      <c r="S1489" s="105"/>
      <c r="T1489" s="105">
        <v>40</v>
      </c>
      <c r="U1489" s="105"/>
      <c r="V1489" s="137"/>
      <c r="W1489" s="138"/>
      <c r="X1489" s="137"/>
      <c r="Y1489" s="138"/>
      <c r="Z1489" s="105"/>
      <c r="AA1489" s="105">
        <v>20</v>
      </c>
      <c r="AB1489" s="105"/>
      <c r="AC1489" s="105"/>
      <c r="AD1489" s="144">
        <v>39904</v>
      </c>
      <c r="AE1489" s="108" t="s">
        <v>10208</v>
      </c>
    </row>
    <row r="1490" spans="1:31" ht="27" customHeight="1" x14ac:dyDescent="0.15">
      <c r="A1490" s="132">
        <v>1116510148</v>
      </c>
      <c r="B1490" s="130" t="s">
        <v>388</v>
      </c>
      <c r="C1490" s="416" t="s">
        <v>389</v>
      </c>
      <c r="D1490" s="243" t="s">
        <v>105</v>
      </c>
      <c r="E1490" s="280" t="s">
        <v>129</v>
      </c>
      <c r="F1490" s="131">
        <v>3380834</v>
      </c>
      <c r="G1490" s="132" t="s">
        <v>50</v>
      </c>
      <c r="H1490" s="132" t="s">
        <v>51</v>
      </c>
      <c r="I1490" s="116"/>
      <c r="J1490" s="154"/>
      <c r="K1490" s="154"/>
      <c r="L1490" s="154"/>
      <c r="M1490" s="134" t="s">
        <v>242</v>
      </c>
      <c r="N1490" s="143"/>
      <c r="O1490" s="138"/>
      <c r="P1490" s="132">
        <v>50</v>
      </c>
      <c r="Q1490" s="152" t="s">
        <v>2610</v>
      </c>
      <c r="R1490" s="136">
        <v>5</v>
      </c>
      <c r="S1490" s="132"/>
      <c r="T1490" s="132">
        <v>70</v>
      </c>
      <c r="U1490" s="132"/>
      <c r="V1490" s="152"/>
      <c r="W1490" s="136"/>
      <c r="X1490" s="133"/>
      <c r="Y1490" s="242"/>
      <c r="Z1490" s="132"/>
      <c r="AA1490" s="132"/>
      <c r="AB1490" s="132"/>
      <c r="AC1490" s="132"/>
      <c r="AD1490" s="118">
        <v>39539</v>
      </c>
      <c r="AE1490" s="108" t="s">
        <v>6153</v>
      </c>
    </row>
    <row r="1491" spans="1:31" ht="27" customHeight="1" x14ac:dyDescent="0.15">
      <c r="A1491" s="150">
        <v>1116510155</v>
      </c>
      <c r="B1491" s="130" t="s">
        <v>585</v>
      </c>
      <c r="C1491" s="107" t="s">
        <v>590</v>
      </c>
      <c r="D1491" s="108" t="s">
        <v>587</v>
      </c>
      <c r="E1491" s="108" t="s">
        <v>2493</v>
      </c>
      <c r="F1491" s="151">
        <v>3360911</v>
      </c>
      <c r="G1491" s="132" t="s">
        <v>591</v>
      </c>
      <c r="H1491" s="132" t="s">
        <v>2521</v>
      </c>
      <c r="I1491" s="116"/>
      <c r="J1491" s="154"/>
      <c r="K1491" s="154"/>
      <c r="L1491" s="154"/>
      <c r="M1491" s="134" t="s">
        <v>242</v>
      </c>
      <c r="N1491" s="143"/>
      <c r="O1491" s="138"/>
      <c r="P1491" s="132">
        <v>30</v>
      </c>
      <c r="Q1491" s="137"/>
      <c r="R1491" s="138">
        <v>4</v>
      </c>
      <c r="S1491" s="132"/>
      <c r="T1491" s="132">
        <v>40</v>
      </c>
      <c r="U1491" s="132"/>
      <c r="V1491" s="152"/>
      <c r="W1491" s="136"/>
      <c r="X1491" s="249"/>
      <c r="Y1491" s="136"/>
      <c r="Z1491" s="132"/>
      <c r="AA1491" s="277"/>
      <c r="AB1491" s="277"/>
      <c r="AC1491" s="277"/>
      <c r="AD1491" s="144">
        <v>40087</v>
      </c>
      <c r="AE1491" s="108" t="s">
        <v>6154</v>
      </c>
    </row>
    <row r="1492" spans="1:31" ht="27" customHeight="1" x14ac:dyDescent="0.15">
      <c r="A1492" s="277">
        <v>1116510163</v>
      </c>
      <c r="B1492" s="278" t="s">
        <v>442</v>
      </c>
      <c r="C1492" s="243" t="s">
        <v>229</v>
      </c>
      <c r="D1492" s="243" t="s">
        <v>105</v>
      </c>
      <c r="E1492" s="278" t="s">
        <v>230</v>
      </c>
      <c r="F1492" s="244">
        <v>3370014</v>
      </c>
      <c r="G1492" s="277" t="s">
        <v>52</v>
      </c>
      <c r="H1492" s="277" t="s">
        <v>53</v>
      </c>
      <c r="I1492" s="116" t="s">
        <v>289</v>
      </c>
      <c r="J1492" s="154" t="s">
        <v>289</v>
      </c>
      <c r="K1492" s="154" t="s">
        <v>289</v>
      </c>
      <c r="L1492" s="154" t="s">
        <v>289</v>
      </c>
      <c r="M1492" s="154" t="s">
        <v>289</v>
      </c>
      <c r="N1492" s="143" t="s">
        <v>289</v>
      </c>
      <c r="O1492" s="138" t="s">
        <v>2170</v>
      </c>
      <c r="P1492" s="277"/>
      <c r="Q1492" s="152"/>
      <c r="R1492" s="136"/>
      <c r="S1492" s="132"/>
      <c r="T1492" s="132"/>
      <c r="U1492" s="132"/>
      <c r="V1492" s="152"/>
      <c r="W1492" s="136"/>
      <c r="X1492" s="249">
        <v>18</v>
      </c>
      <c r="Y1492" s="136"/>
      <c r="Z1492" s="132"/>
      <c r="AA1492" s="277">
        <v>42</v>
      </c>
      <c r="AB1492" s="277"/>
      <c r="AC1492" s="277"/>
      <c r="AD1492" s="250">
        <v>39722</v>
      </c>
      <c r="AE1492" s="108" t="s">
        <v>122</v>
      </c>
    </row>
    <row r="1493" spans="1:31" ht="27" customHeight="1" x14ac:dyDescent="0.15">
      <c r="A1493" s="277">
        <v>1116510189</v>
      </c>
      <c r="B1493" s="278" t="s">
        <v>227</v>
      </c>
      <c r="C1493" s="243" t="s">
        <v>232</v>
      </c>
      <c r="D1493" s="243" t="s">
        <v>105</v>
      </c>
      <c r="E1493" s="243" t="s">
        <v>107</v>
      </c>
      <c r="F1493" s="244">
        <v>3370011</v>
      </c>
      <c r="G1493" s="277" t="s">
        <v>233</v>
      </c>
      <c r="H1493" s="277" t="s">
        <v>54</v>
      </c>
      <c r="I1493" s="245"/>
      <c r="J1493" s="246"/>
      <c r="K1493" s="246"/>
      <c r="L1493" s="246"/>
      <c r="M1493" s="134" t="s">
        <v>251</v>
      </c>
      <c r="N1493" s="279"/>
      <c r="O1493" s="247"/>
      <c r="P1493" s="132"/>
      <c r="Q1493" s="152"/>
      <c r="R1493" s="136"/>
      <c r="S1493" s="132"/>
      <c r="T1493" s="277">
        <v>77</v>
      </c>
      <c r="U1493" s="132"/>
      <c r="V1493" s="249">
        <v>10</v>
      </c>
      <c r="W1493" s="136"/>
      <c r="X1493" s="152"/>
      <c r="Y1493" s="136"/>
      <c r="Z1493" s="132"/>
      <c r="AA1493" s="132"/>
      <c r="AB1493" s="132"/>
      <c r="AC1493" s="132"/>
      <c r="AD1493" s="250">
        <v>38991</v>
      </c>
      <c r="AE1493" s="108" t="s">
        <v>235</v>
      </c>
    </row>
    <row r="1494" spans="1:31" ht="27" customHeight="1" x14ac:dyDescent="0.15">
      <c r="A1494" s="105">
        <v>1116510197</v>
      </c>
      <c r="B1494" s="106" t="s">
        <v>227</v>
      </c>
      <c r="C1494" s="107" t="s">
        <v>6036</v>
      </c>
      <c r="D1494" s="108" t="s">
        <v>105</v>
      </c>
      <c r="E1494" s="108" t="s">
        <v>106</v>
      </c>
      <c r="F1494" s="139">
        <v>3310064</v>
      </c>
      <c r="G1494" s="139" t="s">
        <v>228</v>
      </c>
      <c r="H1494" s="139" t="s">
        <v>6037</v>
      </c>
      <c r="I1494" s="141"/>
      <c r="J1494" s="142"/>
      <c r="K1494" s="142"/>
      <c r="L1494" s="142"/>
      <c r="M1494" s="142" t="s">
        <v>765</v>
      </c>
      <c r="N1494" s="143"/>
      <c r="O1494" s="138"/>
      <c r="P1494" s="105"/>
      <c r="Q1494" s="137"/>
      <c r="R1494" s="138"/>
      <c r="S1494" s="105"/>
      <c r="T1494" s="105">
        <v>20</v>
      </c>
      <c r="U1494" s="105"/>
      <c r="V1494" s="137"/>
      <c r="W1494" s="138"/>
      <c r="X1494" s="137"/>
      <c r="Y1494" s="138"/>
      <c r="Z1494" s="105"/>
      <c r="AA1494" s="105"/>
      <c r="AB1494" s="105"/>
      <c r="AC1494" s="105"/>
      <c r="AD1494" s="144">
        <v>38991</v>
      </c>
      <c r="AE1494" s="108" t="s">
        <v>231</v>
      </c>
    </row>
    <row r="1495" spans="1:31" ht="27" customHeight="1" x14ac:dyDescent="0.15">
      <c r="A1495" s="132">
        <v>1116510213</v>
      </c>
      <c r="B1495" s="130" t="s">
        <v>1476</v>
      </c>
      <c r="C1495" s="416" t="s">
        <v>1477</v>
      </c>
      <c r="D1495" s="243" t="s">
        <v>105</v>
      </c>
      <c r="E1495" s="108" t="s">
        <v>1478</v>
      </c>
      <c r="F1495" s="131">
        <v>3390018</v>
      </c>
      <c r="G1495" s="132" t="s">
        <v>1479</v>
      </c>
      <c r="H1495" s="132" t="s">
        <v>1480</v>
      </c>
      <c r="I1495" s="116"/>
      <c r="J1495" s="154"/>
      <c r="K1495" s="154"/>
      <c r="L1495" s="154"/>
      <c r="M1495" s="154" t="s">
        <v>49</v>
      </c>
      <c r="N1495" s="143"/>
      <c r="O1495" s="138"/>
      <c r="P1495" s="132">
        <v>50</v>
      </c>
      <c r="Q1495" s="152" t="s">
        <v>49</v>
      </c>
      <c r="R1495" s="136">
        <v>2</v>
      </c>
      <c r="S1495" s="132"/>
      <c r="T1495" s="132">
        <v>60</v>
      </c>
      <c r="U1495" s="132"/>
      <c r="V1495" s="152"/>
      <c r="W1495" s="136"/>
      <c r="X1495" s="152"/>
      <c r="Y1495" s="136"/>
      <c r="Z1495" s="132"/>
      <c r="AA1495" s="132"/>
      <c r="AB1495" s="132"/>
      <c r="AC1495" s="132"/>
      <c r="AD1495" s="239">
        <v>40787</v>
      </c>
      <c r="AE1495" s="108" t="s">
        <v>6155</v>
      </c>
    </row>
    <row r="1496" spans="1:31" ht="27" customHeight="1" x14ac:dyDescent="0.15">
      <c r="A1496" s="105">
        <v>1116510221</v>
      </c>
      <c r="B1496" s="106" t="s">
        <v>443</v>
      </c>
      <c r="C1496" s="107" t="s">
        <v>4518</v>
      </c>
      <c r="D1496" s="108" t="s">
        <v>105</v>
      </c>
      <c r="E1496" s="108" t="s">
        <v>128</v>
      </c>
      <c r="F1496" s="139">
        <v>3390034</v>
      </c>
      <c r="G1496" s="139" t="s">
        <v>4519</v>
      </c>
      <c r="H1496" s="139" t="s">
        <v>4520</v>
      </c>
      <c r="I1496" s="141" t="s">
        <v>765</v>
      </c>
      <c r="J1496" s="142" t="s">
        <v>765</v>
      </c>
      <c r="K1496" s="142" t="s">
        <v>765</v>
      </c>
      <c r="L1496" s="142" t="s">
        <v>765</v>
      </c>
      <c r="M1496" s="142" t="s">
        <v>765</v>
      </c>
      <c r="N1496" s="143" t="s">
        <v>765</v>
      </c>
      <c r="O1496" s="138"/>
      <c r="P1496" s="105">
        <v>50</v>
      </c>
      <c r="Q1496" s="152" t="s">
        <v>2610</v>
      </c>
      <c r="R1496" s="138">
        <v>10</v>
      </c>
      <c r="S1496" s="105"/>
      <c r="T1496" s="105">
        <v>60</v>
      </c>
      <c r="U1496" s="105"/>
      <c r="V1496" s="137"/>
      <c r="W1496" s="138"/>
      <c r="X1496" s="137"/>
      <c r="Y1496" s="138"/>
      <c r="Z1496" s="105"/>
      <c r="AA1496" s="417"/>
      <c r="AB1496" s="105"/>
      <c r="AC1496" s="105"/>
      <c r="AD1496" s="144">
        <v>39508</v>
      </c>
      <c r="AE1496" s="108" t="s">
        <v>6156</v>
      </c>
    </row>
    <row r="1497" spans="1:31" ht="27" customHeight="1" x14ac:dyDescent="0.15">
      <c r="A1497" s="418">
        <v>1116510239</v>
      </c>
      <c r="B1497" s="419" t="s">
        <v>362</v>
      </c>
      <c r="C1497" s="420" t="s">
        <v>363</v>
      </c>
      <c r="D1497" s="420" t="s">
        <v>105</v>
      </c>
      <c r="E1497" s="420" t="s">
        <v>109</v>
      </c>
      <c r="F1497" s="421">
        <v>3360015</v>
      </c>
      <c r="G1497" s="418" t="s">
        <v>364</v>
      </c>
      <c r="H1497" s="418" t="s">
        <v>55</v>
      </c>
      <c r="I1497" s="357" t="s">
        <v>251</v>
      </c>
      <c r="J1497" s="358" t="s">
        <v>251</v>
      </c>
      <c r="K1497" s="358" t="s">
        <v>251</v>
      </c>
      <c r="L1497" s="358" t="s">
        <v>251</v>
      </c>
      <c r="M1497" s="358" t="s">
        <v>251</v>
      </c>
      <c r="N1497" s="359"/>
      <c r="O1497" s="360"/>
      <c r="P1497" s="203"/>
      <c r="Q1497" s="363"/>
      <c r="R1497" s="360"/>
      <c r="S1497" s="203"/>
      <c r="T1497" s="418">
        <v>40</v>
      </c>
      <c r="U1497" s="203"/>
      <c r="V1497" s="363"/>
      <c r="W1497" s="360"/>
      <c r="X1497" s="363"/>
      <c r="Y1497" s="360"/>
      <c r="Z1497" s="203"/>
      <c r="AA1497" s="203"/>
      <c r="AB1497" s="203"/>
      <c r="AC1497" s="203"/>
      <c r="AD1497" s="422">
        <v>39114</v>
      </c>
      <c r="AE1497" s="162" t="s">
        <v>1470</v>
      </c>
    </row>
    <row r="1498" spans="1:31" ht="27" customHeight="1" x14ac:dyDescent="0.15">
      <c r="A1498" s="132">
        <v>1116510254</v>
      </c>
      <c r="B1498" s="130" t="s">
        <v>5342</v>
      </c>
      <c r="C1498" s="130" t="s">
        <v>5332</v>
      </c>
      <c r="D1498" s="108" t="s">
        <v>105</v>
      </c>
      <c r="E1498" s="130" t="s">
        <v>5344</v>
      </c>
      <c r="F1498" s="105" t="s">
        <v>5333</v>
      </c>
      <c r="G1498" s="105" t="s">
        <v>5334</v>
      </c>
      <c r="H1498" s="105" t="s">
        <v>5335</v>
      </c>
      <c r="I1498" s="141" t="s">
        <v>765</v>
      </c>
      <c r="J1498" s="142" t="s">
        <v>765</v>
      </c>
      <c r="K1498" s="142" t="s">
        <v>765</v>
      </c>
      <c r="L1498" s="142" t="s">
        <v>765</v>
      </c>
      <c r="M1498" s="142" t="s">
        <v>765</v>
      </c>
      <c r="N1498" s="142" t="s">
        <v>765</v>
      </c>
      <c r="O1498" s="176" t="s">
        <v>765</v>
      </c>
      <c r="P1498" s="105"/>
      <c r="Q1498" s="137"/>
      <c r="R1498" s="138"/>
      <c r="S1498" s="105"/>
      <c r="T1498" s="105"/>
      <c r="U1498" s="141" t="s">
        <v>6402</v>
      </c>
      <c r="V1498" s="137">
        <v>10</v>
      </c>
      <c r="W1498" s="138"/>
      <c r="X1498" s="141"/>
      <c r="Y1498" s="138"/>
      <c r="Z1498" s="105"/>
      <c r="AA1498" s="105"/>
      <c r="AB1498" s="105"/>
      <c r="AC1498" s="105"/>
      <c r="AD1498" s="155">
        <v>43739</v>
      </c>
      <c r="AE1498" s="108" t="s">
        <v>5443</v>
      </c>
    </row>
    <row r="1499" spans="1:31" ht="27" customHeight="1" x14ac:dyDescent="0.15">
      <c r="A1499" s="132">
        <v>1116510304</v>
      </c>
      <c r="B1499" s="130" t="s">
        <v>5995</v>
      </c>
      <c r="C1499" s="130" t="s">
        <v>7495</v>
      </c>
      <c r="D1499" s="108" t="s">
        <v>48</v>
      </c>
      <c r="E1499" s="130" t="s">
        <v>5426</v>
      </c>
      <c r="F1499" s="105" t="s">
        <v>2364</v>
      </c>
      <c r="G1499" s="105" t="s">
        <v>5427</v>
      </c>
      <c r="H1499" s="105" t="s">
        <v>5428</v>
      </c>
      <c r="I1499" s="141"/>
      <c r="J1499" s="142"/>
      <c r="K1499" s="142"/>
      <c r="L1499" s="142"/>
      <c r="M1499" s="142" t="s">
        <v>765</v>
      </c>
      <c r="N1499" s="177" t="s">
        <v>765</v>
      </c>
      <c r="O1499" s="176" t="s">
        <v>765</v>
      </c>
      <c r="P1499" s="105"/>
      <c r="Q1499" s="137"/>
      <c r="R1499" s="138"/>
      <c r="S1499" s="105"/>
      <c r="T1499" s="105"/>
      <c r="U1499" s="105"/>
      <c r="V1499" s="159">
        <v>20</v>
      </c>
      <c r="W1499" s="138"/>
      <c r="X1499" s="152"/>
      <c r="Y1499" s="138"/>
      <c r="Z1499" s="105"/>
      <c r="AA1499" s="105"/>
      <c r="AB1499" s="105"/>
      <c r="AC1499" s="105"/>
      <c r="AD1499" s="155">
        <v>43770</v>
      </c>
      <c r="AE1499" s="108" t="s">
        <v>5429</v>
      </c>
    </row>
    <row r="1500" spans="1:31" ht="27" customHeight="1" x14ac:dyDescent="0.15">
      <c r="A1500" s="105">
        <v>1116510353</v>
      </c>
      <c r="B1500" s="130" t="s">
        <v>5434</v>
      </c>
      <c r="C1500" s="130" t="s">
        <v>5433</v>
      </c>
      <c r="D1500" s="108" t="s">
        <v>48</v>
      </c>
      <c r="E1500" s="423" t="s">
        <v>9529</v>
      </c>
      <c r="F1500" s="378" t="s">
        <v>6031</v>
      </c>
      <c r="G1500" s="166" t="s">
        <v>9530</v>
      </c>
      <c r="H1500" s="166" t="s">
        <v>9531</v>
      </c>
      <c r="I1500" s="141"/>
      <c r="J1500" s="142"/>
      <c r="K1500" s="142"/>
      <c r="L1500" s="142"/>
      <c r="M1500" s="142" t="s">
        <v>765</v>
      </c>
      <c r="N1500" s="142" t="s">
        <v>765</v>
      </c>
      <c r="O1500" s="176" t="s">
        <v>765</v>
      </c>
      <c r="P1500" s="105"/>
      <c r="Q1500" s="137"/>
      <c r="R1500" s="138"/>
      <c r="S1500" s="105"/>
      <c r="T1500" s="105">
        <v>10</v>
      </c>
      <c r="U1500" s="105"/>
      <c r="V1500" s="137"/>
      <c r="W1500" s="138"/>
      <c r="X1500" s="137"/>
      <c r="Y1500" s="138"/>
      <c r="Z1500" s="105"/>
      <c r="AA1500" s="105">
        <v>10</v>
      </c>
      <c r="AB1500" s="105"/>
      <c r="AC1500" s="105"/>
      <c r="AD1500" s="155">
        <v>43770</v>
      </c>
      <c r="AE1500" s="424" t="s">
        <v>9532</v>
      </c>
    </row>
    <row r="1501" spans="1:31" ht="27" customHeight="1" x14ac:dyDescent="0.15">
      <c r="A1501" s="132">
        <v>1116510395</v>
      </c>
      <c r="B1501" s="130" t="s">
        <v>7186</v>
      </c>
      <c r="C1501" s="130" t="s">
        <v>5445</v>
      </c>
      <c r="D1501" s="108" t="s">
        <v>105</v>
      </c>
      <c r="E1501" s="401" t="s">
        <v>8575</v>
      </c>
      <c r="F1501" s="132" t="s">
        <v>4612</v>
      </c>
      <c r="G1501" s="392" t="s">
        <v>5446</v>
      </c>
      <c r="H1501" s="139" t="s">
        <v>5447</v>
      </c>
      <c r="I1501" s="141"/>
      <c r="J1501" s="142"/>
      <c r="K1501" s="142"/>
      <c r="L1501" s="142"/>
      <c r="M1501" s="142" t="s">
        <v>765</v>
      </c>
      <c r="N1501" s="177" t="s">
        <v>765</v>
      </c>
      <c r="O1501" s="176" t="s">
        <v>765</v>
      </c>
      <c r="P1501" s="105"/>
      <c r="Q1501" s="137"/>
      <c r="R1501" s="138"/>
      <c r="S1501" s="105"/>
      <c r="T1501" s="105"/>
      <c r="U1501" s="140"/>
      <c r="V1501" s="137"/>
      <c r="W1501" s="138"/>
      <c r="X1501" s="159" t="s">
        <v>5336</v>
      </c>
      <c r="Y1501" s="138"/>
      <c r="Z1501" s="105"/>
      <c r="AA1501" s="105"/>
      <c r="AB1501" s="105"/>
      <c r="AC1501" s="105"/>
      <c r="AD1501" s="155">
        <v>43800</v>
      </c>
      <c r="AE1501" s="108" t="s">
        <v>5448</v>
      </c>
    </row>
    <row r="1502" spans="1:31" ht="27" customHeight="1" x14ac:dyDescent="0.15">
      <c r="A1502" s="132">
        <v>1116510403</v>
      </c>
      <c r="B1502" s="130" t="s">
        <v>5454</v>
      </c>
      <c r="C1502" s="130" t="s">
        <v>5449</v>
      </c>
      <c r="D1502" s="108" t="s">
        <v>105</v>
      </c>
      <c r="E1502" s="130" t="s">
        <v>5450</v>
      </c>
      <c r="F1502" s="105" t="s">
        <v>5451</v>
      </c>
      <c r="G1502" s="105" t="s">
        <v>5452</v>
      </c>
      <c r="H1502" s="105" t="s">
        <v>5452</v>
      </c>
      <c r="I1502" s="141"/>
      <c r="J1502" s="142"/>
      <c r="K1502" s="142"/>
      <c r="L1502" s="142"/>
      <c r="M1502" s="142" t="s">
        <v>765</v>
      </c>
      <c r="N1502" s="142" t="s">
        <v>765</v>
      </c>
      <c r="O1502" s="176"/>
      <c r="P1502" s="105"/>
      <c r="Q1502" s="137"/>
      <c r="R1502" s="138"/>
      <c r="S1502" s="105"/>
      <c r="T1502" s="105"/>
      <c r="U1502" s="105"/>
      <c r="V1502" s="141"/>
      <c r="W1502" s="138"/>
      <c r="X1502" s="141"/>
      <c r="Y1502" s="138"/>
      <c r="Z1502" s="105"/>
      <c r="AA1502" s="105">
        <v>20</v>
      </c>
      <c r="AB1502" s="105"/>
      <c r="AC1502" s="105"/>
      <c r="AD1502" s="155">
        <v>43800</v>
      </c>
      <c r="AE1502" s="108" t="s">
        <v>5453</v>
      </c>
    </row>
    <row r="1503" spans="1:31" ht="27" customHeight="1" x14ac:dyDescent="0.15">
      <c r="A1503" s="132">
        <v>1116510452</v>
      </c>
      <c r="B1503" s="130" t="s">
        <v>5517</v>
      </c>
      <c r="C1503" s="130" t="s">
        <v>5518</v>
      </c>
      <c r="D1503" s="108" t="s">
        <v>105</v>
      </c>
      <c r="E1503" s="108" t="s">
        <v>108</v>
      </c>
      <c r="F1503" s="132" t="s">
        <v>5528</v>
      </c>
      <c r="G1503" s="392" t="s">
        <v>361</v>
      </c>
      <c r="H1503" s="139" t="s">
        <v>5519</v>
      </c>
      <c r="I1503" s="141" t="s">
        <v>765</v>
      </c>
      <c r="J1503" s="142"/>
      <c r="K1503" s="142"/>
      <c r="L1503" s="142"/>
      <c r="M1503" s="142" t="s">
        <v>765</v>
      </c>
      <c r="N1503" s="142" t="s">
        <v>765</v>
      </c>
      <c r="O1503" s="176"/>
      <c r="P1503" s="105"/>
      <c r="Q1503" s="137"/>
      <c r="R1503" s="138"/>
      <c r="S1503" s="105"/>
      <c r="T1503" s="105"/>
      <c r="U1503" s="141"/>
      <c r="V1503" s="137"/>
      <c r="W1503" s="138"/>
      <c r="X1503" s="141"/>
      <c r="Y1503" s="138"/>
      <c r="Z1503" s="105"/>
      <c r="AA1503" s="105">
        <v>28</v>
      </c>
      <c r="AB1503" s="105"/>
      <c r="AC1503" s="105"/>
      <c r="AD1503" s="155">
        <v>43831</v>
      </c>
      <c r="AE1503" s="108" t="s">
        <v>5520</v>
      </c>
    </row>
    <row r="1504" spans="1:31" ht="27" customHeight="1" x14ac:dyDescent="0.15">
      <c r="A1504" s="132">
        <v>1116510502</v>
      </c>
      <c r="B1504" s="130" t="s">
        <v>5527</v>
      </c>
      <c r="C1504" s="130" t="s">
        <v>5521</v>
      </c>
      <c r="D1504" s="108" t="s">
        <v>5522</v>
      </c>
      <c r="E1504" s="130" t="s">
        <v>5523</v>
      </c>
      <c r="F1504" s="105" t="s">
        <v>5529</v>
      </c>
      <c r="G1504" s="132" t="s">
        <v>5524</v>
      </c>
      <c r="H1504" s="105" t="s">
        <v>5525</v>
      </c>
      <c r="I1504" s="141"/>
      <c r="J1504" s="142"/>
      <c r="K1504" s="142"/>
      <c r="L1504" s="142"/>
      <c r="M1504" s="142" t="s">
        <v>765</v>
      </c>
      <c r="N1504" s="142" t="s">
        <v>765</v>
      </c>
      <c r="O1504" s="176"/>
      <c r="P1504" s="105"/>
      <c r="Q1504" s="137"/>
      <c r="R1504" s="138"/>
      <c r="S1504" s="105"/>
      <c r="T1504" s="105">
        <v>20</v>
      </c>
      <c r="U1504" s="105"/>
      <c r="V1504" s="141"/>
      <c r="W1504" s="138"/>
      <c r="X1504" s="141"/>
      <c r="Y1504" s="138"/>
      <c r="Z1504" s="105"/>
      <c r="AA1504" s="105"/>
      <c r="AB1504" s="105"/>
      <c r="AC1504" s="105"/>
      <c r="AD1504" s="155">
        <v>43831</v>
      </c>
      <c r="AE1504" s="108" t="s">
        <v>5526</v>
      </c>
    </row>
    <row r="1505" spans="1:31" ht="27" customHeight="1" x14ac:dyDescent="0.15">
      <c r="A1505" s="132">
        <v>1116510544</v>
      </c>
      <c r="B1505" s="130" t="s">
        <v>5574</v>
      </c>
      <c r="C1505" s="130" t="s">
        <v>5568</v>
      </c>
      <c r="D1505" s="108" t="s">
        <v>105</v>
      </c>
      <c r="E1505" s="108" t="s">
        <v>5569</v>
      </c>
      <c r="F1505" s="130" t="s">
        <v>5570</v>
      </c>
      <c r="G1505" s="281" t="s">
        <v>5571</v>
      </c>
      <c r="H1505" s="139" t="s">
        <v>5572</v>
      </c>
      <c r="I1505" s="141" t="s">
        <v>765</v>
      </c>
      <c r="J1505" s="142" t="s">
        <v>765</v>
      </c>
      <c r="K1505" s="142" t="s">
        <v>765</v>
      </c>
      <c r="L1505" s="142" t="s">
        <v>765</v>
      </c>
      <c r="M1505" s="142" t="s">
        <v>765</v>
      </c>
      <c r="N1505" s="142"/>
      <c r="O1505" s="176" t="s">
        <v>765</v>
      </c>
      <c r="P1505" s="105"/>
      <c r="Q1505" s="137"/>
      <c r="R1505" s="138"/>
      <c r="S1505" s="105">
        <v>50</v>
      </c>
      <c r="T1505" s="105"/>
      <c r="U1505" s="141"/>
      <c r="V1505" s="137"/>
      <c r="W1505" s="138"/>
      <c r="X1505" s="141"/>
      <c r="Y1505" s="138"/>
      <c r="Z1505" s="105"/>
      <c r="AA1505" s="105"/>
      <c r="AB1505" s="105"/>
      <c r="AC1505" s="105"/>
      <c r="AD1505" s="155">
        <v>43862</v>
      </c>
      <c r="AE1505" s="108" t="s">
        <v>5573</v>
      </c>
    </row>
    <row r="1506" spans="1:31" ht="27" customHeight="1" x14ac:dyDescent="0.15">
      <c r="A1506" s="105">
        <v>1116510676</v>
      </c>
      <c r="B1506" s="130" t="s">
        <v>5996</v>
      </c>
      <c r="C1506" s="130" t="s">
        <v>5848</v>
      </c>
      <c r="D1506" s="108" t="s">
        <v>105</v>
      </c>
      <c r="E1506" s="281" t="s">
        <v>588</v>
      </c>
      <c r="F1506" s="139" t="s">
        <v>5849</v>
      </c>
      <c r="G1506" s="105" t="s">
        <v>5997</v>
      </c>
      <c r="H1506" s="105" t="s">
        <v>5998</v>
      </c>
      <c r="I1506" s="141" t="s">
        <v>765</v>
      </c>
      <c r="J1506" s="142" t="s">
        <v>765</v>
      </c>
      <c r="K1506" s="142" t="s">
        <v>765</v>
      </c>
      <c r="L1506" s="142" t="s">
        <v>765</v>
      </c>
      <c r="M1506" s="142" t="s">
        <v>765</v>
      </c>
      <c r="N1506" s="177" t="s">
        <v>765</v>
      </c>
      <c r="O1506" s="176" t="s">
        <v>765</v>
      </c>
      <c r="P1506" s="105"/>
      <c r="Q1506" s="137"/>
      <c r="R1506" s="138">
        <v>2</v>
      </c>
      <c r="S1506" s="105"/>
      <c r="T1506" s="105">
        <v>20</v>
      </c>
      <c r="U1506" s="105"/>
      <c r="V1506" s="137"/>
      <c r="W1506" s="138"/>
      <c r="X1506" s="137"/>
      <c r="Y1506" s="138"/>
      <c r="Z1506" s="105"/>
      <c r="AA1506" s="105"/>
      <c r="AB1506" s="105"/>
      <c r="AC1506" s="105"/>
      <c r="AD1506" s="155">
        <v>43922</v>
      </c>
      <c r="AE1506" s="108" t="s">
        <v>5850</v>
      </c>
    </row>
    <row r="1507" spans="1:31" ht="27" customHeight="1" x14ac:dyDescent="0.15">
      <c r="A1507" s="105">
        <v>1116510684</v>
      </c>
      <c r="B1507" s="130" t="s">
        <v>5999</v>
      </c>
      <c r="C1507" s="130" t="s">
        <v>5842</v>
      </c>
      <c r="D1507" s="108" t="s">
        <v>105</v>
      </c>
      <c r="E1507" s="281" t="s">
        <v>5843</v>
      </c>
      <c r="F1507" s="108" t="s">
        <v>5844</v>
      </c>
      <c r="G1507" s="139" t="s">
        <v>5845</v>
      </c>
      <c r="H1507" s="105" t="s">
        <v>5846</v>
      </c>
      <c r="I1507" s="141" t="s">
        <v>765</v>
      </c>
      <c r="J1507" s="142" t="s">
        <v>765</v>
      </c>
      <c r="K1507" s="142" t="s">
        <v>765</v>
      </c>
      <c r="L1507" s="142" t="s">
        <v>765</v>
      </c>
      <c r="M1507" s="142" t="s">
        <v>765</v>
      </c>
      <c r="N1507" s="177" t="s">
        <v>765</v>
      </c>
      <c r="O1507" s="176" t="s">
        <v>765</v>
      </c>
      <c r="P1507" s="105"/>
      <c r="Q1507" s="137"/>
      <c r="R1507" s="138"/>
      <c r="S1507" s="105"/>
      <c r="T1507" s="105">
        <v>30</v>
      </c>
      <c r="U1507" s="105">
        <v>30</v>
      </c>
      <c r="V1507" s="137"/>
      <c r="W1507" s="138"/>
      <c r="X1507" s="137"/>
      <c r="Y1507" s="138"/>
      <c r="Z1507" s="105"/>
      <c r="AA1507" s="105"/>
      <c r="AB1507" s="105"/>
      <c r="AC1507" s="105"/>
      <c r="AD1507" s="155">
        <v>43922</v>
      </c>
      <c r="AE1507" s="108" t="s">
        <v>5847</v>
      </c>
    </row>
    <row r="1508" spans="1:31" ht="27" customHeight="1" x14ac:dyDescent="0.15">
      <c r="A1508" s="105">
        <v>1116510700</v>
      </c>
      <c r="B1508" s="130" t="s">
        <v>11955</v>
      </c>
      <c r="C1508" s="130" t="s">
        <v>11257</v>
      </c>
      <c r="D1508" s="108" t="s">
        <v>8077</v>
      </c>
      <c r="E1508" s="281" t="s">
        <v>11252</v>
      </c>
      <c r="F1508" s="108" t="s">
        <v>11253</v>
      </c>
      <c r="G1508" s="139" t="s">
        <v>11254</v>
      </c>
      <c r="H1508" s="105" t="s">
        <v>11255</v>
      </c>
      <c r="I1508" s="141"/>
      <c r="J1508" s="142"/>
      <c r="K1508" s="142"/>
      <c r="L1508" s="142"/>
      <c r="M1508" s="142" t="s">
        <v>10982</v>
      </c>
      <c r="N1508" s="177"/>
      <c r="O1508" s="176"/>
      <c r="P1508" s="105"/>
      <c r="Q1508" s="137"/>
      <c r="R1508" s="138"/>
      <c r="S1508" s="105"/>
      <c r="T1508" s="105">
        <v>10</v>
      </c>
      <c r="U1508" s="105"/>
      <c r="V1508" s="137"/>
      <c r="W1508" s="138"/>
      <c r="X1508" s="137"/>
      <c r="Y1508" s="138"/>
      <c r="Z1508" s="105"/>
      <c r="AA1508" s="105"/>
      <c r="AB1508" s="105"/>
      <c r="AC1508" s="105"/>
      <c r="AD1508" s="155">
        <v>46113</v>
      </c>
      <c r="AE1508" s="108" t="s">
        <v>11256</v>
      </c>
    </row>
    <row r="1509" spans="1:31" ht="27" customHeight="1" x14ac:dyDescent="0.15">
      <c r="A1509" s="105">
        <v>1116510791</v>
      </c>
      <c r="B1509" s="106" t="s">
        <v>6000</v>
      </c>
      <c r="C1509" s="107" t="s">
        <v>5855</v>
      </c>
      <c r="D1509" s="108" t="s">
        <v>105</v>
      </c>
      <c r="E1509" s="108" t="s">
        <v>5856</v>
      </c>
      <c r="F1509" s="139" t="s">
        <v>4607</v>
      </c>
      <c r="G1509" s="140" t="s">
        <v>5857</v>
      </c>
      <c r="H1509" s="140" t="s">
        <v>5858</v>
      </c>
      <c r="I1509" s="141" t="s">
        <v>765</v>
      </c>
      <c r="J1509" s="142" t="s">
        <v>765</v>
      </c>
      <c r="K1509" s="142" t="s">
        <v>765</v>
      </c>
      <c r="L1509" s="142" t="s">
        <v>765</v>
      </c>
      <c r="M1509" s="142" t="s">
        <v>765</v>
      </c>
      <c r="N1509" s="177" t="s">
        <v>765</v>
      </c>
      <c r="O1509" s="176" t="s">
        <v>765</v>
      </c>
      <c r="P1509" s="105"/>
      <c r="Q1509" s="137"/>
      <c r="R1509" s="138"/>
      <c r="S1509" s="105"/>
      <c r="T1509" s="105"/>
      <c r="U1509" s="105">
        <v>20</v>
      </c>
      <c r="V1509" s="137"/>
      <c r="W1509" s="138"/>
      <c r="X1509" s="137"/>
      <c r="Y1509" s="138"/>
      <c r="Z1509" s="105"/>
      <c r="AA1509" s="105"/>
      <c r="AB1509" s="105"/>
      <c r="AC1509" s="105"/>
      <c r="AD1509" s="155">
        <v>43922</v>
      </c>
      <c r="AE1509" s="108" t="s">
        <v>5859</v>
      </c>
    </row>
    <row r="1510" spans="1:31" ht="27" customHeight="1" x14ac:dyDescent="0.15">
      <c r="A1510" s="105">
        <v>1116510809</v>
      </c>
      <c r="B1510" s="106" t="s">
        <v>2466</v>
      </c>
      <c r="C1510" s="107" t="s">
        <v>5860</v>
      </c>
      <c r="D1510" s="108" t="s">
        <v>105</v>
      </c>
      <c r="E1510" s="108" t="s">
        <v>5861</v>
      </c>
      <c r="F1510" s="139" t="s">
        <v>3692</v>
      </c>
      <c r="G1510" s="139" t="s">
        <v>5862</v>
      </c>
      <c r="H1510" s="140" t="s">
        <v>5863</v>
      </c>
      <c r="I1510" s="141"/>
      <c r="J1510" s="142"/>
      <c r="K1510" s="142"/>
      <c r="L1510" s="142"/>
      <c r="M1510" s="142" t="s">
        <v>49</v>
      </c>
      <c r="N1510" s="143"/>
      <c r="O1510" s="138"/>
      <c r="P1510" s="105"/>
      <c r="Q1510" s="137"/>
      <c r="R1510" s="138"/>
      <c r="S1510" s="105"/>
      <c r="T1510" s="105">
        <v>20</v>
      </c>
      <c r="U1510" s="105"/>
      <c r="V1510" s="137"/>
      <c r="W1510" s="138"/>
      <c r="X1510" s="137"/>
      <c r="Y1510" s="138"/>
      <c r="Z1510" s="105"/>
      <c r="AA1510" s="105"/>
      <c r="AB1510" s="105"/>
      <c r="AC1510" s="105"/>
      <c r="AD1510" s="155">
        <v>43922</v>
      </c>
      <c r="AE1510" s="108" t="s">
        <v>5864</v>
      </c>
    </row>
    <row r="1511" spans="1:31" ht="27" customHeight="1" x14ac:dyDescent="0.15">
      <c r="A1511" s="132">
        <v>1116510841</v>
      </c>
      <c r="B1511" s="130" t="s">
        <v>6001</v>
      </c>
      <c r="C1511" s="130" t="s">
        <v>5910</v>
      </c>
      <c r="D1511" s="108" t="s">
        <v>105</v>
      </c>
      <c r="E1511" s="108" t="s">
        <v>5911</v>
      </c>
      <c r="F1511" s="132" t="s">
        <v>5912</v>
      </c>
      <c r="G1511" s="392" t="s">
        <v>5913</v>
      </c>
      <c r="H1511" s="139" t="s">
        <v>5914</v>
      </c>
      <c r="I1511" s="141"/>
      <c r="J1511" s="142"/>
      <c r="K1511" s="142"/>
      <c r="L1511" s="142"/>
      <c r="M1511" s="142"/>
      <c r="N1511" s="142" t="s">
        <v>765</v>
      </c>
      <c r="O1511" s="142"/>
      <c r="P1511" s="105"/>
      <c r="Q1511" s="137"/>
      <c r="R1511" s="138"/>
      <c r="S1511" s="105"/>
      <c r="T1511" s="105"/>
      <c r="U1511" s="140"/>
      <c r="V1511" s="137"/>
      <c r="W1511" s="138"/>
      <c r="X1511" s="152">
        <v>20</v>
      </c>
      <c r="Y1511" s="138"/>
      <c r="Z1511" s="105"/>
      <c r="AA1511" s="105"/>
      <c r="AB1511" s="105"/>
      <c r="AC1511" s="105"/>
      <c r="AD1511" s="155">
        <v>43952</v>
      </c>
      <c r="AE1511" s="108" t="s">
        <v>5915</v>
      </c>
    </row>
    <row r="1512" spans="1:31" ht="27" customHeight="1" x14ac:dyDescent="0.15">
      <c r="A1512" s="425">
        <v>1116510858</v>
      </c>
      <c r="B1512" s="423" t="s">
        <v>11815</v>
      </c>
      <c r="C1512" s="423" t="s">
        <v>9534</v>
      </c>
      <c r="D1512" s="391" t="s">
        <v>8162</v>
      </c>
      <c r="E1512" s="407" t="s">
        <v>12188</v>
      </c>
      <c r="F1512" s="405" t="s">
        <v>7446</v>
      </c>
      <c r="G1512" s="405" t="s">
        <v>5917</v>
      </c>
      <c r="H1512" s="426" t="s">
        <v>5918</v>
      </c>
      <c r="I1512" s="427"/>
      <c r="J1512" s="428"/>
      <c r="K1512" s="428"/>
      <c r="L1512" s="428" t="s">
        <v>765</v>
      </c>
      <c r="M1512" s="428" t="s">
        <v>765</v>
      </c>
      <c r="N1512" s="428" t="s">
        <v>765</v>
      </c>
      <c r="O1512" s="429" t="s">
        <v>765</v>
      </c>
      <c r="P1512" s="425"/>
      <c r="Q1512" s="430"/>
      <c r="R1512" s="429"/>
      <c r="S1512" s="425"/>
      <c r="T1512" s="405"/>
      <c r="U1512" s="405"/>
      <c r="V1512" s="405"/>
      <c r="W1512" s="431"/>
      <c r="X1512" s="520"/>
      <c r="Y1512" s="429"/>
      <c r="Z1512" s="391"/>
      <c r="AA1512" s="391">
        <v>20</v>
      </c>
      <c r="AB1512" s="391"/>
      <c r="AC1512" s="391"/>
      <c r="AD1512" s="405">
        <v>43952</v>
      </c>
      <c r="AE1512" s="108" t="s">
        <v>5919</v>
      </c>
    </row>
    <row r="1513" spans="1:31" ht="27" customHeight="1" x14ac:dyDescent="0.15">
      <c r="A1513" s="105">
        <v>1116510866</v>
      </c>
      <c r="B1513" s="130" t="s">
        <v>6002</v>
      </c>
      <c r="C1513" s="130" t="s">
        <v>5920</v>
      </c>
      <c r="D1513" s="108" t="s">
        <v>105</v>
      </c>
      <c r="E1513" s="281" t="s">
        <v>5921</v>
      </c>
      <c r="F1513" s="132" t="s">
        <v>5815</v>
      </c>
      <c r="G1513" s="139" t="s">
        <v>5922</v>
      </c>
      <c r="H1513" s="105" t="s">
        <v>5923</v>
      </c>
      <c r="I1513" s="141"/>
      <c r="J1513" s="142"/>
      <c r="K1513" s="142"/>
      <c r="L1513" s="142"/>
      <c r="M1513" s="134" t="s">
        <v>49</v>
      </c>
      <c r="N1513" s="135" t="s">
        <v>49</v>
      </c>
      <c r="O1513" s="142"/>
      <c r="P1513" s="105"/>
      <c r="Q1513" s="137"/>
      <c r="R1513" s="138"/>
      <c r="S1513" s="105"/>
      <c r="T1513" s="105">
        <v>20</v>
      </c>
      <c r="U1513" s="105"/>
      <c r="V1513" s="137"/>
      <c r="W1513" s="138"/>
      <c r="X1513" s="137"/>
      <c r="Y1513" s="138"/>
      <c r="Z1513" s="105"/>
      <c r="AA1513" s="105"/>
      <c r="AB1513" s="105"/>
      <c r="AC1513" s="105"/>
      <c r="AD1513" s="155">
        <v>43952</v>
      </c>
      <c r="AE1513" s="108" t="s">
        <v>5924</v>
      </c>
    </row>
    <row r="1514" spans="1:31" ht="27" customHeight="1" x14ac:dyDescent="0.15">
      <c r="A1514" s="105">
        <v>1116510874</v>
      </c>
      <c r="B1514" s="130" t="s">
        <v>6003</v>
      </c>
      <c r="C1514" s="130" t="s">
        <v>5925</v>
      </c>
      <c r="D1514" s="108" t="s">
        <v>105</v>
      </c>
      <c r="E1514" s="432" t="s">
        <v>5926</v>
      </c>
      <c r="F1514" s="139" t="s">
        <v>4467</v>
      </c>
      <c r="G1514" s="105" t="s">
        <v>6004</v>
      </c>
      <c r="H1514" s="105" t="s">
        <v>6005</v>
      </c>
      <c r="I1514" s="141"/>
      <c r="J1514" s="142"/>
      <c r="K1514" s="142"/>
      <c r="L1514" s="142"/>
      <c r="M1514" s="142" t="s">
        <v>765</v>
      </c>
      <c r="N1514" s="142" t="s">
        <v>765</v>
      </c>
      <c r="O1514" s="176" t="s">
        <v>765</v>
      </c>
      <c r="P1514" s="105"/>
      <c r="Q1514" s="137"/>
      <c r="R1514" s="138"/>
      <c r="S1514" s="105"/>
      <c r="T1514" s="105"/>
      <c r="U1514" s="105"/>
      <c r="V1514" s="137"/>
      <c r="W1514" s="138"/>
      <c r="X1514" s="137"/>
      <c r="Y1514" s="138"/>
      <c r="Z1514" s="105"/>
      <c r="AA1514" s="105">
        <v>20</v>
      </c>
      <c r="AB1514" s="105"/>
      <c r="AC1514" s="105"/>
      <c r="AD1514" s="155">
        <v>43952</v>
      </c>
      <c r="AE1514" s="108" t="s">
        <v>5927</v>
      </c>
    </row>
    <row r="1515" spans="1:31" ht="27" customHeight="1" x14ac:dyDescent="0.15">
      <c r="A1515" s="105">
        <v>1116510932</v>
      </c>
      <c r="B1515" s="130" t="s">
        <v>11720</v>
      </c>
      <c r="C1515" s="130" t="s">
        <v>6186</v>
      </c>
      <c r="D1515" s="108" t="s">
        <v>105</v>
      </c>
      <c r="E1515" s="281" t="s">
        <v>6187</v>
      </c>
      <c r="F1515" s="132" t="s">
        <v>4413</v>
      </c>
      <c r="G1515" s="139" t="s">
        <v>4575</v>
      </c>
      <c r="H1515" s="105" t="s">
        <v>4576</v>
      </c>
      <c r="I1515" s="141"/>
      <c r="J1515" s="142"/>
      <c r="K1515" s="142"/>
      <c r="L1515" s="142"/>
      <c r="M1515" s="142"/>
      <c r="N1515" s="142" t="s">
        <v>765</v>
      </c>
      <c r="O1515" s="176"/>
      <c r="P1515" s="105"/>
      <c r="Q1515" s="137"/>
      <c r="R1515" s="138"/>
      <c r="S1515" s="105"/>
      <c r="T1515" s="105"/>
      <c r="U1515" s="105"/>
      <c r="V1515" s="137"/>
      <c r="W1515" s="138"/>
      <c r="X1515" s="137"/>
      <c r="Y1515" s="138"/>
      <c r="Z1515" s="105"/>
      <c r="AA1515" s="105"/>
      <c r="AB1515" s="118" t="s">
        <v>4614</v>
      </c>
      <c r="AC1515" s="118"/>
      <c r="AD1515" s="155">
        <v>44013</v>
      </c>
      <c r="AE1515" s="108" t="s">
        <v>6188</v>
      </c>
    </row>
    <row r="1516" spans="1:31" ht="27" customHeight="1" x14ac:dyDescent="0.15">
      <c r="A1516" s="105">
        <v>1116510940</v>
      </c>
      <c r="B1516" s="130" t="s">
        <v>12056</v>
      </c>
      <c r="C1516" s="130" t="s">
        <v>6189</v>
      </c>
      <c r="D1516" s="108" t="s">
        <v>105</v>
      </c>
      <c r="E1516" s="281" t="s">
        <v>6190</v>
      </c>
      <c r="F1516" s="139" t="s">
        <v>5853</v>
      </c>
      <c r="G1516" s="105" t="s">
        <v>6191</v>
      </c>
      <c r="H1516" s="105" t="s">
        <v>6192</v>
      </c>
      <c r="I1516" s="141"/>
      <c r="J1516" s="142"/>
      <c r="K1516" s="142"/>
      <c r="L1516" s="142"/>
      <c r="M1516" s="142" t="s">
        <v>765</v>
      </c>
      <c r="N1516" s="142" t="s">
        <v>765</v>
      </c>
      <c r="O1516" s="176"/>
      <c r="P1516" s="105"/>
      <c r="Q1516" s="137"/>
      <c r="R1516" s="138"/>
      <c r="S1516" s="105"/>
      <c r="T1516" s="105">
        <v>20</v>
      </c>
      <c r="U1516" s="105"/>
      <c r="V1516" s="137"/>
      <c r="W1516" s="138"/>
      <c r="X1516" s="137"/>
      <c r="Y1516" s="138"/>
      <c r="Z1516" s="105"/>
      <c r="AA1516" s="105"/>
      <c r="AB1516" s="105"/>
      <c r="AC1516" s="105"/>
      <c r="AD1516" s="155">
        <v>44013</v>
      </c>
      <c r="AE1516" s="108" t="s">
        <v>6193</v>
      </c>
    </row>
    <row r="1517" spans="1:31" ht="27" customHeight="1" x14ac:dyDescent="0.15">
      <c r="A1517" s="433">
        <v>1116511104</v>
      </c>
      <c r="B1517" s="406" t="s">
        <v>11956</v>
      </c>
      <c r="C1517" s="406" t="s">
        <v>8680</v>
      </c>
      <c r="D1517" s="434" t="s">
        <v>8135</v>
      </c>
      <c r="E1517" s="166" t="s">
        <v>8681</v>
      </c>
      <c r="F1517" s="76" t="s">
        <v>6774</v>
      </c>
      <c r="G1517" s="76" t="s">
        <v>8682</v>
      </c>
      <c r="H1517" s="76" t="s">
        <v>8683</v>
      </c>
      <c r="I1517" s="178"/>
      <c r="J1517" s="170"/>
      <c r="K1517" s="170"/>
      <c r="L1517" s="170"/>
      <c r="M1517" s="170" t="s">
        <v>8136</v>
      </c>
      <c r="N1517" s="170" t="s">
        <v>8136</v>
      </c>
      <c r="O1517" s="170" t="s">
        <v>8136</v>
      </c>
      <c r="P1517" s="76"/>
      <c r="Q1517" s="70"/>
      <c r="R1517" s="92"/>
      <c r="S1517" s="76"/>
      <c r="T1517" s="76"/>
      <c r="U1517" s="178"/>
      <c r="V1517" s="70"/>
      <c r="W1517" s="92"/>
      <c r="X1517" s="178"/>
      <c r="Y1517" s="92"/>
      <c r="Z1517" s="76"/>
      <c r="AA1517" s="76"/>
      <c r="AB1517" s="76" t="s">
        <v>8136</v>
      </c>
      <c r="AC1517" s="76"/>
      <c r="AD1517" s="146">
        <v>44075</v>
      </c>
      <c r="AE1517" s="166" t="s">
        <v>8684</v>
      </c>
    </row>
    <row r="1518" spans="1:31" ht="27" customHeight="1" x14ac:dyDescent="0.15">
      <c r="A1518" s="132">
        <v>1116511112</v>
      </c>
      <c r="B1518" s="130" t="s">
        <v>12055</v>
      </c>
      <c r="C1518" s="130" t="s">
        <v>6277</v>
      </c>
      <c r="D1518" s="108" t="s">
        <v>105</v>
      </c>
      <c r="E1518" s="130" t="s">
        <v>6278</v>
      </c>
      <c r="F1518" s="105" t="s">
        <v>4021</v>
      </c>
      <c r="G1518" s="132" t="s">
        <v>6274</v>
      </c>
      <c r="H1518" s="105" t="s">
        <v>6275</v>
      </c>
      <c r="I1518" s="141"/>
      <c r="J1518" s="142"/>
      <c r="K1518" s="142"/>
      <c r="L1518" s="142"/>
      <c r="M1518" s="142" t="s">
        <v>765</v>
      </c>
      <c r="N1518" s="142" t="s">
        <v>765</v>
      </c>
      <c r="O1518" s="176"/>
      <c r="P1518" s="105"/>
      <c r="Q1518" s="137"/>
      <c r="R1518" s="138"/>
      <c r="S1518" s="105"/>
      <c r="T1518" s="105"/>
      <c r="U1518" s="105"/>
      <c r="V1518" s="141"/>
      <c r="W1518" s="138"/>
      <c r="X1518" s="141"/>
      <c r="Y1518" s="138"/>
      <c r="Z1518" s="105"/>
      <c r="AA1518" s="105">
        <v>20</v>
      </c>
      <c r="AB1518" s="132"/>
      <c r="AC1518" s="132"/>
      <c r="AD1518" s="155">
        <v>44075</v>
      </c>
      <c r="AE1518" s="108" t="s">
        <v>6279</v>
      </c>
    </row>
    <row r="1519" spans="1:31" ht="27" customHeight="1" x14ac:dyDescent="0.15">
      <c r="A1519" s="132">
        <v>1116511211</v>
      </c>
      <c r="B1519" s="130" t="s">
        <v>12057</v>
      </c>
      <c r="C1519" s="130" t="s">
        <v>6396</v>
      </c>
      <c r="D1519" s="108" t="s">
        <v>105</v>
      </c>
      <c r="E1519" s="130" t="s">
        <v>6397</v>
      </c>
      <c r="F1519" s="105" t="s">
        <v>4566</v>
      </c>
      <c r="G1519" s="132" t="s">
        <v>6398</v>
      </c>
      <c r="H1519" s="105" t="s">
        <v>6399</v>
      </c>
      <c r="I1519" s="435"/>
      <c r="J1519" s="436"/>
      <c r="K1519" s="436"/>
      <c r="L1519" s="436"/>
      <c r="M1519" s="436" t="s">
        <v>49</v>
      </c>
      <c r="N1519" s="436" t="s">
        <v>49</v>
      </c>
      <c r="O1519" s="437" t="s">
        <v>49</v>
      </c>
      <c r="P1519" s="105"/>
      <c r="Q1519" s="137"/>
      <c r="R1519" s="138"/>
      <c r="S1519" s="105"/>
      <c r="T1519" s="105"/>
      <c r="U1519" s="105"/>
      <c r="V1519" s="141"/>
      <c r="W1519" s="138"/>
      <c r="X1519" s="141"/>
      <c r="Y1519" s="138"/>
      <c r="Z1519" s="105"/>
      <c r="AA1519" s="105">
        <v>20</v>
      </c>
      <c r="AB1519" s="132"/>
      <c r="AC1519" s="132"/>
      <c r="AD1519" s="155">
        <v>44166</v>
      </c>
      <c r="AE1519" s="108" t="s">
        <v>6400</v>
      </c>
    </row>
    <row r="1520" spans="1:31" ht="27" customHeight="1" x14ac:dyDescent="0.15">
      <c r="A1520" s="132">
        <v>1116511245</v>
      </c>
      <c r="B1520" s="130" t="s">
        <v>6840</v>
      </c>
      <c r="C1520" s="130" t="s">
        <v>6841</v>
      </c>
      <c r="D1520" s="108" t="s">
        <v>105</v>
      </c>
      <c r="E1520" s="108" t="s">
        <v>6842</v>
      </c>
      <c r="F1520" s="132" t="s">
        <v>6401</v>
      </c>
      <c r="G1520" s="392" t="s">
        <v>380</v>
      </c>
      <c r="H1520" s="139" t="s">
        <v>2635</v>
      </c>
      <c r="I1520" s="435" t="s">
        <v>765</v>
      </c>
      <c r="J1520" s="436" t="s">
        <v>765</v>
      </c>
      <c r="K1520" s="436" t="s">
        <v>765</v>
      </c>
      <c r="L1520" s="436" t="s">
        <v>765</v>
      </c>
      <c r="M1520" s="436" t="s">
        <v>765</v>
      </c>
      <c r="N1520" s="436" t="s">
        <v>765</v>
      </c>
      <c r="O1520" s="437" t="s">
        <v>765</v>
      </c>
      <c r="P1520" s="105"/>
      <c r="Q1520" s="137"/>
      <c r="R1520" s="138"/>
      <c r="S1520" s="105"/>
      <c r="T1520" s="105">
        <v>20</v>
      </c>
      <c r="U1520" s="141"/>
      <c r="V1520" s="137"/>
      <c r="W1520" s="138"/>
      <c r="X1520" s="141"/>
      <c r="Y1520" s="138"/>
      <c r="Z1520" s="105"/>
      <c r="AA1520" s="105"/>
      <c r="AB1520" s="105"/>
      <c r="AC1520" s="105"/>
      <c r="AD1520" s="155">
        <v>44166</v>
      </c>
      <c r="AE1520" s="108" t="s">
        <v>6843</v>
      </c>
    </row>
    <row r="1521" spans="1:31" ht="27" customHeight="1" x14ac:dyDescent="0.15">
      <c r="A1521" s="132">
        <v>1116511468</v>
      </c>
      <c r="B1521" s="130" t="s">
        <v>11816</v>
      </c>
      <c r="C1521" s="130" t="s">
        <v>6711</v>
      </c>
      <c r="D1521" s="108" t="s">
        <v>105</v>
      </c>
      <c r="E1521" s="108" t="s">
        <v>10930</v>
      </c>
      <c r="F1521" s="132" t="s">
        <v>5912</v>
      </c>
      <c r="G1521" s="392" t="s">
        <v>6712</v>
      </c>
      <c r="H1521" s="139" t="s">
        <v>6713</v>
      </c>
      <c r="I1521" s="221"/>
      <c r="J1521" s="222"/>
      <c r="K1521" s="222"/>
      <c r="L1521" s="222"/>
      <c r="M1521" s="222" t="s">
        <v>765</v>
      </c>
      <c r="N1521" s="222" t="s">
        <v>765</v>
      </c>
      <c r="O1521" s="438"/>
      <c r="P1521" s="105"/>
      <c r="Q1521" s="137"/>
      <c r="R1521" s="138"/>
      <c r="S1521" s="105"/>
      <c r="T1521" s="105"/>
      <c r="U1521" s="141"/>
      <c r="V1521" s="137">
        <v>20</v>
      </c>
      <c r="W1521" s="138"/>
      <c r="X1521" s="141"/>
      <c r="Y1521" s="138"/>
      <c r="Z1521" s="105"/>
      <c r="AA1521" s="105"/>
      <c r="AB1521" s="105"/>
      <c r="AC1521" s="105"/>
      <c r="AD1521" s="155">
        <v>44287</v>
      </c>
      <c r="AE1521" s="108" t="s">
        <v>6714</v>
      </c>
    </row>
    <row r="1522" spans="1:31" ht="27" customHeight="1" x14ac:dyDescent="0.15">
      <c r="A1522" s="132">
        <v>1116511542</v>
      </c>
      <c r="B1522" s="130" t="s">
        <v>12020</v>
      </c>
      <c r="C1522" s="130" t="s">
        <v>6715</v>
      </c>
      <c r="D1522" s="108" t="s">
        <v>105</v>
      </c>
      <c r="E1522" s="130" t="s">
        <v>6716</v>
      </c>
      <c r="F1522" s="132" t="s">
        <v>5853</v>
      </c>
      <c r="G1522" s="105" t="s">
        <v>6717</v>
      </c>
      <c r="H1522" s="132" t="s">
        <v>6718</v>
      </c>
      <c r="I1522" s="141" t="s">
        <v>765</v>
      </c>
      <c r="J1522" s="142" t="s">
        <v>765</v>
      </c>
      <c r="K1522" s="142" t="s">
        <v>765</v>
      </c>
      <c r="L1522" s="142" t="s">
        <v>765</v>
      </c>
      <c r="M1522" s="142" t="s">
        <v>765</v>
      </c>
      <c r="N1522" s="142" t="s">
        <v>765</v>
      </c>
      <c r="O1522" s="176" t="s">
        <v>765</v>
      </c>
      <c r="P1522" s="105"/>
      <c r="Q1522" s="137"/>
      <c r="R1522" s="138"/>
      <c r="S1522" s="105"/>
      <c r="T1522" s="105"/>
      <c r="U1522" s="105"/>
      <c r="V1522" s="141"/>
      <c r="W1522" s="138"/>
      <c r="X1522" s="141"/>
      <c r="Y1522" s="138"/>
      <c r="Z1522" s="105"/>
      <c r="AA1522" s="105">
        <v>20</v>
      </c>
      <c r="AB1522" s="132"/>
      <c r="AC1522" s="132"/>
      <c r="AD1522" s="155">
        <v>44287</v>
      </c>
      <c r="AE1522" s="108" t="s">
        <v>6719</v>
      </c>
    </row>
    <row r="1523" spans="1:31" ht="27" customHeight="1" x14ac:dyDescent="0.15">
      <c r="A1523" s="105">
        <v>1116511609</v>
      </c>
      <c r="B1523" s="130" t="s">
        <v>11817</v>
      </c>
      <c r="C1523" s="130" t="s">
        <v>6720</v>
      </c>
      <c r="D1523" s="108" t="s">
        <v>105</v>
      </c>
      <c r="E1523" s="281" t="s">
        <v>6721</v>
      </c>
      <c r="F1523" s="132" t="s">
        <v>6722</v>
      </c>
      <c r="G1523" s="139" t="s">
        <v>6723</v>
      </c>
      <c r="H1523" s="105" t="s">
        <v>6723</v>
      </c>
      <c r="I1523" s="141"/>
      <c r="J1523" s="142"/>
      <c r="K1523" s="142"/>
      <c r="L1523" s="142"/>
      <c r="M1523" s="142" t="s">
        <v>49</v>
      </c>
      <c r="N1523" s="142" t="s">
        <v>49</v>
      </c>
      <c r="O1523" s="142"/>
      <c r="P1523" s="105"/>
      <c r="Q1523" s="137"/>
      <c r="R1523" s="138"/>
      <c r="S1523" s="105"/>
      <c r="T1523" s="105"/>
      <c r="U1523" s="105"/>
      <c r="V1523" s="137"/>
      <c r="W1523" s="138"/>
      <c r="X1523" s="137"/>
      <c r="Y1523" s="138"/>
      <c r="Z1523" s="105"/>
      <c r="AA1523" s="105">
        <v>20</v>
      </c>
      <c r="AB1523" s="105"/>
      <c r="AC1523" s="105"/>
      <c r="AD1523" s="155">
        <v>44287</v>
      </c>
      <c r="AE1523" s="108" t="s">
        <v>6724</v>
      </c>
    </row>
    <row r="1524" spans="1:31" ht="27" customHeight="1" x14ac:dyDescent="0.15">
      <c r="A1524" s="105">
        <v>1116511617</v>
      </c>
      <c r="B1524" s="130" t="s">
        <v>12021</v>
      </c>
      <c r="C1524" s="130" t="s">
        <v>6725</v>
      </c>
      <c r="D1524" s="108" t="s">
        <v>105</v>
      </c>
      <c r="E1524" s="108" t="s">
        <v>6726</v>
      </c>
      <c r="F1524" s="139" t="s">
        <v>5853</v>
      </c>
      <c r="G1524" s="105" t="s">
        <v>380</v>
      </c>
      <c r="H1524" s="105" t="s">
        <v>2635</v>
      </c>
      <c r="I1524" s="141"/>
      <c r="J1524" s="142"/>
      <c r="K1524" s="142"/>
      <c r="L1524" s="142"/>
      <c r="M1524" s="142" t="s">
        <v>765</v>
      </c>
      <c r="N1524" s="142" t="s">
        <v>765</v>
      </c>
      <c r="O1524" s="142" t="s">
        <v>765</v>
      </c>
      <c r="P1524" s="105"/>
      <c r="Q1524" s="137"/>
      <c r="R1524" s="138"/>
      <c r="S1524" s="105"/>
      <c r="T1524" s="105">
        <v>20</v>
      </c>
      <c r="U1524" s="105"/>
      <c r="V1524" s="137"/>
      <c r="W1524" s="138"/>
      <c r="X1524" s="137"/>
      <c r="Y1524" s="138"/>
      <c r="Z1524" s="105"/>
      <c r="AA1524" s="105"/>
      <c r="AB1524" s="105"/>
      <c r="AC1524" s="105"/>
      <c r="AD1524" s="155">
        <v>44287</v>
      </c>
      <c r="AE1524" s="108" t="s">
        <v>6727</v>
      </c>
    </row>
    <row r="1525" spans="1:31" ht="27" customHeight="1" x14ac:dyDescent="0.15">
      <c r="A1525" s="105">
        <v>1116511625</v>
      </c>
      <c r="B1525" s="106" t="s">
        <v>11993</v>
      </c>
      <c r="C1525" s="107" t="s">
        <v>6728</v>
      </c>
      <c r="D1525" s="108" t="s">
        <v>105</v>
      </c>
      <c r="E1525" s="108" t="s">
        <v>6729</v>
      </c>
      <c r="F1525" s="139" t="s">
        <v>6730</v>
      </c>
      <c r="G1525" s="139" t="s">
        <v>6731</v>
      </c>
      <c r="H1525" s="139" t="s">
        <v>6731</v>
      </c>
      <c r="I1525" s="141"/>
      <c r="J1525" s="142"/>
      <c r="K1525" s="142"/>
      <c r="L1525" s="142"/>
      <c r="M1525" s="142"/>
      <c r="N1525" s="142" t="s">
        <v>765</v>
      </c>
      <c r="O1525" s="142"/>
      <c r="P1525" s="105"/>
      <c r="Q1525" s="137"/>
      <c r="R1525" s="138"/>
      <c r="S1525" s="105"/>
      <c r="T1525" s="105"/>
      <c r="U1525" s="105"/>
      <c r="V1525" s="137"/>
      <c r="W1525" s="138"/>
      <c r="X1525" s="137"/>
      <c r="Y1525" s="138"/>
      <c r="Z1525" s="105"/>
      <c r="AA1525" s="105">
        <v>20</v>
      </c>
      <c r="AB1525" s="105"/>
      <c r="AC1525" s="105"/>
      <c r="AD1525" s="155">
        <v>44287</v>
      </c>
      <c r="AE1525" s="108" t="s">
        <v>6732</v>
      </c>
    </row>
    <row r="1526" spans="1:31" ht="27" customHeight="1" x14ac:dyDescent="0.15">
      <c r="A1526" s="132">
        <v>1116511690</v>
      </c>
      <c r="B1526" s="130" t="s">
        <v>11818</v>
      </c>
      <c r="C1526" s="130" t="s">
        <v>9743</v>
      </c>
      <c r="D1526" s="108" t="s">
        <v>105</v>
      </c>
      <c r="E1526" s="130" t="s">
        <v>6766</v>
      </c>
      <c r="F1526" s="132" t="s">
        <v>4727</v>
      </c>
      <c r="G1526" s="105" t="s">
        <v>6767</v>
      </c>
      <c r="H1526" s="132" t="s">
        <v>6768</v>
      </c>
      <c r="I1526" s="141"/>
      <c r="J1526" s="142"/>
      <c r="K1526" s="142"/>
      <c r="L1526" s="142"/>
      <c r="M1526" s="142"/>
      <c r="N1526" s="142" t="s">
        <v>49</v>
      </c>
      <c r="O1526" s="142"/>
      <c r="P1526" s="105"/>
      <c r="Q1526" s="137"/>
      <c r="R1526" s="138"/>
      <c r="S1526" s="105"/>
      <c r="T1526" s="105"/>
      <c r="U1526" s="105"/>
      <c r="V1526" s="133"/>
      <c r="W1526" s="439"/>
      <c r="X1526" s="133">
        <v>20</v>
      </c>
      <c r="Y1526" s="138"/>
      <c r="Z1526" s="105"/>
      <c r="AA1526" s="105"/>
      <c r="AB1526" s="132"/>
      <c r="AC1526" s="132"/>
      <c r="AD1526" s="155">
        <v>44317</v>
      </c>
      <c r="AE1526" s="108" t="s">
        <v>9187</v>
      </c>
    </row>
    <row r="1527" spans="1:31" ht="27" customHeight="1" x14ac:dyDescent="0.15">
      <c r="A1527" s="105">
        <v>1116511708</v>
      </c>
      <c r="B1527" s="130" t="s">
        <v>11819</v>
      </c>
      <c r="C1527" s="130" t="s">
        <v>6769</v>
      </c>
      <c r="D1527" s="108" t="s">
        <v>105</v>
      </c>
      <c r="E1527" s="281" t="s">
        <v>6770</v>
      </c>
      <c r="F1527" s="132" t="s">
        <v>4727</v>
      </c>
      <c r="G1527" s="139" t="s">
        <v>6771</v>
      </c>
      <c r="H1527" s="105" t="s">
        <v>6772</v>
      </c>
      <c r="I1527" s="141"/>
      <c r="J1527" s="142"/>
      <c r="K1527" s="142"/>
      <c r="L1527" s="142" t="s">
        <v>49</v>
      </c>
      <c r="M1527" s="142" t="s">
        <v>49</v>
      </c>
      <c r="N1527" s="142" t="s">
        <v>49</v>
      </c>
      <c r="O1527" s="142"/>
      <c r="P1527" s="105"/>
      <c r="Q1527" s="137"/>
      <c r="R1527" s="138"/>
      <c r="S1527" s="105"/>
      <c r="T1527" s="105"/>
      <c r="U1527" s="105"/>
      <c r="V1527" s="137"/>
      <c r="W1527" s="138"/>
      <c r="X1527" s="137">
        <v>20</v>
      </c>
      <c r="Y1527" s="138"/>
      <c r="Z1527" s="105"/>
      <c r="AA1527" s="105"/>
      <c r="AB1527" s="105"/>
      <c r="AC1527" s="105"/>
      <c r="AD1527" s="155">
        <v>44317</v>
      </c>
      <c r="AE1527" s="108" t="s">
        <v>6773</v>
      </c>
    </row>
    <row r="1528" spans="1:31" ht="27" customHeight="1" x14ac:dyDescent="0.15">
      <c r="A1528" s="105">
        <v>1116511765</v>
      </c>
      <c r="B1528" s="106" t="s">
        <v>11820</v>
      </c>
      <c r="C1528" s="107" t="s">
        <v>6775</v>
      </c>
      <c r="D1528" s="108" t="s">
        <v>105</v>
      </c>
      <c r="E1528" s="108" t="s">
        <v>6776</v>
      </c>
      <c r="F1528" s="139" t="s">
        <v>6777</v>
      </c>
      <c r="G1528" s="139" t="s">
        <v>6778</v>
      </c>
      <c r="H1528" s="139" t="s">
        <v>4516</v>
      </c>
      <c r="I1528" s="141"/>
      <c r="J1528" s="142"/>
      <c r="K1528" s="142"/>
      <c r="L1528" s="142"/>
      <c r="M1528" s="142" t="s">
        <v>49</v>
      </c>
      <c r="N1528" s="142" t="s">
        <v>49</v>
      </c>
      <c r="O1528" s="142"/>
      <c r="P1528" s="105"/>
      <c r="Q1528" s="137"/>
      <c r="R1528" s="138"/>
      <c r="S1528" s="105"/>
      <c r="T1528" s="105"/>
      <c r="U1528" s="105"/>
      <c r="V1528" s="137"/>
      <c r="W1528" s="138"/>
      <c r="X1528" s="137"/>
      <c r="Y1528" s="138"/>
      <c r="Z1528" s="105"/>
      <c r="AA1528" s="105"/>
      <c r="AB1528" s="105" t="s">
        <v>49</v>
      </c>
      <c r="AC1528" s="105"/>
      <c r="AD1528" s="155">
        <v>44317</v>
      </c>
      <c r="AE1528" s="108" t="s">
        <v>6779</v>
      </c>
    </row>
    <row r="1529" spans="1:31" ht="27" customHeight="1" x14ac:dyDescent="0.15">
      <c r="A1529" s="105">
        <v>1116511781</v>
      </c>
      <c r="B1529" s="106" t="s">
        <v>7597</v>
      </c>
      <c r="C1529" s="107" t="s">
        <v>6788</v>
      </c>
      <c r="D1529" s="108" t="s">
        <v>105</v>
      </c>
      <c r="E1529" s="108" t="s">
        <v>6789</v>
      </c>
      <c r="F1529" s="139" t="s">
        <v>6790</v>
      </c>
      <c r="G1529" s="139" t="s">
        <v>6791</v>
      </c>
      <c r="H1529" s="139" t="s">
        <v>6792</v>
      </c>
      <c r="I1529" s="141"/>
      <c r="J1529" s="142"/>
      <c r="K1529" s="142"/>
      <c r="L1529" s="142"/>
      <c r="M1529" s="142" t="s">
        <v>765</v>
      </c>
      <c r="N1529" s="142" t="s">
        <v>765</v>
      </c>
      <c r="O1529" s="142"/>
      <c r="P1529" s="105"/>
      <c r="Q1529" s="137"/>
      <c r="R1529" s="138"/>
      <c r="S1529" s="105"/>
      <c r="T1529" s="105"/>
      <c r="U1529" s="105"/>
      <c r="V1529" s="137">
        <v>10</v>
      </c>
      <c r="W1529" s="138"/>
      <c r="X1529" s="137">
        <v>10</v>
      </c>
      <c r="Y1529" s="138"/>
      <c r="Z1529" s="105"/>
      <c r="AA1529" s="105"/>
      <c r="AB1529" s="105"/>
      <c r="AC1529" s="105"/>
      <c r="AD1529" s="155">
        <v>44348</v>
      </c>
      <c r="AE1529" s="108" t="s">
        <v>6793</v>
      </c>
    </row>
    <row r="1530" spans="1:31" ht="27" customHeight="1" x14ac:dyDescent="0.15">
      <c r="A1530" s="105">
        <v>1116511831</v>
      </c>
      <c r="B1530" s="106" t="s">
        <v>11821</v>
      </c>
      <c r="C1530" s="107" t="s">
        <v>6794</v>
      </c>
      <c r="D1530" s="108" t="s">
        <v>3873</v>
      </c>
      <c r="E1530" s="108" t="s">
        <v>6795</v>
      </c>
      <c r="F1530" s="139" t="s">
        <v>4566</v>
      </c>
      <c r="G1530" s="139" t="s">
        <v>6796</v>
      </c>
      <c r="H1530" s="139" t="s">
        <v>6797</v>
      </c>
      <c r="I1530" s="141"/>
      <c r="J1530" s="142"/>
      <c r="K1530" s="142"/>
      <c r="L1530" s="142"/>
      <c r="M1530" s="142" t="s">
        <v>765</v>
      </c>
      <c r="N1530" s="142" t="s">
        <v>765</v>
      </c>
      <c r="O1530" s="142" t="s">
        <v>765</v>
      </c>
      <c r="P1530" s="105"/>
      <c r="Q1530" s="137"/>
      <c r="R1530" s="138"/>
      <c r="S1530" s="105"/>
      <c r="T1530" s="105"/>
      <c r="U1530" s="105"/>
      <c r="V1530" s="137"/>
      <c r="W1530" s="138"/>
      <c r="X1530" s="137"/>
      <c r="Y1530" s="138"/>
      <c r="Z1530" s="105">
        <v>20</v>
      </c>
      <c r="AA1530" s="105"/>
      <c r="AB1530" s="105"/>
      <c r="AC1530" s="105"/>
      <c r="AD1530" s="155">
        <v>44348</v>
      </c>
      <c r="AE1530" s="108" t="s">
        <v>6798</v>
      </c>
    </row>
    <row r="1531" spans="1:31" ht="27" customHeight="1" x14ac:dyDescent="0.15">
      <c r="A1531" s="105">
        <v>1116511807</v>
      </c>
      <c r="B1531" s="106" t="s">
        <v>11822</v>
      </c>
      <c r="C1531" s="107" t="s">
        <v>6799</v>
      </c>
      <c r="D1531" s="108" t="s">
        <v>3873</v>
      </c>
      <c r="E1531" s="108" t="s">
        <v>6800</v>
      </c>
      <c r="F1531" s="139" t="s">
        <v>5912</v>
      </c>
      <c r="G1531" s="139" t="s">
        <v>6801</v>
      </c>
      <c r="H1531" s="139" t="s">
        <v>6802</v>
      </c>
      <c r="I1531" s="141"/>
      <c r="J1531" s="142"/>
      <c r="K1531" s="142"/>
      <c r="L1531" s="142"/>
      <c r="M1531" s="142"/>
      <c r="N1531" s="142" t="s">
        <v>765</v>
      </c>
      <c r="O1531" s="142"/>
      <c r="P1531" s="105"/>
      <c r="Q1531" s="137"/>
      <c r="R1531" s="138"/>
      <c r="S1531" s="105"/>
      <c r="T1531" s="105"/>
      <c r="U1531" s="105"/>
      <c r="V1531" s="137">
        <v>20</v>
      </c>
      <c r="W1531" s="138"/>
      <c r="X1531" s="137"/>
      <c r="Y1531" s="138"/>
      <c r="Z1531" s="105"/>
      <c r="AA1531" s="105"/>
      <c r="AB1531" s="105"/>
      <c r="AC1531" s="105"/>
      <c r="AD1531" s="155">
        <v>44348</v>
      </c>
      <c r="AE1531" s="108" t="s">
        <v>6714</v>
      </c>
    </row>
    <row r="1532" spans="1:31" ht="27" customHeight="1" x14ac:dyDescent="0.15">
      <c r="A1532" s="105">
        <v>1116511815</v>
      </c>
      <c r="B1532" s="106" t="s">
        <v>11823</v>
      </c>
      <c r="C1532" s="107" t="s">
        <v>6803</v>
      </c>
      <c r="D1532" s="108" t="s">
        <v>3873</v>
      </c>
      <c r="E1532" s="108" t="s">
        <v>6804</v>
      </c>
      <c r="F1532" s="139" t="s">
        <v>6805</v>
      </c>
      <c r="G1532" s="139" t="s">
        <v>6806</v>
      </c>
      <c r="H1532" s="139" t="s">
        <v>6807</v>
      </c>
      <c r="I1532" s="141"/>
      <c r="J1532" s="142"/>
      <c r="K1532" s="142"/>
      <c r="L1532" s="142"/>
      <c r="M1532" s="142" t="s">
        <v>765</v>
      </c>
      <c r="N1532" s="142"/>
      <c r="O1532" s="142"/>
      <c r="P1532" s="105"/>
      <c r="Q1532" s="137"/>
      <c r="R1532" s="138">
        <v>2</v>
      </c>
      <c r="S1532" s="105"/>
      <c r="T1532" s="105">
        <v>10</v>
      </c>
      <c r="U1532" s="105"/>
      <c r="V1532" s="137"/>
      <c r="W1532" s="138"/>
      <c r="X1532" s="137"/>
      <c r="Y1532" s="138"/>
      <c r="Z1532" s="105"/>
      <c r="AA1532" s="105">
        <v>20</v>
      </c>
      <c r="AB1532" s="105"/>
      <c r="AC1532" s="105"/>
      <c r="AD1532" s="155">
        <v>44348</v>
      </c>
      <c r="AE1532" s="108" t="s">
        <v>11295</v>
      </c>
    </row>
    <row r="1533" spans="1:31" ht="27" customHeight="1" x14ac:dyDescent="0.15">
      <c r="A1533" s="105">
        <v>1116511906</v>
      </c>
      <c r="B1533" s="106" t="s">
        <v>6832</v>
      </c>
      <c r="C1533" s="107" t="s">
        <v>6833</v>
      </c>
      <c r="D1533" s="108" t="s">
        <v>105</v>
      </c>
      <c r="E1533" s="108" t="s">
        <v>6834</v>
      </c>
      <c r="F1533" s="139" t="s">
        <v>6730</v>
      </c>
      <c r="G1533" s="139" t="s">
        <v>6835</v>
      </c>
      <c r="H1533" s="139" t="s">
        <v>6836</v>
      </c>
      <c r="I1533" s="141"/>
      <c r="J1533" s="142"/>
      <c r="K1533" s="142"/>
      <c r="L1533" s="142"/>
      <c r="M1533" s="142" t="s">
        <v>765</v>
      </c>
      <c r="N1533" s="177" t="s">
        <v>765</v>
      </c>
      <c r="O1533" s="177"/>
      <c r="P1533" s="105"/>
      <c r="Q1533" s="137"/>
      <c r="R1533" s="138"/>
      <c r="S1533" s="105"/>
      <c r="T1533" s="105"/>
      <c r="U1533" s="105"/>
      <c r="V1533" s="137"/>
      <c r="W1533" s="138"/>
      <c r="X1533" s="137"/>
      <c r="Y1533" s="138"/>
      <c r="Z1533" s="105"/>
      <c r="AA1533" s="105">
        <v>20</v>
      </c>
      <c r="AB1533" s="105"/>
      <c r="AC1533" s="105"/>
      <c r="AD1533" s="155">
        <v>44378</v>
      </c>
      <c r="AE1533" s="108" t="s">
        <v>6837</v>
      </c>
    </row>
    <row r="1534" spans="1:31" ht="27" customHeight="1" x14ac:dyDescent="0.15">
      <c r="A1534" s="105">
        <v>1116511997</v>
      </c>
      <c r="B1534" s="106" t="s">
        <v>6826</v>
      </c>
      <c r="C1534" s="107" t="s">
        <v>6827</v>
      </c>
      <c r="D1534" s="108" t="s">
        <v>105</v>
      </c>
      <c r="E1534" s="108" t="s">
        <v>9803</v>
      </c>
      <c r="F1534" s="139" t="s">
        <v>6828</v>
      </c>
      <c r="G1534" s="139" t="s">
        <v>6829</v>
      </c>
      <c r="H1534" s="139" t="s">
        <v>6830</v>
      </c>
      <c r="I1534" s="141"/>
      <c r="J1534" s="142"/>
      <c r="K1534" s="142"/>
      <c r="L1534" s="142"/>
      <c r="M1534" s="142" t="s">
        <v>765</v>
      </c>
      <c r="N1534" s="177" t="s">
        <v>765</v>
      </c>
      <c r="O1534" s="177"/>
      <c r="P1534" s="105"/>
      <c r="Q1534" s="137"/>
      <c r="R1534" s="138"/>
      <c r="S1534" s="105"/>
      <c r="T1534" s="105"/>
      <c r="U1534" s="105"/>
      <c r="V1534" s="137"/>
      <c r="W1534" s="138"/>
      <c r="X1534" s="137"/>
      <c r="Y1534" s="138"/>
      <c r="Z1534" s="105"/>
      <c r="AA1534" s="105">
        <v>20</v>
      </c>
      <c r="AB1534" s="105"/>
      <c r="AC1534" s="105"/>
      <c r="AD1534" s="155">
        <v>44378</v>
      </c>
      <c r="AE1534" s="108" t="s">
        <v>6831</v>
      </c>
    </row>
    <row r="1535" spans="1:31" ht="27" customHeight="1" x14ac:dyDescent="0.15">
      <c r="A1535" s="105">
        <v>1116512029</v>
      </c>
      <c r="B1535" s="106" t="s">
        <v>11824</v>
      </c>
      <c r="C1535" s="409" t="s">
        <v>9836</v>
      </c>
      <c r="D1535" s="108" t="s">
        <v>3873</v>
      </c>
      <c r="E1535" s="108" t="s">
        <v>6928</v>
      </c>
      <c r="F1535" s="139" t="s">
        <v>4467</v>
      </c>
      <c r="G1535" s="139" t="s">
        <v>6929</v>
      </c>
      <c r="H1535" s="139" t="s">
        <v>6930</v>
      </c>
      <c r="I1535" s="141"/>
      <c r="J1535" s="142"/>
      <c r="K1535" s="142"/>
      <c r="L1535" s="142"/>
      <c r="M1535" s="142" t="s">
        <v>765</v>
      </c>
      <c r="N1535" s="177" t="s">
        <v>765</v>
      </c>
      <c r="O1535" s="177"/>
      <c r="P1535" s="105"/>
      <c r="Q1535" s="137"/>
      <c r="R1535" s="138"/>
      <c r="S1535" s="105"/>
      <c r="T1535" s="105"/>
      <c r="U1535" s="105"/>
      <c r="V1535" s="137"/>
      <c r="W1535" s="138"/>
      <c r="X1535" s="137">
        <v>10</v>
      </c>
      <c r="Y1535" s="138"/>
      <c r="Z1535" s="105"/>
      <c r="AA1535" s="105"/>
      <c r="AB1535" s="105"/>
      <c r="AC1535" s="105"/>
      <c r="AD1535" s="155">
        <v>44409</v>
      </c>
      <c r="AE1535" s="108" t="s">
        <v>6931</v>
      </c>
    </row>
    <row r="1536" spans="1:31" ht="27" customHeight="1" x14ac:dyDescent="0.15">
      <c r="A1536" s="440">
        <v>1116512177</v>
      </c>
      <c r="B1536" s="441" t="s">
        <v>12058</v>
      </c>
      <c r="C1536" s="442" t="s">
        <v>6990</v>
      </c>
      <c r="D1536" s="443" t="s">
        <v>105</v>
      </c>
      <c r="E1536" s="443" t="s">
        <v>6991</v>
      </c>
      <c r="F1536" s="444" t="s">
        <v>6992</v>
      </c>
      <c r="G1536" s="444" t="s">
        <v>6993</v>
      </c>
      <c r="H1536" s="444" t="s">
        <v>6994</v>
      </c>
      <c r="I1536" s="445"/>
      <c r="J1536" s="446"/>
      <c r="K1536" s="446"/>
      <c r="L1536" s="446"/>
      <c r="M1536" s="222" t="s">
        <v>765</v>
      </c>
      <c r="N1536" s="447" t="s">
        <v>765</v>
      </c>
      <c r="O1536" s="448" t="s">
        <v>765</v>
      </c>
      <c r="P1536" s="440"/>
      <c r="Q1536" s="449"/>
      <c r="R1536" s="450"/>
      <c r="S1536" s="440"/>
      <c r="T1536" s="440"/>
      <c r="U1536" s="440"/>
      <c r="V1536" s="449"/>
      <c r="W1536" s="450"/>
      <c r="X1536" s="449"/>
      <c r="Y1536" s="450"/>
      <c r="Z1536" s="440"/>
      <c r="AA1536" s="440">
        <v>20</v>
      </c>
      <c r="AB1536" s="440"/>
      <c r="AC1536" s="440"/>
      <c r="AD1536" s="451">
        <v>44440</v>
      </c>
      <c r="AE1536" s="443" t="s">
        <v>6995</v>
      </c>
    </row>
    <row r="1537" spans="1:31" ht="27" customHeight="1" x14ac:dyDescent="0.15">
      <c r="A1537" s="105">
        <v>1116512268</v>
      </c>
      <c r="B1537" s="106" t="s">
        <v>5343</v>
      </c>
      <c r="C1537" s="107" t="s">
        <v>7028</v>
      </c>
      <c r="D1537" s="108" t="s">
        <v>105</v>
      </c>
      <c r="E1537" s="108" t="s">
        <v>7029</v>
      </c>
      <c r="F1537" s="139" t="s">
        <v>7030</v>
      </c>
      <c r="G1537" s="139" t="s">
        <v>7031</v>
      </c>
      <c r="H1537" s="139" t="s">
        <v>7032</v>
      </c>
      <c r="I1537" s="141" t="s">
        <v>765</v>
      </c>
      <c r="J1537" s="142" t="s">
        <v>765</v>
      </c>
      <c r="K1537" s="142" t="s">
        <v>765</v>
      </c>
      <c r="L1537" s="142" t="s">
        <v>765</v>
      </c>
      <c r="M1537" s="142" t="s">
        <v>765</v>
      </c>
      <c r="N1537" s="177"/>
      <c r="O1537" s="177"/>
      <c r="P1537" s="105"/>
      <c r="Q1537" s="137"/>
      <c r="R1537" s="138"/>
      <c r="S1537" s="105"/>
      <c r="T1537" s="105">
        <v>60</v>
      </c>
      <c r="U1537" s="105"/>
      <c r="V1537" s="137"/>
      <c r="W1537" s="138"/>
      <c r="X1537" s="137"/>
      <c r="Y1537" s="138"/>
      <c r="Z1537" s="105"/>
      <c r="AA1537" s="105"/>
      <c r="AB1537" s="105"/>
      <c r="AC1537" s="105"/>
      <c r="AD1537" s="155">
        <v>44470</v>
      </c>
      <c r="AE1537" s="108" t="s">
        <v>7033</v>
      </c>
    </row>
    <row r="1538" spans="1:31" ht="27" customHeight="1" x14ac:dyDescent="0.15">
      <c r="A1538" s="105">
        <v>1116512292</v>
      </c>
      <c r="B1538" s="106" t="s">
        <v>7034</v>
      </c>
      <c r="C1538" s="107" t="s">
        <v>7496</v>
      </c>
      <c r="D1538" s="108" t="s">
        <v>3873</v>
      </c>
      <c r="E1538" s="108" t="s">
        <v>7035</v>
      </c>
      <c r="F1538" s="139" t="s">
        <v>4722</v>
      </c>
      <c r="G1538" s="139" t="s">
        <v>7036</v>
      </c>
      <c r="H1538" s="139" t="s">
        <v>5428</v>
      </c>
      <c r="I1538" s="141"/>
      <c r="J1538" s="142"/>
      <c r="K1538" s="142"/>
      <c r="L1538" s="142"/>
      <c r="M1538" s="142" t="s">
        <v>765</v>
      </c>
      <c r="N1538" s="177" t="s">
        <v>765</v>
      </c>
      <c r="O1538" s="177" t="s">
        <v>765</v>
      </c>
      <c r="P1538" s="105"/>
      <c r="Q1538" s="137"/>
      <c r="R1538" s="138"/>
      <c r="S1538" s="105"/>
      <c r="T1538" s="105"/>
      <c r="U1538" s="105"/>
      <c r="V1538" s="137"/>
      <c r="W1538" s="138"/>
      <c r="X1538" s="137"/>
      <c r="Y1538" s="138"/>
      <c r="Z1538" s="105"/>
      <c r="AA1538" s="105"/>
      <c r="AB1538" s="105" t="s">
        <v>765</v>
      </c>
      <c r="AC1538" s="105"/>
      <c r="AD1538" s="155">
        <v>44470</v>
      </c>
      <c r="AE1538" s="108" t="s">
        <v>7037</v>
      </c>
    </row>
    <row r="1539" spans="1:31" ht="27" customHeight="1" x14ac:dyDescent="0.15">
      <c r="A1539" s="433">
        <v>1116512318</v>
      </c>
      <c r="B1539" s="452" t="s">
        <v>11825</v>
      </c>
      <c r="C1539" s="166" t="s">
        <v>8685</v>
      </c>
      <c r="D1539" s="434" t="s">
        <v>8135</v>
      </c>
      <c r="E1539" s="166" t="s">
        <v>8686</v>
      </c>
      <c r="F1539" s="76" t="s">
        <v>5912</v>
      </c>
      <c r="G1539" s="76" t="s">
        <v>8099</v>
      </c>
      <c r="H1539" s="76" t="s">
        <v>8100</v>
      </c>
      <c r="I1539" s="178"/>
      <c r="J1539" s="170"/>
      <c r="K1539" s="170"/>
      <c r="L1539" s="170"/>
      <c r="M1539" s="170" t="s">
        <v>8136</v>
      </c>
      <c r="N1539" s="170" t="s">
        <v>8136</v>
      </c>
      <c r="O1539" s="170" t="s">
        <v>8136</v>
      </c>
      <c r="P1539" s="76"/>
      <c r="Q1539" s="70"/>
      <c r="R1539" s="92"/>
      <c r="S1539" s="76"/>
      <c r="T1539" s="76"/>
      <c r="U1539" s="178"/>
      <c r="V1539" s="70"/>
      <c r="W1539" s="92"/>
      <c r="X1539" s="128">
        <v>20</v>
      </c>
      <c r="Y1539" s="92"/>
      <c r="Z1539" s="76"/>
      <c r="AA1539" s="76"/>
      <c r="AB1539" s="76"/>
      <c r="AC1539" s="76"/>
      <c r="AD1539" s="146">
        <v>44470</v>
      </c>
      <c r="AE1539" s="166" t="s">
        <v>8687</v>
      </c>
    </row>
    <row r="1540" spans="1:31" ht="27" customHeight="1" x14ac:dyDescent="0.15">
      <c r="A1540" s="105">
        <v>1116512334</v>
      </c>
      <c r="B1540" s="106" t="s">
        <v>7087</v>
      </c>
      <c r="C1540" s="107" t="s">
        <v>7088</v>
      </c>
      <c r="D1540" s="108" t="s">
        <v>105</v>
      </c>
      <c r="E1540" s="108" t="s">
        <v>7089</v>
      </c>
      <c r="F1540" s="139" t="s">
        <v>4514</v>
      </c>
      <c r="G1540" s="139" t="s">
        <v>7090</v>
      </c>
      <c r="H1540" s="139" t="s">
        <v>7091</v>
      </c>
      <c r="I1540" s="141"/>
      <c r="J1540" s="142"/>
      <c r="K1540" s="142"/>
      <c r="L1540" s="142"/>
      <c r="M1540" s="142" t="s">
        <v>49</v>
      </c>
      <c r="N1540" s="177"/>
      <c r="O1540" s="177"/>
      <c r="P1540" s="105"/>
      <c r="Q1540" s="137"/>
      <c r="R1540" s="138"/>
      <c r="S1540" s="105"/>
      <c r="T1540" s="105">
        <v>20</v>
      </c>
      <c r="U1540" s="105"/>
      <c r="V1540" s="137"/>
      <c r="W1540" s="138"/>
      <c r="X1540" s="137"/>
      <c r="Y1540" s="138"/>
      <c r="Z1540" s="105"/>
      <c r="AA1540" s="105"/>
      <c r="AB1540" s="105"/>
      <c r="AC1540" s="105"/>
      <c r="AD1540" s="155">
        <v>44501</v>
      </c>
      <c r="AE1540" s="108" t="s">
        <v>7092</v>
      </c>
    </row>
    <row r="1541" spans="1:31" ht="27" customHeight="1" x14ac:dyDescent="0.15">
      <c r="A1541" s="105">
        <v>1116512359</v>
      </c>
      <c r="B1541" s="106" t="s">
        <v>7093</v>
      </c>
      <c r="C1541" s="107" t="s">
        <v>7094</v>
      </c>
      <c r="D1541" s="108" t="s">
        <v>105</v>
      </c>
      <c r="E1541" s="108" t="s">
        <v>7095</v>
      </c>
      <c r="F1541" s="139" t="s">
        <v>6790</v>
      </c>
      <c r="G1541" s="139" t="s">
        <v>7096</v>
      </c>
      <c r="H1541" s="139" t="s">
        <v>7097</v>
      </c>
      <c r="I1541" s="141"/>
      <c r="J1541" s="142"/>
      <c r="K1541" s="142"/>
      <c r="L1541" s="142"/>
      <c r="M1541" s="142" t="s">
        <v>765</v>
      </c>
      <c r="N1541" s="177" t="s">
        <v>765</v>
      </c>
      <c r="O1541" s="177"/>
      <c r="P1541" s="105"/>
      <c r="Q1541" s="137"/>
      <c r="R1541" s="138"/>
      <c r="S1541" s="105"/>
      <c r="T1541" s="105"/>
      <c r="U1541" s="105"/>
      <c r="V1541" s="137"/>
      <c r="W1541" s="138"/>
      <c r="X1541" s="137"/>
      <c r="Y1541" s="138"/>
      <c r="Z1541" s="105"/>
      <c r="AA1541" s="105">
        <v>20</v>
      </c>
      <c r="AB1541" s="105"/>
      <c r="AC1541" s="105"/>
      <c r="AD1541" s="155">
        <v>44501</v>
      </c>
      <c r="AE1541" s="108" t="s">
        <v>7098</v>
      </c>
    </row>
    <row r="1542" spans="1:31" ht="27" customHeight="1" x14ac:dyDescent="0.15">
      <c r="A1542" s="105">
        <v>1116512417</v>
      </c>
      <c r="B1542" s="381" t="s">
        <v>11826</v>
      </c>
      <c r="C1542" s="382" t="s">
        <v>8576</v>
      </c>
      <c r="D1542" s="108" t="s">
        <v>105</v>
      </c>
      <c r="E1542" s="108" t="s">
        <v>7116</v>
      </c>
      <c r="F1542" s="139" t="s">
        <v>4612</v>
      </c>
      <c r="G1542" s="139" t="s">
        <v>7113</v>
      </c>
      <c r="H1542" s="139" t="s">
        <v>7114</v>
      </c>
      <c r="I1542" s="141"/>
      <c r="J1542" s="142"/>
      <c r="K1542" s="142"/>
      <c r="L1542" s="142"/>
      <c r="M1542" s="142" t="s">
        <v>765</v>
      </c>
      <c r="N1542" s="177" t="s">
        <v>765</v>
      </c>
      <c r="O1542" s="177" t="s">
        <v>765</v>
      </c>
      <c r="P1542" s="105"/>
      <c r="Q1542" s="137"/>
      <c r="R1542" s="138"/>
      <c r="S1542" s="105"/>
      <c r="T1542" s="105"/>
      <c r="U1542" s="105"/>
      <c r="V1542" s="137"/>
      <c r="W1542" s="138"/>
      <c r="X1542" s="137"/>
      <c r="Y1542" s="138"/>
      <c r="Z1542" s="105"/>
      <c r="AA1542" s="105">
        <v>20</v>
      </c>
      <c r="AB1542" s="105"/>
      <c r="AC1542" s="105"/>
      <c r="AD1542" s="155">
        <v>44531</v>
      </c>
      <c r="AE1542" s="108" t="s">
        <v>7115</v>
      </c>
    </row>
    <row r="1543" spans="1:31" ht="27" customHeight="1" x14ac:dyDescent="0.15">
      <c r="A1543" s="425">
        <v>1116512441</v>
      </c>
      <c r="B1543" s="423" t="s">
        <v>11827</v>
      </c>
      <c r="C1543" s="453" t="s">
        <v>8846</v>
      </c>
      <c r="D1543" s="454" t="s">
        <v>8359</v>
      </c>
      <c r="E1543" s="406" t="s">
        <v>8847</v>
      </c>
      <c r="F1543" s="391" t="s">
        <v>8848</v>
      </c>
      <c r="G1543" s="426" t="s">
        <v>8849</v>
      </c>
      <c r="H1543" s="426"/>
      <c r="I1543" s="427"/>
      <c r="J1543" s="428"/>
      <c r="K1543" s="428"/>
      <c r="L1543" s="428"/>
      <c r="M1543" s="428" t="s">
        <v>765</v>
      </c>
      <c r="N1543" s="455" t="s">
        <v>765</v>
      </c>
      <c r="O1543" s="429" t="s">
        <v>765</v>
      </c>
      <c r="P1543" s="425"/>
      <c r="Q1543" s="430"/>
      <c r="R1543" s="429"/>
      <c r="S1543" s="425"/>
      <c r="T1543" s="425"/>
      <c r="U1543" s="425"/>
      <c r="V1543" s="430"/>
      <c r="W1543" s="429"/>
      <c r="X1543" s="430"/>
      <c r="Y1543" s="429"/>
      <c r="Z1543" s="391"/>
      <c r="AA1543" s="391">
        <v>32</v>
      </c>
      <c r="AB1543" s="391"/>
      <c r="AC1543" s="391"/>
      <c r="AD1543" s="405">
        <v>44531</v>
      </c>
      <c r="AE1543" s="453" t="s">
        <v>8850</v>
      </c>
    </row>
    <row r="1544" spans="1:31" ht="27" customHeight="1" x14ac:dyDescent="0.15">
      <c r="A1544" s="105">
        <v>1116512458</v>
      </c>
      <c r="B1544" s="106" t="s">
        <v>6001</v>
      </c>
      <c r="C1544" s="107" t="s">
        <v>7117</v>
      </c>
      <c r="D1544" s="108" t="s">
        <v>105</v>
      </c>
      <c r="E1544" s="108" t="s">
        <v>7118</v>
      </c>
      <c r="F1544" s="139" t="s">
        <v>5912</v>
      </c>
      <c r="G1544" s="139" t="s">
        <v>5913</v>
      </c>
      <c r="H1544" s="139" t="s">
        <v>5914</v>
      </c>
      <c r="I1544" s="141"/>
      <c r="J1544" s="142"/>
      <c r="K1544" s="142"/>
      <c r="L1544" s="142"/>
      <c r="M1544" s="142" t="s">
        <v>765</v>
      </c>
      <c r="N1544" s="177" t="s">
        <v>765</v>
      </c>
      <c r="O1544" s="177"/>
      <c r="P1544" s="105"/>
      <c r="Q1544" s="137"/>
      <c r="R1544" s="138"/>
      <c r="S1544" s="105"/>
      <c r="T1544" s="105"/>
      <c r="U1544" s="105"/>
      <c r="V1544" s="137"/>
      <c r="W1544" s="138"/>
      <c r="X1544" s="137"/>
      <c r="Y1544" s="138"/>
      <c r="Z1544" s="105"/>
      <c r="AA1544" s="105"/>
      <c r="AB1544" s="105" t="s">
        <v>765</v>
      </c>
      <c r="AC1544" s="105"/>
      <c r="AD1544" s="155">
        <v>44531</v>
      </c>
      <c r="AE1544" s="108" t="s">
        <v>5915</v>
      </c>
    </row>
    <row r="1545" spans="1:31" ht="27" customHeight="1" x14ac:dyDescent="0.15">
      <c r="A1545" s="105">
        <v>1116512581</v>
      </c>
      <c r="B1545" s="106" t="s">
        <v>7184</v>
      </c>
      <c r="C1545" s="107" t="s">
        <v>7167</v>
      </c>
      <c r="D1545" s="108" t="s">
        <v>105</v>
      </c>
      <c r="E1545" s="108" t="s">
        <v>7168</v>
      </c>
      <c r="F1545" s="139" t="s">
        <v>4612</v>
      </c>
      <c r="G1545" s="139" t="s">
        <v>7169</v>
      </c>
      <c r="H1545" s="139" t="s">
        <v>7170</v>
      </c>
      <c r="I1545" s="141"/>
      <c r="J1545" s="142"/>
      <c r="K1545" s="142"/>
      <c r="L1545" s="142"/>
      <c r="M1545" s="142" t="s">
        <v>765</v>
      </c>
      <c r="N1545" s="177" t="s">
        <v>765</v>
      </c>
      <c r="O1545" s="177" t="s">
        <v>765</v>
      </c>
      <c r="P1545" s="105"/>
      <c r="Q1545" s="137"/>
      <c r="R1545" s="138"/>
      <c r="S1545" s="105"/>
      <c r="T1545" s="105"/>
      <c r="U1545" s="105"/>
      <c r="V1545" s="137"/>
      <c r="W1545" s="138"/>
      <c r="X1545" s="137">
        <v>16</v>
      </c>
      <c r="Y1545" s="138"/>
      <c r="Z1545" s="105"/>
      <c r="AA1545" s="105"/>
      <c r="AB1545" s="105"/>
      <c r="AC1545" s="105"/>
      <c r="AD1545" s="155">
        <v>44562</v>
      </c>
      <c r="AE1545" s="108" t="s">
        <v>7171</v>
      </c>
    </row>
    <row r="1546" spans="1:31" ht="27" customHeight="1" x14ac:dyDescent="0.15">
      <c r="A1546" s="105">
        <v>1116512557</v>
      </c>
      <c r="B1546" s="106" t="s">
        <v>7185</v>
      </c>
      <c r="C1546" s="107" t="s">
        <v>7179</v>
      </c>
      <c r="D1546" s="108" t="s">
        <v>105</v>
      </c>
      <c r="E1546" s="401" t="s">
        <v>8575</v>
      </c>
      <c r="F1546" s="139" t="s">
        <v>4612</v>
      </c>
      <c r="G1546" s="139" t="s">
        <v>5446</v>
      </c>
      <c r="H1546" s="139" t="s">
        <v>5447</v>
      </c>
      <c r="I1546" s="141"/>
      <c r="J1546" s="142"/>
      <c r="K1546" s="142"/>
      <c r="L1546" s="142"/>
      <c r="M1546" s="142" t="s">
        <v>765</v>
      </c>
      <c r="N1546" s="177" t="s">
        <v>765</v>
      </c>
      <c r="O1546" s="177" t="s">
        <v>765</v>
      </c>
      <c r="P1546" s="105"/>
      <c r="Q1546" s="137"/>
      <c r="R1546" s="138"/>
      <c r="S1546" s="105"/>
      <c r="T1546" s="105"/>
      <c r="U1546" s="105"/>
      <c r="V1546" s="137"/>
      <c r="W1546" s="138"/>
      <c r="X1546" s="137"/>
      <c r="Y1546" s="138"/>
      <c r="Z1546" s="105"/>
      <c r="AA1546" s="105"/>
      <c r="AB1546" s="105" t="s">
        <v>765</v>
      </c>
      <c r="AC1546" s="105"/>
      <c r="AD1546" s="155">
        <v>44562</v>
      </c>
      <c r="AE1546" s="108" t="s">
        <v>7180</v>
      </c>
    </row>
    <row r="1547" spans="1:31" ht="27" customHeight="1" x14ac:dyDescent="0.15">
      <c r="A1547" s="105">
        <v>1116512672</v>
      </c>
      <c r="B1547" s="106" t="s">
        <v>7241</v>
      </c>
      <c r="C1547" s="107" t="s">
        <v>5430</v>
      </c>
      <c r="D1547" s="108" t="s">
        <v>3873</v>
      </c>
      <c r="E1547" s="108" t="s">
        <v>7239</v>
      </c>
      <c r="F1547" s="139" t="s">
        <v>4566</v>
      </c>
      <c r="G1547" s="139" t="s">
        <v>5431</v>
      </c>
      <c r="H1547" s="139" t="s">
        <v>5432</v>
      </c>
      <c r="I1547" s="221"/>
      <c r="J1547" s="222"/>
      <c r="K1547" s="222"/>
      <c r="L1547" s="222"/>
      <c r="M1547" s="222" t="s">
        <v>765</v>
      </c>
      <c r="N1547" s="447" t="s">
        <v>765</v>
      </c>
      <c r="O1547" s="447" t="s">
        <v>765</v>
      </c>
      <c r="P1547" s="175"/>
      <c r="Q1547" s="209"/>
      <c r="R1547" s="210"/>
      <c r="S1547" s="175"/>
      <c r="T1547" s="175"/>
      <c r="U1547" s="175"/>
      <c r="V1547" s="209"/>
      <c r="W1547" s="210"/>
      <c r="X1547" s="209"/>
      <c r="Y1547" s="210"/>
      <c r="Z1547" s="175"/>
      <c r="AA1547" s="175"/>
      <c r="AB1547" s="175" t="s">
        <v>765</v>
      </c>
      <c r="AC1547" s="175"/>
      <c r="AD1547" s="211">
        <v>44593</v>
      </c>
      <c r="AE1547" s="162" t="s">
        <v>7240</v>
      </c>
    </row>
    <row r="1548" spans="1:31" ht="27" customHeight="1" x14ac:dyDescent="0.15">
      <c r="A1548" s="380">
        <v>1116512698</v>
      </c>
      <c r="B1548" s="381" t="s">
        <v>11828</v>
      </c>
      <c r="C1548" s="453" t="s">
        <v>11296</v>
      </c>
      <c r="D1548" s="329" t="s">
        <v>8135</v>
      </c>
      <c r="E1548" s="406" t="s">
        <v>9074</v>
      </c>
      <c r="F1548" s="456" t="s">
        <v>9075</v>
      </c>
      <c r="G1548" s="426" t="s">
        <v>9076</v>
      </c>
      <c r="H1548" s="426" t="s">
        <v>9077</v>
      </c>
      <c r="I1548" s="385"/>
      <c r="J1548" s="386"/>
      <c r="K1548" s="386"/>
      <c r="L1548" s="386"/>
      <c r="M1548" s="386" t="s">
        <v>8136</v>
      </c>
      <c r="N1548" s="386"/>
      <c r="O1548" s="386"/>
      <c r="P1548" s="380"/>
      <c r="Q1548" s="389"/>
      <c r="R1548" s="388"/>
      <c r="S1548" s="380"/>
      <c r="T1548" s="380">
        <v>20</v>
      </c>
      <c r="U1548" s="380"/>
      <c r="V1548" s="389"/>
      <c r="W1548" s="388"/>
      <c r="X1548" s="389"/>
      <c r="Y1548" s="388"/>
      <c r="Z1548" s="380"/>
      <c r="AA1548" s="380"/>
      <c r="AB1548" s="380"/>
      <c r="AC1548" s="380"/>
      <c r="AD1548" s="155">
        <v>45017</v>
      </c>
      <c r="AE1548" s="401" t="s">
        <v>11297</v>
      </c>
    </row>
    <row r="1549" spans="1:31" ht="27" customHeight="1" x14ac:dyDescent="0.15">
      <c r="A1549" s="105">
        <v>1116512706</v>
      </c>
      <c r="B1549" s="106" t="s">
        <v>7488</v>
      </c>
      <c r="C1549" s="107" t="s">
        <v>7258</v>
      </c>
      <c r="D1549" s="108" t="s">
        <v>105</v>
      </c>
      <c r="E1549" s="108" t="s">
        <v>7259</v>
      </c>
      <c r="F1549" s="139" t="s">
        <v>5912</v>
      </c>
      <c r="G1549" s="139" t="s">
        <v>7260</v>
      </c>
      <c r="H1549" s="139" t="s">
        <v>7261</v>
      </c>
      <c r="I1549" s="159"/>
      <c r="J1549" s="142"/>
      <c r="K1549" s="142"/>
      <c r="L1549" s="142"/>
      <c r="M1549" s="142"/>
      <c r="N1549" s="177" t="s">
        <v>765</v>
      </c>
      <c r="O1549" s="176"/>
      <c r="P1549" s="105"/>
      <c r="Q1549" s="137"/>
      <c r="R1549" s="138"/>
      <c r="S1549" s="105"/>
      <c r="T1549" s="105"/>
      <c r="U1549" s="105"/>
      <c r="V1549" s="137"/>
      <c r="W1549" s="138"/>
      <c r="X1549" s="137">
        <v>20</v>
      </c>
      <c r="Y1549" s="138"/>
      <c r="Z1549" s="105"/>
      <c r="AA1549" s="105"/>
      <c r="AB1549" s="105"/>
      <c r="AC1549" s="117"/>
      <c r="AD1549" s="457">
        <v>44621</v>
      </c>
      <c r="AE1549" s="108" t="s">
        <v>6714</v>
      </c>
    </row>
    <row r="1550" spans="1:31" ht="27" customHeight="1" x14ac:dyDescent="0.15">
      <c r="A1550" s="105">
        <v>1116512748</v>
      </c>
      <c r="B1550" s="106" t="s">
        <v>7489</v>
      </c>
      <c r="C1550" s="107" t="s">
        <v>7262</v>
      </c>
      <c r="D1550" s="108" t="s">
        <v>3873</v>
      </c>
      <c r="E1550" s="108" t="s">
        <v>7263</v>
      </c>
      <c r="F1550" s="139" t="s">
        <v>7264</v>
      </c>
      <c r="G1550" s="139" t="s">
        <v>7265</v>
      </c>
      <c r="H1550" s="139" t="s">
        <v>7266</v>
      </c>
      <c r="I1550" s="159"/>
      <c r="J1550" s="142"/>
      <c r="K1550" s="142" t="s">
        <v>765</v>
      </c>
      <c r="L1550" s="142" t="s">
        <v>765</v>
      </c>
      <c r="M1550" s="142" t="s">
        <v>765</v>
      </c>
      <c r="N1550" s="177" t="s">
        <v>765</v>
      </c>
      <c r="O1550" s="176" t="s">
        <v>765</v>
      </c>
      <c r="P1550" s="105"/>
      <c r="Q1550" s="137"/>
      <c r="R1550" s="138"/>
      <c r="S1550" s="105"/>
      <c r="T1550" s="105">
        <v>6</v>
      </c>
      <c r="U1550" s="105"/>
      <c r="V1550" s="137"/>
      <c r="W1550" s="138"/>
      <c r="X1550" s="137"/>
      <c r="Y1550" s="138"/>
      <c r="Z1550" s="105"/>
      <c r="AA1550" s="105">
        <v>34</v>
      </c>
      <c r="AB1550" s="105"/>
      <c r="AC1550" s="117"/>
      <c r="AD1550" s="457">
        <v>44621</v>
      </c>
      <c r="AE1550" s="108" t="s">
        <v>7267</v>
      </c>
    </row>
    <row r="1551" spans="1:31" ht="27" customHeight="1" x14ac:dyDescent="0.15">
      <c r="A1551" s="105">
        <v>1116512755</v>
      </c>
      <c r="B1551" s="106" t="s">
        <v>5316</v>
      </c>
      <c r="C1551" s="107" t="s">
        <v>7268</v>
      </c>
      <c r="D1551" s="108" t="s">
        <v>3873</v>
      </c>
      <c r="E1551" s="108" t="s">
        <v>7269</v>
      </c>
      <c r="F1551" s="139" t="s">
        <v>4722</v>
      </c>
      <c r="G1551" s="139" t="s">
        <v>7270</v>
      </c>
      <c r="H1551" s="139" t="s">
        <v>7271</v>
      </c>
      <c r="I1551" s="159"/>
      <c r="J1551" s="142"/>
      <c r="K1551" s="142"/>
      <c r="L1551" s="142"/>
      <c r="M1551" s="142" t="s">
        <v>765</v>
      </c>
      <c r="N1551" s="177" t="s">
        <v>765</v>
      </c>
      <c r="O1551" s="176"/>
      <c r="P1551" s="105"/>
      <c r="Q1551" s="137"/>
      <c r="R1551" s="138"/>
      <c r="S1551" s="105"/>
      <c r="T1551" s="105"/>
      <c r="U1551" s="105"/>
      <c r="V1551" s="137">
        <v>20</v>
      </c>
      <c r="W1551" s="138"/>
      <c r="X1551" s="137"/>
      <c r="Y1551" s="138"/>
      <c r="Z1551" s="105"/>
      <c r="AA1551" s="105"/>
      <c r="AB1551" s="105"/>
      <c r="AC1551" s="117"/>
      <c r="AD1551" s="457">
        <v>44621</v>
      </c>
      <c r="AE1551" s="108" t="s">
        <v>7272</v>
      </c>
    </row>
    <row r="1552" spans="1:31" ht="27" customHeight="1" x14ac:dyDescent="0.15">
      <c r="A1552" s="105">
        <v>1116512797</v>
      </c>
      <c r="B1552" s="106" t="s">
        <v>7490</v>
      </c>
      <c r="C1552" s="107" t="s">
        <v>7441</v>
      </c>
      <c r="D1552" s="108" t="s">
        <v>105</v>
      </c>
      <c r="E1552" s="108" t="s">
        <v>7442</v>
      </c>
      <c r="F1552" s="139" t="s">
        <v>4413</v>
      </c>
      <c r="G1552" s="139" t="s">
        <v>7443</v>
      </c>
      <c r="H1552" s="139" t="s">
        <v>7444</v>
      </c>
      <c r="I1552" s="327"/>
      <c r="J1552" s="142"/>
      <c r="K1552" s="142"/>
      <c r="L1552" s="142"/>
      <c r="M1552" s="142" t="s">
        <v>765</v>
      </c>
      <c r="N1552" s="142" t="s">
        <v>765</v>
      </c>
      <c r="O1552" s="223"/>
      <c r="P1552" s="225"/>
      <c r="Q1552" s="224"/>
      <c r="R1552" s="138"/>
      <c r="S1552" s="225"/>
      <c r="T1552" s="225"/>
      <c r="U1552" s="225"/>
      <c r="V1552" s="224">
        <v>20</v>
      </c>
      <c r="W1552" s="138"/>
      <c r="X1552" s="224"/>
      <c r="Y1552" s="138"/>
      <c r="Z1552" s="225"/>
      <c r="AA1552" s="225"/>
      <c r="AB1552" s="225"/>
      <c r="AC1552" s="225"/>
      <c r="AD1552" s="408">
        <v>44652</v>
      </c>
      <c r="AE1552" s="214" t="s">
        <v>7445</v>
      </c>
    </row>
    <row r="1553" spans="1:31" ht="27" customHeight="1" x14ac:dyDescent="0.15">
      <c r="A1553" s="105">
        <v>1116512813</v>
      </c>
      <c r="B1553" s="106" t="s">
        <v>7491</v>
      </c>
      <c r="C1553" s="107" t="s">
        <v>6765</v>
      </c>
      <c r="D1553" s="108" t="s">
        <v>105</v>
      </c>
      <c r="E1553" s="108" t="s">
        <v>6766</v>
      </c>
      <c r="F1553" s="139" t="s">
        <v>4727</v>
      </c>
      <c r="G1553" s="139" t="s">
        <v>6767</v>
      </c>
      <c r="H1553" s="139" t="s">
        <v>6768</v>
      </c>
      <c r="I1553" s="327"/>
      <c r="J1553" s="142"/>
      <c r="K1553" s="142"/>
      <c r="L1553" s="142"/>
      <c r="M1553" s="142"/>
      <c r="N1553" s="177" t="s">
        <v>765</v>
      </c>
      <c r="O1553" s="176"/>
      <c r="P1553" s="225"/>
      <c r="Q1553" s="224"/>
      <c r="R1553" s="138"/>
      <c r="S1553" s="225"/>
      <c r="T1553" s="225"/>
      <c r="U1553" s="225"/>
      <c r="V1553" s="224"/>
      <c r="W1553" s="138"/>
      <c r="X1553" s="224"/>
      <c r="Y1553" s="138"/>
      <c r="Z1553" s="225"/>
      <c r="AA1553" s="225"/>
      <c r="AB1553" s="225" t="s">
        <v>765</v>
      </c>
      <c r="AC1553" s="225"/>
      <c r="AD1553" s="408">
        <v>44652</v>
      </c>
      <c r="AE1553" s="214" t="s">
        <v>7447</v>
      </c>
    </row>
    <row r="1554" spans="1:31" ht="27" customHeight="1" x14ac:dyDescent="0.15">
      <c r="A1554" s="105">
        <v>1116512839</v>
      </c>
      <c r="B1554" s="106" t="s">
        <v>7492</v>
      </c>
      <c r="C1554" s="382" t="s">
        <v>9078</v>
      </c>
      <c r="D1554" s="108" t="s">
        <v>105</v>
      </c>
      <c r="E1554" s="108" t="s">
        <v>7448</v>
      </c>
      <c r="F1554" s="139" t="s">
        <v>4611</v>
      </c>
      <c r="G1554" s="139" t="s">
        <v>4629</v>
      </c>
      <c r="H1554" s="139" t="s">
        <v>4630</v>
      </c>
      <c r="I1554" s="327"/>
      <c r="J1554" s="142"/>
      <c r="K1554" s="142"/>
      <c r="L1554" s="142"/>
      <c r="M1554" s="142" t="s">
        <v>765</v>
      </c>
      <c r="N1554" s="177" t="s">
        <v>765</v>
      </c>
      <c r="O1554" s="176" t="s">
        <v>765</v>
      </c>
      <c r="P1554" s="225"/>
      <c r="Q1554" s="224"/>
      <c r="R1554" s="138"/>
      <c r="S1554" s="225"/>
      <c r="T1554" s="225"/>
      <c r="U1554" s="225"/>
      <c r="V1554" s="224"/>
      <c r="W1554" s="138"/>
      <c r="X1554" s="224">
        <v>10</v>
      </c>
      <c r="Y1554" s="138"/>
      <c r="Z1554" s="225"/>
      <c r="AA1554" s="225"/>
      <c r="AB1554" s="225"/>
      <c r="AC1554" s="225"/>
      <c r="AD1554" s="408">
        <v>44652</v>
      </c>
      <c r="AE1554" s="214" t="s">
        <v>7449</v>
      </c>
    </row>
    <row r="1555" spans="1:31" ht="27" customHeight="1" x14ac:dyDescent="0.15">
      <c r="A1555" s="425">
        <v>1116512847</v>
      </c>
      <c r="B1555" s="458" t="s">
        <v>11829</v>
      </c>
      <c r="C1555" s="458" t="s">
        <v>8688</v>
      </c>
      <c r="D1555" s="434" t="s">
        <v>8135</v>
      </c>
      <c r="E1555" s="166" t="s">
        <v>8689</v>
      </c>
      <c r="F1555" s="425" t="s">
        <v>4727</v>
      </c>
      <c r="G1555" s="425" t="s">
        <v>8159</v>
      </c>
      <c r="H1555" s="425" t="s">
        <v>8160</v>
      </c>
      <c r="I1555" s="178"/>
      <c r="J1555" s="170"/>
      <c r="K1555" s="170"/>
      <c r="L1555" s="170"/>
      <c r="M1555" s="170"/>
      <c r="N1555" s="170" t="s">
        <v>8136</v>
      </c>
      <c r="O1555" s="170"/>
      <c r="P1555" s="76"/>
      <c r="Q1555" s="70"/>
      <c r="R1555" s="92"/>
      <c r="S1555" s="76"/>
      <c r="T1555" s="76"/>
      <c r="U1555" s="76"/>
      <c r="V1555" s="70">
        <v>20</v>
      </c>
      <c r="W1555" s="92"/>
      <c r="X1555" s="70"/>
      <c r="Y1555" s="92"/>
      <c r="Z1555" s="76"/>
      <c r="AA1555" s="76"/>
      <c r="AB1555" s="76"/>
      <c r="AC1555" s="76"/>
      <c r="AD1555" s="146">
        <v>44652</v>
      </c>
      <c r="AE1555" s="166" t="s">
        <v>8690</v>
      </c>
    </row>
    <row r="1556" spans="1:31" ht="27" customHeight="1" x14ac:dyDescent="0.15">
      <c r="A1556" s="105">
        <v>1116512888</v>
      </c>
      <c r="B1556" s="106" t="s">
        <v>7493</v>
      </c>
      <c r="C1556" s="107" t="s">
        <v>7450</v>
      </c>
      <c r="D1556" s="108" t="s">
        <v>105</v>
      </c>
      <c r="E1556" s="108" t="s">
        <v>7451</v>
      </c>
      <c r="F1556" s="139" t="s">
        <v>5451</v>
      </c>
      <c r="G1556" s="139" t="s">
        <v>7452</v>
      </c>
      <c r="H1556" s="139" t="s">
        <v>7452</v>
      </c>
      <c r="I1556" s="159"/>
      <c r="J1556" s="142"/>
      <c r="K1556" s="142"/>
      <c r="L1556" s="142"/>
      <c r="M1556" s="142" t="s">
        <v>765</v>
      </c>
      <c r="N1556" s="177" t="s">
        <v>765</v>
      </c>
      <c r="O1556" s="176" t="s">
        <v>765</v>
      </c>
      <c r="P1556" s="105"/>
      <c r="Q1556" s="137"/>
      <c r="R1556" s="138"/>
      <c r="S1556" s="105"/>
      <c r="T1556" s="105"/>
      <c r="U1556" s="105"/>
      <c r="V1556" s="137"/>
      <c r="W1556" s="138"/>
      <c r="X1556" s="137"/>
      <c r="Y1556" s="138"/>
      <c r="Z1556" s="105"/>
      <c r="AA1556" s="105">
        <v>20</v>
      </c>
      <c r="AB1556" s="105"/>
      <c r="AC1556" s="105"/>
      <c r="AD1556" s="155">
        <v>44652</v>
      </c>
      <c r="AE1556" s="108" t="s">
        <v>7453</v>
      </c>
    </row>
    <row r="1557" spans="1:31" ht="27" customHeight="1" x14ac:dyDescent="0.15">
      <c r="A1557" s="105">
        <v>1116512995</v>
      </c>
      <c r="B1557" s="106" t="s">
        <v>7494</v>
      </c>
      <c r="C1557" s="107" t="s">
        <v>6769</v>
      </c>
      <c r="D1557" s="108" t="s">
        <v>7481</v>
      </c>
      <c r="E1557" s="108" t="s">
        <v>7482</v>
      </c>
      <c r="F1557" s="139" t="s">
        <v>4727</v>
      </c>
      <c r="G1557" s="139" t="s">
        <v>6771</v>
      </c>
      <c r="H1557" s="139" t="s">
        <v>6772</v>
      </c>
      <c r="I1557" s="327"/>
      <c r="J1557" s="142"/>
      <c r="K1557" s="142"/>
      <c r="L1557" s="142" t="s">
        <v>765</v>
      </c>
      <c r="M1557" s="142"/>
      <c r="N1557" s="177" t="s">
        <v>765</v>
      </c>
      <c r="O1557" s="176" t="s">
        <v>765</v>
      </c>
      <c r="P1557" s="225"/>
      <c r="Q1557" s="224"/>
      <c r="R1557" s="138"/>
      <c r="S1557" s="225"/>
      <c r="T1557" s="225"/>
      <c r="U1557" s="225"/>
      <c r="V1557" s="224"/>
      <c r="W1557" s="138"/>
      <c r="X1557" s="224"/>
      <c r="Y1557" s="138"/>
      <c r="Z1557" s="225"/>
      <c r="AA1557" s="225"/>
      <c r="AB1557" s="225" t="s">
        <v>765</v>
      </c>
      <c r="AC1557" s="225"/>
      <c r="AD1557" s="408">
        <v>44682</v>
      </c>
      <c r="AE1557" s="214" t="s">
        <v>7483</v>
      </c>
    </row>
    <row r="1558" spans="1:31" ht="27" customHeight="1" x14ac:dyDescent="0.15">
      <c r="A1558" s="105">
        <v>1116513027</v>
      </c>
      <c r="B1558" s="106" t="s">
        <v>7586</v>
      </c>
      <c r="C1558" s="107" t="s">
        <v>7484</v>
      </c>
      <c r="D1558" s="108" t="s">
        <v>7481</v>
      </c>
      <c r="E1558" s="108" t="s">
        <v>9804</v>
      </c>
      <c r="F1558" s="139" t="s">
        <v>6805</v>
      </c>
      <c r="G1558" s="139" t="s">
        <v>7485</v>
      </c>
      <c r="H1558" s="139" t="s">
        <v>7486</v>
      </c>
      <c r="I1558" s="327"/>
      <c r="J1558" s="142"/>
      <c r="K1558" s="142"/>
      <c r="L1558" s="142"/>
      <c r="M1558" s="142" t="s">
        <v>765</v>
      </c>
      <c r="N1558" s="177" t="s">
        <v>765</v>
      </c>
      <c r="O1558" s="176" t="s">
        <v>765</v>
      </c>
      <c r="P1558" s="225"/>
      <c r="Q1558" s="224"/>
      <c r="R1558" s="138"/>
      <c r="S1558" s="225"/>
      <c r="T1558" s="225"/>
      <c r="U1558" s="225"/>
      <c r="V1558" s="224"/>
      <c r="W1558" s="138"/>
      <c r="X1558" s="224"/>
      <c r="Y1558" s="138"/>
      <c r="Z1558" s="225"/>
      <c r="AA1558" s="225">
        <v>20</v>
      </c>
      <c r="AB1558" s="225"/>
      <c r="AC1558" s="225"/>
      <c r="AD1558" s="408">
        <v>44682</v>
      </c>
      <c r="AE1558" s="214" t="s">
        <v>7487</v>
      </c>
    </row>
    <row r="1559" spans="1:31" ht="27" customHeight="1" x14ac:dyDescent="0.15">
      <c r="A1559" s="105">
        <v>1116513050</v>
      </c>
      <c r="B1559" s="106" t="s">
        <v>7590</v>
      </c>
      <c r="C1559" s="107" t="s">
        <v>7587</v>
      </c>
      <c r="D1559" s="108" t="s">
        <v>3873</v>
      </c>
      <c r="E1559" s="108" t="s">
        <v>7588</v>
      </c>
      <c r="F1559" s="139" t="s">
        <v>5844</v>
      </c>
      <c r="G1559" s="139" t="s">
        <v>380</v>
      </c>
      <c r="H1559" s="139" t="s">
        <v>2635</v>
      </c>
      <c r="I1559" s="159"/>
      <c r="J1559" s="142"/>
      <c r="K1559" s="142"/>
      <c r="L1559" s="142"/>
      <c r="M1559" s="142" t="s">
        <v>765</v>
      </c>
      <c r="N1559" s="177" t="s">
        <v>765</v>
      </c>
      <c r="O1559" s="176" t="s">
        <v>765</v>
      </c>
      <c r="P1559" s="105"/>
      <c r="Q1559" s="137"/>
      <c r="R1559" s="138"/>
      <c r="S1559" s="105"/>
      <c r="T1559" s="105">
        <v>20</v>
      </c>
      <c r="U1559" s="105"/>
      <c r="V1559" s="137"/>
      <c r="W1559" s="138"/>
      <c r="X1559" s="137"/>
      <c r="Y1559" s="138"/>
      <c r="Z1559" s="105"/>
      <c r="AA1559" s="105"/>
      <c r="AB1559" s="105"/>
      <c r="AC1559" s="105"/>
      <c r="AD1559" s="155">
        <v>44713</v>
      </c>
      <c r="AE1559" s="108" t="s">
        <v>7589</v>
      </c>
    </row>
    <row r="1560" spans="1:31" ht="27" customHeight="1" x14ac:dyDescent="0.15">
      <c r="A1560" s="105">
        <v>1116513134</v>
      </c>
      <c r="B1560" s="106" t="s">
        <v>7645</v>
      </c>
      <c r="C1560" s="107" t="s">
        <v>7644</v>
      </c>
      <c r="D1560" s="108" t="s">
        <v>105</v>
      </c>
      <c r="E1560" s="108" t="s">
        <v>7646</v>
      </c>
      <c r="F1560" s="139" t="s">
        <v>4899</v>
      </c>
      <c r="G1560" s="139" t="s">
        <v>7647</v>
      </c>
      <c r="H1560" s="139" t="s">
        <v>7647</v>
      </c>
      <c r="I1560" s="327"/>
      <c r="J1560" s="142"/>
      <c r="K1560" s="142"/>
      <c r="L1560" s="142"/>
      <c r="M1560" s="142" t="s">
        <v>765</v>
      </c>
      <c r="N1560" s="177" t="s">
        <v>765</v>
      </c>
      <c r="O1560" s="176"/>
      <c r="P1560" s="225"/>
      <c r="Q1560" s="224"/>
      <c r="R1560" s="138"/>
      <c r="S1560" s="225"/>
      <c r="T1560" s="225"/>
      <c r="U1560" s="225"/>
      <c r="V1560" s="224"/>
      <c r="W1560" s="138"/>
      <c r="X1560" s="224"/>
      <c r="Y1560" s="138"/>
      <c r="Z1560" s="225"/>
      <c r="AA1560" s="225">
        <v>20</v>
      </c>
      <c r="AB1560" s="225"/>
      <c r="AC1560" s="225"/>
      <c r="AD1560" s="408">
        <v>44743</v>
      </c>
      <c r="AE1560" s="214" t="s">
        <v>7648</v>
      </c>
    </row>
    <row r="1561" spans="1:31" s="262" customFormat="1" ht="27" customHeight="1" x14ac:dyDescent="0.15">
      <c r="A1561" s="105">
        <v>1116513142</v>
      </c>
      <c r="B1561" s="106" t="s">
        <v>7650</v>
      </c>
      <c r="C1561" s="107" t="s">
        <v>7649</v>
      </c>
      <c r="D1561" s="108" t="s">
        <v>105</v>
      </c>
      <c r="E1561" s="108" t="s">
        <v>7651</v>
      </c>
      <c r="F1561" s="139" t="s">
        <v>6805</v>
      </c>
      <c r="G1561" s="139" t="s">
        <v>7652</v>
      </c>
      <c r="H1561" s="139" t="s">
        <v>7653</v>
      </c>
      <c r="I1561" s="327"/>
      <c r="J1561" s="142"/>
      <c r="K1561" s="142" t="s">
        <v>765</v>
      </c>
      <c r="L1561" s="142"/>
      <c r="M1561" s="142" t="s">
        <v>765</v>
      </c>
      <c r="N1561" s="177" t="s">
        <v>765</v>
      </c>
      <c r="O1561" s="176"/>
      <c r="P1561" s="225"/>
      <c r="Q1561" s="224"/>
      <c r="R1561" s="138"/>
      <c r="S1561" s="225"/>
      <c r="T1561" s="225"/>
      <c r="U1561" s="225"/>
      <c r="V1561" s="224"/>
      <c r="W1561" s="138"/>
      <c r="X1561" s="224"/>
      <c r="Y1561" s="138"/>
      <c r="Z1561" s="225"/>
      <c r="AA1561" s="225">
        <v>20</v>
      </c>
      <c r="AB1561" s="225"/>
      <c r="AC1561" s="225"/>
      <c r="AD1561" s="408">
        <v>44743</v>
      </c>
      <c r="AE1561" s="214" t="s">
        <v>7654</v>
      </c>
    </row>
    <row r="1562" spans="1:31" s="262" customFormat="1" ht="27" customHeight="1" x14ac:dyDescent="0.15">
      <c r="A1562" s="425">
        <v>1116513159</v>
      </c>
      <c r="B1562" s="423" t="s">
        <v>12022</v>
      </c>
      <c r="C1562" s="453" t="s">
        <v>9265</v>
      </c>
      <c r="D1562" s="391" t="s">
        <v>8162</v>
      </c>
      <c r="E1562" s="406" t="s">
        <v>9266</v>
      </c>
      <c r="F1562" s="391" t="s">
        <v>4605</v>
      </c>
      <c r="G1562" s="406" t="s">
        <v>7660</v>
      </c>
      <c r="H1562" s="406" t="s">
        <v>7661</v>
      </c>
      <c r="I1562" s="427" t="s">
        <v>765</v>
      </c>
      <c r="J1562" s="428" t="s">
        <v>765</v>
      </c>
      <c r="K1562" s="428" t="s">
        <v>765</v>
      </c>
      <c r="L1562" s="428" t="s">
        <v>765</v>
      </c>
      <c r="M1562" s="428" t="s">
        <v>765</v>
      </c>
      <c r="N1562" s="455"/>
      <c r="O1562" s="429" t="s">
        <v>765</v>
      </c>
      <c r="P1562" s="425"/>
      <c r="Q1562" s="430"/>
      <c r="R1562" s="429">
        <v>4</v>
      </c>
      <c r="S1562" s="425"/>
      <c r="T1562" s="433">
        <v>20</v>
      </c>
      <c r="U1562" s="405"/>
      <c r="V1562" s="405"/>
      <c r="W1562" s="431"/>
      <c r="X1562" s="431"/>
      <c r="Y1562" s="429"/>
      <c r="Z1562" s="391"/>
      <c r="AA1562" s="391"/>
      <c r="AB1562" s="391"/>
      <c r="AC1562" s="391"/>
      <c r="AD1562" s="405">
        <v>44743</v>
      </c>
      <c r="AE1562" s="214" t="s">
        <v>7662</v>
      </c>
    </row>
    <row r="1563" spans="1:31" s="262" customFormat="1" ht="27" customHeight="1" x14ac:dyDescent="0.15">
      <c r="A1563" s="105">
        <v>1116513217</v>
      </c>
      <c r="B1563" s="106" t="s">
        <v>7658</v>
      </c>
      <c r="C1563" s="107" t="s">
        <v>7656</v>
      </c>
      <c r="D1563" s="108" t="s">
        <v>105</v>
      </c>
      <c r="E1563" s="108" t="s">
        <v>7663</v>
      </c>
      <c r="F1563" s="139" t="s">
        <v>7664</v>
      </c>
      <c r="G1563" s="139" t="s">
        <v>7665</v>
      </c>
      <c r="H1563" s="139" t="s">
        <v>7665</v>
      </c>
      <c r="I1563" s="159"/>
      <c r="J1563" s="142"/>
      <c r="K1563" s="142"/>
      <c r="L1563" s="142"/>
      <c r="M1563" s="142" t="s">
        <v>765</v>
      </c>
      <c r="N1563" s="177" t="s">
        <v>765</v>
      </c>
      <c r="O1563" s="176"/>
      <c r="P1563" s="105"/>
      <c r="Q1563" s="137"/>
      <c r="R1563" s="138"/>
      <c r="S1563" s="105"/>
      <c r="T1563" s="105"/>
      <c r="U1563" s="105"/>
      <c r="V1563" s="137">
        <v>10</v>
      </c>
      <c r="W1563" s="138"/>
      <c r="X1563" s="137">
        <v>10</v>
      </c>
      <c r="Y1563" s="138"/>
      <c r="Z1563" s="105"/>
      <c r="AA1563" s="105"/>
      <c r="AB1563" s="105"/>
      <c r="AC1563" s="105"/>
      <c r="AD1563" s="155">
        <v>44743</v>
      </c>
      <c r="AE1563" s="108" t="s">
        <v>7666</v>
      </c>
    </row>
    <row r="1564" spans="1:31" s="262" customFormat="1" ht="27" customHeight="1" x14ac:dyDescent="0.15">
      <c r="A1564" s="225">
        <v>1116513316</v>
      </c>
      <c r="B1564" s="291" t="s">
        <v>7733</v>
      </c>
      <c r="C1564" s="364" t="s">
        <v>7727</v>
      </c>
      <c r="D1564" s="214" t="s">
        <v>3873</v>
      </c>
      <c r="E1564" s="214" t="s">
        <v>7728</v>
      </c>
      <c r="F1564" s="459" t="s">
        <v>7729</v>
      </c>
      <c r="G1564" s="459" t="s">
        <v>7730</v>
      </c>
      <c r="H1564" s="459" t="s">
        <v>7731</v>
      </c>
      <c r="I1564" s="327"/>
      <c r="J1564" s="288"/>
      <c r="K1564" s="288"/>
      <c r="L1564" s="288"/>
      <c r="M1564" s="288" t="s">
        <v>765</v>
      </c>
      <c r="N1564" s="460" t="s">
        <v>765</v>
      </c>
      <c r="O1564" s="461"/>
      <c r="P1564" s="225"/>
      <c r="Q1564" s="224"/>
      <c r="R1564" s="226"/>
      <c r="S1564" s="225"/>
      <c r="T1564" s="225">
        <v>10</v>
      </c>
      <c r="U1564" s="225"/>
      <c r="V1564" s="224"/>
      <c r="W1564" s="226"/>
      <c r="X1564" s="224"/>
      <c r="Y1564" s="226"/>
      <c r="Z1564" s="225"/>
      <c r="AA1564" s="225">
        <v>10</v>
      </c>
      <c r="AB1564" s="225"/>
      <c r="AC1564" s="225"/>
      <c r="AD1564" s="408">
        <v>44774</v>
      </c>
      <c r="AE1564" s="214" t="s">
        <v>7732</v>
      </c>
    </row>
    <row r="1565" spans="1:31" customFormat="1" ht="27" customHeight="1" x14ac:dyDescent="0.15">
      <c r="A1565" s="225">
        <v>1116513399</v>
      </c>
      <c r="B1565" s="291" t="s">
        <v>7922</v>
      </c>
      <c r="C1565" s="364" t="s">
        <v>7734</v>
      </c>
      <c r="D1565" s="214" t="s">
        <v>48</v>
      </c>
      <c r="E1565" s="214" t="s">
        <v>7923</v>
      </c>
      <c r="F1565" s="459" t="s">
        <v>6790</v>
      </c>
      <c r="G1565" s="459" t="s">
        <v>7735</v>
      </c>
      <c r="H1565" s="459" t="s">
        <v>7736</v>
      </c>
      <c r="I1565" s="327"/>
      <c r="J1565" s="288"/>
      <c r="K1565" s="288"/>
      <c r="L1565" s="288"/>
      <c r="M1565" s="288" t="s">
        <v>765</v>
      </c>
      <c r="N1565" s="460" t="s">
        <v>765</v>
      </c>
      <c r="O1565" s="461" t="s">
        <v>765</v>
      </c>
      <c r="P1565" s="225"/>
      <c r="Q1565" s="224"/>
      <c r="R1565" s="226"/>
      <c r="S1565" s="225"/>
      <c r="T1565" s="225"/>
      <c r="U1565" s="225"/>
      <c r="V1565" s="224"/>
      <c r="W1565" s="226"/>
      <c r="X1565" s="224"/>
      <c r="Y1565" s="226"/>
      <c r="Z1565" s="225"/>
      <c r="AA1565" s="225">
        <v>20</v>
      </c>
      <c r="AB1565" s="225"/>
      <c r="AC1565" s="225"/>
      <c r="AD1565" s="408">
        <v>44774</v>
      </c>
      <c r="AE1565" s="214" t="s">
        <v>7737</v>
      </c>
    </row>
    <row r="1566" spans="1:31" s="262" customFormat="1" ht="27" customHeight="1" x14ac:dyDescent="0.15">
      <c r="A1566" s="225">
        <v>1116513506</v>
      </c>
      <c r="B1566" s="291" t="s">
        <v>7924</v>
      </c>
      <c r="C1566" s="364" t="s">
        <v>7780</v>
      </c>
      <c r="D1566" s="214" t="s">
        <v>48</v>
      </c>
      <c r="E1566" s="214" t="s">
        <v>7781</v>
      </c>
      <c r="F1566" s="459" t="s">
        <v>7782</v>
      </c>
      <c r="G1566" s="459" t="s">
        <v>7783</v>
      </c>
      <c r="H1566" s="459" t="s">
        <v>7784</v>
      </c>
      <c r="I1566" s="327"/>
      <c r="J1566" s="288"/>
      <c r="K1566" s="288"/>
      <c r="L1566" s="288"/>
      <c r="M1566" s="288" t="s">
        <v>765</v>
      </c>
      <c r="N1566" s="460" t="s">
        <v>765</v>
      </c>
      <c r="O1566" s="461"/>
      <c r="P1566" s="225"/>
      <c r="Q1566" s="224"/>
      <c r="R1566" s="226"/>
      <c r="S1566" s="225"/>
      <c r="T1566" s="225"/>
      <c r="U1566" s="225"/>
      <c r="V1566" s="224"/>
      <c r="W1566" s="226"/>
      <c r="X1566" s="224"/>
      <c r="Y1566" s="226"/>
      <c r="Z1566" s="225"/>
      <c r="AA1566" s="225">
        <v>20</v>
      </c>
      <c r="AB1566" s="225"/>
      <c r="AC1566" s="225"/>
      <c r="AD1566" s="408">
        <v>44805</v>
      </c>
      <c r="AE1566" s="214" t="s">
        <v>7785</v>
      </c>
    </row>
    <row r="1567" spans="1:31" s="262" customFormat="1" ht="27" customHeight="1" x14ac:dyDescent="0.15">
      <c r="A1567" s="105">
        <v>1116513738</v>
      </c>
      <c r="B1567" s="291" t="s">
        <v>7925</v>
      </c>
      <c r="C1567" s="364" t="s">
        <v>7917</v>
      </c>
      <c r="D1567" s="214" t="s">
        <v>105</v>
      </c>
      <c r="E1567" s="214" t="s">
        <v>7926</v>
      </c>
      <c r="F1567" s="459" t="s">
        <v>7918</v>
      </c>
      <c r="G1567" s="459" t="s">
        <v>7919</v>
      </c>
      <c r="H1567" s="459"/>
      <c r="I1567" s="327"/>
      <c r="J1567" s="288"/>
      <c r="K1567" s="288"/>
      <c r="L1567" s="288"/>
      <c r="M1567" s="288" t="s">
        <v>765</v>
      </c>
      <c r="N1567" s="460" t="s">
        <v>765</v>
      </c>
      <c r="O1567" s="461" t="s">
        <v>765</v>
      </c>
      <c r="P1567" s="225"/>
      <c r="Q1567" s="224"/>
      <c r="R1567" s="226"/>
      <c r="S1567" s="225"/>
      <c r="T1567" s="225"/>
      <c r="U1567" s="225"/>
      <c r="V1567" s="224"/>
      <c r="W1567" s="226"/>
      <c r="X1567" s="224"/>
      <c r="Y1567" s="226"/>
      <c r="Z1567" s="225"/>
      <c r="AA1567" s="225">
        <v>20</v>
      </c>
      <c r="AB1567" s="225"/>
      <c r="AC1567" s="225"/>
      <c r="AD1567" s="408">
        <v>44866</v>
      </c>
      <c r="AE1567" s="214" t="s">
        <v>7920</v>
      </c>
    </row>
    <row r="1568" spans="1:31" s="262" customFormat="1" ht="27" customHeight="1" x14ac:dyDescent="0.15">
      <c r="A1568" s="105">
        <v>1116513795</v>
      </c>
      <c r="B1568" s="291" t="s">
        <v>7987</v>
      </c>
      <c r="C1568" s="364" t="s">
        <v>7983</v>
      </c>
      <c r="D1568" s="214" t="s">
        <v>3873</v>
      </c>
      <c r="E1568" s="214" t="s">
        <v>7984</v>
      </c>
      <c r="F1568" s="459" t="s">
        <v>5916</v>
      </c>
      <c r="G1568" s="459" t="s">
        <v>7985</v>
      </c>
      <c r="H1568" s="459" t="s">
        <v>7986</v>
      </c>
      <c r="I1568" s="327" t="s">
        <v>765</v>
      </c>
      <c r="J1568" s="288" t="s">
        <v>765</v>
      </c>
      <c r="K1568" s="288" t="s">
        <v>765</v>
      </c>
      <c r="L1568" s="288" t="s">
        <v>765</v>
      </c>
      <c r="M1568" s="288" t="s">
        <v>765</v>
      </c>
      <c r="N1568" s="460" t="s">
        <v>765</v>
      </c>
      <c r="O1568" s="461" t="s">
        <v>765</v>
      </c>
      <c r="P1568" s="225"/>
      <c r="Q1568" s="224"/>
      <c r="R1568" s="226"/>
      <c r="S1568" s="225"/>
      <c r="T1568" s="225"/>
      <c r="U1568" s="225"/>
      <c r="V1568" s="224"/>
      <c r="W1568" s="226"/>
      <c r="X1568" s="224"/>
      <c r="Y1568" s="226"/>
      <c r="Z1568" s="225">
        <v>10</v>
      </c>
      <c r="AA1568" s="225">
        <v>10</v>
      </c>
      <c r="AB1568" s="225"/>
      <c r="AC1568" s="225"/>
      <c r="AD1568" s="408">
        <v>44896</v>
      </c>
      <c r="AE1568" s="214" t="s">
        <v>7988</v>
      </c>
    </row>
    <row r="1569" spans="1:31" s="262" customFormat="1" ht="27" customHeight="1" x14ac:dyDescent="0.15">
      <c r="A1569" s="105">
        <v>1116513902</v>
      </c>
      <c r="B1569" s="291" t="s">
        <v>11672</v>
      </c>
      <c r="C1569" s="364" t="s">
        <v>8018</v>
      </c>
      <c r="D1569" s="214" t="s">
        <v>3873</v>
      </c>
      <c r="E1569" s="214" t="s">
        <v>8019</v>
      </c>
      <c r="F1569" s="459" t="s">
        <v>8020</v>
      </c>
      <c r="G1569" s="459" t="s">
        <v>8021</v>
      </c>
      <c r="H1569" s="459" t="s">
        <v>8022</v>
      </c>
      <c r="I1569" s="327" t="s">
        <v>765</v>
      </c>
      <c r="J1569" s="288" t="s">
        <v>765</v>
      </c>
      <c r="K1569" s="288" t="s">
        <v>765</v>
      </c>
      <c r="L1569" s="288" t="s">
        <v>765</v>
      </c>
      <c r="M1569" s="288"/>
      <c r="N1569" s="460"/>
      <c r="O1569" s="461"/>
      <c r="P1569" s="225"/>
      <c r="Q1569" s="224"/>
      <c r="R1569" s="226"/>
      <c r="S1569" s="225"/>
      <c r="T1569" s="225"/>
      <c r="U1569" s="225">
        <v>20</v>
      </c>
      <c r="V1569" s="224"/>
      <c r="W1569" s="226"/>
      <c r="X1569" s="224"/>
      <c r="Y1569" s="226"/>
      <c r="Z1569" s="225"/>
      <c r="AA1569" s="225"/>
      <c r="AB1569" s="225"/>
      <c r="AC1569" s="225"/>
      <c r="AD1569" s="408">
        <v>44927</v>
      </c>
      <c r="AE1569" s="214" t="s">
        <v>8023</v>
      </c>
    </row>
    <row r="1570" spans="1:31" s="262" customFormat="1" ht="27" customHeight="1" x14ac:dyDescent="0.15">
      <c r="A1570" s="105">
        <v>1116513969</v>
      </c>
      <c r="B1570" s="291" t="s">
        <v>11673</v>
      </c>
      <c r="C1570" s="364" t="s">
        <v>8097</v>
      </c>
      <c r="D1570" s="214" t="s">
        <v>8077</v>
      </c>
      <c r="E1570" s="214" t="s">
        <v>8098</v>
      </c>
      <c r="F1570" s="459" t="s">
        <v>5912</v>
      </c>
      <c r="G1570" s="459" t="s">
        <v>8099</v>
      </c>
      <c r="H1570" s="459" t="s">
        <v>8100</v>
      </c>
      <c r="I1570" s="327"/>
      <c r="J1570" s="288"/>
      <c r="K1570" s="288"/>
      <c r="L1570" s="288"/>
      <c r="M1570" s="288" t="s">
        <v>765</v>
      </c>
      <c r="N1570" s="460" t="s">
        <v>765</v>
      </c>
      <c r="O1570" s="461" t="s">
        <v>765</v>
      </c>
      <c r="P1570" s="225"/>
      <c r="Q1570" s="224"/>
      <c r="R1570" s="226"/>
      <c r="S1570" s="225"/>
      <c r="T1570" s="225"/>
      <c r="U1570" s="225"/>
      <c r="V1570" s="224"/>
      <c r="W1570" s="226"/>
      <c r="X1570" s="224"/>
      <c r="Y1570" s="226"/>
      <c r="Z1570" s="225"/>
      <c r="AA1570" s="225"/>
      <c r="AB1570" s="225" t="s">
        <v>765</v>
      </c>
      <c r="AC1570" s="225"/>
      <c r="AD1570" s="408">
        <v>44958</v>
      </c>
      <c r="AE1570" s="214" t="s">
        <v>8101</v>
      </c>
    </row>
    <row r="1571" spans="1:31" ht="27" customHeight="1" x14ac:dyDescent="0.15">
      <c r="A1571" s="105">
        <v>1116513985</v>
      </c>
      <c r="B1571" s="291" t="s">
        <v>11674</v>
      </c>
      <c r="C1571" s="364" t="s">
        <v>8083</v>
      </c>
      <c r="D1571" s="214" t="s">
        <v>105</v>
      </c>
      <c r="E1571" s="214" t="s">
        <v>8084</v>
      </c>
      <c r="F1571" s="459" t="s">
        <v>8085</v>
      </c>
      <c r="G1571" s="459" t="s">
        <v>8086</v>
      </c>
      <c r="H1571" s="459" t="s">
        <v>8092</v>
      </c>
      <c r="I1571" s="327"/>
      <c r="J1571" s="288"/>
      <c r="K1571" s="288"/>
      <c r="L1571" s="288"/>
      <c r="M1571" s="288" t="s">
        <v>765</v>
      </c>
      <c r="N1571" s="460"/>
      <c r="O1571" s="461"/>
      <c r="P1571" s="225"/>
      <c r="Q1571" s="224"/>
      <c r="R1571" s="226"/>
      <c r="S1571" s="225"/>
      <c r="T1571" s="225">
        <v>30</v>
      </c>
      <c r="U1571" s="225"/>
      <c r="V1571" s="224"/>
      <c r="W1571" s="226"/>
      <c r="X1571" s="224"/>
      <c r="Y1571" s="226"/>
      <c r="Z1571" s="225"/>
      <c r="AA1571" s="225"/>
      <c r="AB1571" s="225"/>
      <c r="AC1571" s="225"/>
      <c r="AD1571" s="408">
        <v>44958</v>
      </c>
      <c r="AE1571" s="214" t="s">
        <v>8087</v>
      </c>
    </row>
    <row r="1572" spans="1:31" ht="27" customHeight="1" x14ac:dyDescent="0.15">
      <c r="A1572" s="105">
        <v>1116513993</v>
      </c>
      <c r="B1572" s="291" t="s">
        <v>11675</v>
      </c>
      <c r="C1572" s="364" t="s">
        <v>8076</v>
      </c>
      <c r="D1572" s="214" t="s">
        <v>8077</v>
      </c>
      <c r="E1572" s="214" t="s">
        <v>8078</v>
      </c>
      <c r="F1572" s="459" t="s">
        <v>8079</v>
      </c>
      <c r="G1572" s="459" t="s">
        <v>8080</v>
      </c>
      <c r="H1572" s="459" t="s">
        <v>8081</v>
      </c>
      <c r="I1572" s="327"/>
      <c r="J1572" s="288"/>
      <c r="K1572" s="288"/>
      <c r="L1572" s="288"/>
      <c r="M1572" s="288" t="s">
        <v>765</v>
      </c>
      <c r="N1572" s="460"/>
      <c r="O1572" s="461"/>
      <c r="P1572" s="225"/>
      <c r="Q1572" s="224"/>
      <c r="R1572" s="226"/>
      <c r="S1572" s="225"/>
      <c r="T1572" s="225">
        <v>20</v>
      </c>
      <c r="U1572" s="225"/>
      <c r="V1572" s="224"/>
      <c r="W1572" s="226"/>
      <c r="X1572" s="224"/>
      <c r="Y1572" s="226"/>
      <c r="Z1572" s="225"/>
      <c r="AA1572" s="225"/>
      <c r="AB1572" s="225"/>
      <c r="AC1572" s="225"/>
      <c r="AD1572" s="408">
        <v>44958</v>
      </c>
      <c r="AE1572" s="214" t="s">
        <v>8082</v>
      </c>
    </row>
    <row r="1573" spans="1:31" ht="27" customHeight="1" x14ac:dyDescent="0.15">
      <c r="A1573" s="105">
        <v>1116514009</v>
      </c>
      <c r="B1573" s="291" t="s">
        <v>11676</v>
      </c>
      <c r="C1573" s="364" t="s">
        <v>8088</v>
      </c>
      <c r="D1573" s="214" t="s">
        <v>105</v>
      </c>
      <c r="E1573" s="214" t="s">
        <v>8093</v>
      </c>
      <c r="F1573" s="459" t="s">
        <v>8089</v>
      </c>
      <c r="G1573" s="459" t="s">
        <v>8090</v>
      </c>
      <c r="H1573" s="459" t="s">
        <v>8091</v>
      </c>
      <c r="I1573" s="327"/>
      <c r="J1573" s="288"/>
      <c r="K1573" s="288"/>
      <c r="L1573" s="288"/>
      <c r="M1573" s="288" t="s">
        <v>765</v>
      </c>
      <c r="N1573" s="460" t="s">
        <v>765</v>
      </c>
      <c r="O1573" s="461" t="s">
        <v>765</v>
      </c>
      <c r="P1573" s="225"/>
      <c r="Q1573" s="224"/>
      <c r="R1573" s="226"/>
      <c r="S1573" s="225"/>
      <c r="T1573" s="225"/>
      <c r="U1573" s="225"/>
      <c r="V1573" s="224"/>
      <c r="W1573" s="226"/>
      <c r="X1573" s="224"/>
      <c r="Y1573" s="226"/>
      <c r="Z1573" s="225"/>
      <c r="AA1573" s="225">
        <v>38</v>
      </c>
      <c r="AB1573" s="225"/>
      <c r="AC1573" s="225"/>
      <c r="AD1573" s="408">
        <v>44958</v>
      </c>
      <c r="AE1573" s="214" t="s">
        <v>10520</v>
      </c>
    </row>
    <row r="1574" spans="1:31" ht="27" customHeight="1" x14ac:dyDescent="0.15">
      <c r="A1574" s="132">
        <v>1116514124</v>
      </c>
      <c r="B1574" s="463" t="s">
        <v>11957</v>
      </c>
      <c r="C1574" s="108" t="s">
        <v>8137</v>
      </c>
      <c r="D1574" s="329" t="s">
        <v>8135</v>
      </c>
      <c r="E1574" s="108" t="s">
        <v>8138</v>
      </c>
      <c r="F1574" s="105" t="s">
        <v>8139</v>
      </c>
      <c r="G1574" s="105" t="s">
        <v>8140</v>
      </c>
      <c r="H1574" s="105" t="s">
        <v>8140</v>
      </c>
      <c r="I1574" s="141"/>
      <c r="J1574" s="142"/>
      <c r="K1574" s="142"/>
      <c r="L1574" s="142"/>
      <c r="M1574" s="142" t="s">
        <v>8136</v>
      </c>
      <c r="N1574" s="142" t="s">
        <v>8136</v>
      </c>
      <c r="O1574" s="142"/>
      <c r="P1574" s="105"/>
      <c r="Q1574" s="137"/>
      <c r="R1574" s="138"/>
      <c r="S1574" s="105"/>
      <c r="T1574" s="105"/>
      <c r="U1574" s="141"/>
      <c r="V1574" s="137"/>
      <c r="W1574" s="138"/>
      <c r="X1574" s="141"/>
      <c r="Y1574" s="138"/>
      <c r="Z1574" s="105">
        <v>16</v>
      </c>
      <c r="AA1574" s="105"/>
      <c r="AB1574" s="105"/>
      <c r="AC1574" s="105"/>
      <c r="AD1574" s="155">
        <v>45017</v>
      </c>
      <c r="AE1574" s="108" t="s">
        <v>8141</v>
      </c>
    </row>
    <row r="1575" spans="1:31" ht="27" customHeight="1" x14ac:dyDescent="0.15">
      <c r="A1575" s="132">
        <v>1116514132</v>
      </c>
      <c r="B1575" s="108" t="s">
        <v>11958</v>
      </c>
      <c r="C1575" s="108" t="s">
        <v>8142</v>
      </c>
      <c r="D1575" s="329" t="s">
        <v>8135</v>
      </c>
      <c r="E1575" s="108" t="s">
        <v>8143</v>
      </c>
      <c r="F1575" s="105" t="s">
        <v>4722</v>
      </c>
      <c r="G1575" s="105" t="s">
        <v>7270</v>
      </c>
      <c r="H1575" s="105" t="s">
        <v>7271</v>
      </c>
      <c r="I1575" s="141"/>
      <c r="J1575" s="142"/>
      <c r="K1575" s="142"/>
      <c r="L1575" s="142"/>
      <c r="M1575" s="142" t="s">
        <v>8136</v>
      </c>
      <c r="N1575" s="142" t="s">
        <v>8136</v>
      </c>
      <c r="O1575" s="142"/>
      <c r="P1575" s="105"/>
      <c r="Q1575" s="137"/>
      <c r="R1575" s="138"/>
      <c r="S1575" s="105"/>
      <c r="T1575" s="105"/>
      <c r="U1575" s="140"/>
      <c r="V1575" s="137"/>
      <c r="W1575" s="138"/>
      <c r="X1575" s="159"/>
      <c r="Y1575" s="138"/>
      <c r="Z1575" s="105"/>
      <c r="AA1575" s="105"/>
      <c r="AB1575" s="105" t="s">
        <v>8136</v>
      </c>
      <c r="AC1575" s="105"/>
      <c r="AD1575" s="155">
        <v>45017</v>
      </c>
      <c r="AE1575" s="108" t="s">
        <v>8144</v>
      </c>
    </row>
    <row r="1576" spans="1:31" ht="27" customHeight="1" x14ac:dyDescent="0.15">
      <c r="A1576" s="105">
        <v>1116514165</v>
      </c>
      <c r="B1576" s="130" t="s">
        <v>12023</v>
      </c>
      <c r="C1576" s="130" t="s">
        <v>8145</v>
      </c>
      <c r="D1576" s="329" t="s">
        <v>8135</v>
      </c>
      <c r="E1576" s="281" t="s">
        <v>8146</v>
      </c>
      <c r="F1576" s="132" t="s">
        <v>5811</v>
      </c>
      <c r="G1576" s="139" t="s">
        <v>371</v>
      </c>
      <c r="H1576" s="105" t="s">
        <v>8147</v>
      </c>
      <c r="I1576" s="141"/>
      <c r="J1576" s="142"/>
      <c r="K1576" s="142"/>
      <c r="L1576" s="142"/>
      <c r="M1576" s="142" t="s">
        <v>8136</v>
      </c>
      <c r="N1576" s="142"/>
      <c r="O1576" s="142"/>
      <c r="P1576" s="105"/>
      <c r="Q1576" s="137"/>
      <c r="R1576" s="138"/>
      <c r="S1576" s="105"/>
      <c r="T1576" s="105"/>
      <c r="U1576" s="105"/>
      <c r="V1576" s="137"/>
      <c r="W1576" s="138"/>
      <c r="X1576" s="137"/>
      <c r="Y1576" s="138"/>
      <c r="Z1576" s="105"/>
      <c r="AA1576" s="105"/>
      <c r="AB1576" s="105" t="s">
        <v>8136</v>
      </c>
      <c r="AC1576" s="105"/>
      <c r="AD1576" s="155">
        <v>45017</v>
      </c>
      <c r="AE1576" s="108" t="s">
        <v>8148</v>
      </c>
    </row>
    <row r="1577" spans="1:31" ht="27" customHeight="1" x14ac:dyDescent="0.15">
      <c r="A1577" s="105">
        <v>1116514173</v>
      </c>
      <c r="B1577" s="130" t="s">
        <v>11830</v>
      </c>
      <c r="C1577" s="130" t="s">
        <v>8149</v>
      </c>
      <c r="D1577" s="329" t="s">
        <v>8135</v>
      </c>
      <c r="E1577" s="281" t="s">
        <v>8150</v>
      </c>
      <c r="F1577" s="132" t="s">
        <v>4722</v>
      </c>
      <c r="G1577" s="139" t="s">
        <v>8151</v>
      </c>
      <c r="H1577" s="105" t="s">
        <v>8152</v>
      </c>
      <c r="I1577" s="141"/>
      <c r="J1577" s="142"/>
      <c r="K1577" s="142"/>
      <c r="L1577" s="142"/>
      <c r="M1577" s="142" t="s">
        <v>8136</v>
      </c>
      <c r="N1577" s="142" t="s">
        <v>8136</v>
      </c>
      <c r="O1577" s="142"/>
      <c r="P1577" s="105"/>
      <c r="Q1577" s="137"/>
      <c r="R1577" s="138"/>
      <c r="S1577" s="105"/>
      <c r="T1577" s="105"/>
      <c r="U1577" s="116"/>
      <c r="V1577" s="137">
        <v>20</v>
      </c>
      <c r="W1577" s="138"/>
      <c r="X1577" s="116"/>
      <c r="Y1577" s="138"/>
      <c r="Z1577" s="105"/>
      <c r="AA1577" s="105"/>
      <c r="AB1577" s="105"/>
      <c r="AC1577" s="105"/>
      <c r="AD1577" s="155">
        <v>45017</v>
      </c>
      <c r="AE1577" s="108" t="s">
        <v>8153</v>
      </c>
    </row>
    <row r="1578" spans="1:31" ht="27" customHeight="1" x14ac:dyDescent="0.15">
      <c r="A1578" s="132">
        <v>1116514231</v>
      </c>
      <c r="B1578" s="130" t="s">
        <v>11831</v>
      </c>
      <c r="C1578" s="130" t="s">
        <v>8154</v>
      </c>
      <c r="D1578" s="329" t="s">
        <v>8135</v>
      </c>
      <c r="E1578" s="108" t="s">
        <v>8155</v>
      </c>
      <c r="F1578" s="132" t="s">
        <v>5912</v>
      </c>
      <c r="G1578" s="392" t="s">
        <v>6801</v>
      </c>
      <c r="H1578" s="139" t="s">
        <v>6802</v>
      </c>
      <c r="I1578" s="141"/>
      <c r="J1578" s="142"/>
      <c r="K1578" s="142"/>
      <c r="L1578" s="142"/>
      <c r="M1578" s="142"/>
      <c r="N1578" s="142" t="s">
        <v>8136</v>
      </c>
      <c r="O1578" s="142"/>
      <c r="P1578" s="105"/>
      <c r="Q1578" s="137"/>
      <c r="R1578" s="138"/>
      <c r="S1578" s="105"/>
      <c r="T1578" s="105"/>
      <c r="U1578" s="140"/>
      <c r="V1578" s="137"/>
      <c r="W1578" s="138"/>
      <c r="X1578" s="159"/>
      <c r="Y1578" s="138"/>
      <c r="Z1578" s="105"/>
      <c r="AA1578" s="105"/>
      <c r="AB1578" s="105" t="s">
        <v>8136</v>
      </c>
      <c r="AC1578" s="105"/>
      <c r="AD1578" s="155">
        <v>45017</v>
      </c>
      <c r="AE1578" s="108" t="s">
        <v>8156</v>
      </c>
    </row>
    <row r="1579" spans="1:31" ht="27" customHeight="1" x14ac:dyDescent="0.15">
      <c r="A1579" s="132">
        <v>1116514249</v>
      </c>
      <c r="B1579" s="130" t="s">
        <v>11831</v>
      </c>
      <c r="C1579" s="130" t="s">
        <v>8157</v>
      </c>
      <c r="D1579" s="329" t="s">
        <v>8135</v>
      </c>
      <c r="E1579" s="108" t="s">
        <v>8158</v>
      </c>
      <c r="F1579" s="132" t="s">
        <v>4727</v>
      </c>
      <c r="G1579" s="392" t="s">
        <v>8159</v>
      </c>
      <c r="H1579" s="139" t="s">
        <v>8160</v>
      </c>
      <c r="I1579" s="141"/>
      <c r="J1579" s="142"/>
      <c r="K1579" s="142"/>
      <c r="L1579" s="142"/>
      <c r="M1579" s="142"/>
      <c r="N1579" s="142" t="s">
        <v>8136</v>
      </c>
      <c r="O1579" s="142"/>
      <c r="P1579" s="105"/>
      <c r="Q1579" s="137"/>
      <c r="R1579" s="138"/>
      <c r="S1579" s="105"/>
      <c r="T1579" s="105"/>
      <c r="U1579" s="140"/>
      <c r="V1579" s="137"/>
      <c r="W1579" s="138"/>
      <c r="X1579" s="159"/>
      <c r="Y1579" s="138"/>
      <c r="Z1579" s="105"/>
      <c r="AA1579" s="105"/>
      <c r="AB1579" s="105" t="s">
        <v>8136</v>
      </c>
      <c r="AC1579" s="105"/>
      <c r="AD1579" s="155">
        <v>45017</v>
      </c>
      <c r="AE1579" s="108" t="s">
        <v>8144</v>
      </c>
    </row>
    <row r="1580" spans="1:31" ht="27" customHeight="1" x14ac:dyDescent="0.15">
      <c r="A1580" s="132">
        <v>1116514348</v>
      </c>
      <c r="B1580" s="381" t="s">
        <v>11826</v>
      </c>
      <c r="C1580" s="108" t="s">
        <v>8271</v>
      </c>
      <c r="D1580" s="329" t="s">
        <v>8135</v>
      </c>
      <c r="E1580" s="108" t="s">
        <v>8272</v>
      </c>
      <c r="F1580" s="105" t="s">
        <v>4899</v>
      </c>
      <c r="G1580" s="105" t="s">
        <v>8273</v>
      </c>
      <c r="H1580" s="105" t="s">
        <v>8274</v>
      </c>
      <c r="I1580" s="141" t="s">
        <v>8136</v>
      </c>
      <c r="J1580" s="142"/>
      <c r="K1580" s="142"/>
      <c r="L1580" s="142" t="s">
        <v>8136</v>
      </c>
      <c r="M1580" s="142"/>
      <c r="N1580" s="142"/>
      <c r="O1580" s="142"/>
      <c r="P1580" s="105"/>
      <c r="Q1580" s="137"/>
      <c r="R1580" s="138"/>
      <c r="S1580" s="105"/>
      <c r="T1580" s="105"/>
      <c r="U1580" s="141"/>
      <c r="V1580" s="137"/>
      <c r="W1580" s="138"/>
      <c r="X1580" s="133">
        <v>20</v>
      </c>
      <c r="Y1580" s="138"/>
      <c r="Z1580" s="105"/>
      <c r="AA1580" s="105"/>
      <c r="AB1580" s="105"/>
      <c r="AC1580" s="105"/>
      <c r="AD1580" s="155">
        <v>45047</v>
      </c>
      <c r="AE1580" s="108" t="s">
        <v>8275</v>
      </c>
    </row>
    <row r="1581" spans="1:31" s="302" customFormat="1" ht="27" customHeight="1" x14ac:dyDescent="0.15">
      <c r="A1581" s="132">
        <v>1116514470</v>
      </c>
      <c r="B1581" s="108" t="s">
        <v>12059</v>
      </c>
      <c r="C1581" s="108" t="s">
        <v>8358</v>
      </c>
      <c r="D1581" s="329" t="s">
        <v>8359</v>
      </c>
      <c r="E1581" s="108" t="s">
        <v>8360</v>
      </c>
      <c r="F1581" s="105" t="s">
        <v>5451</v>
      </c>
      <c r="G1581" s="105" t="s">
        <v>8361</v>
      </c>
      <c r="H1581" s="105" t="s">
        <v>8362</v>
      </c>
      <c r="I1581" s="385"/>
      <c r="J1581" s="386"/>
      <c r="K1581" s="386"/>
      <c r="L1581" s="386"/>
      <c r="M1581" s="386" t="s">
        <v>8136</v>
      </c>
      <c r="N1581" s="386" t="s">
        <v>8136</v>
      </c>
      <c r="O1581" s="386"/>
      <c r="P1581" s="380"/>
      <c r="Q1581" s="389"/>
      <c r="R1581" s="388"/>
      <c r="S1581" s="380"/>
      <c r="T1581" s="380"/>
      <c r="U1581" s="385"/>
      <c r="V1581" s="389"/>
      <c r="W1581" s="388"/>
      <c r="X1581" s="385"/>
      <c r="Y1581" s="388"/>
      <c r="Z1581" s="380"/>
      <c r="AA1581" s="380">
        <v>20</v>
      </c>
      <c r="AB1581" s="380"/>
      <c r="AC1581" s="380"/>
      <c r="AD1581" s="155">
        <v>45078</v>
      </c>
      <c r="AE1581" s="401" t="s">
        <v>8363</v>
      </c>
    </row>
    <row r="1582" spans="1:31" ht="26.25" customHeight="1" x14ac:dyDescent="0.15">
      <c r="A1582" s="132">
        <v>1116514512</v>
      </c>
      <c r="B1582" s="463" t="s">
        <v>11832</v>
      </c>
      <c r="C1582" s="108" t="s">
        <v>8364</v>
      </c>
      <c r="D1582" s="329" t="s">
        <v>8359</v>
      </c>
      <c r="E1582" s="108" t="s">
        <v>8365</v>
      </c>
      <c r="F1582" s="105" t="s">
        <v>7181</v>
      </c>
      <c r="G1582" s="105" t="s">
        <v>7182</v>
      </c>
      <c r="H1582" s="105" t="s">
        <v>7183</v>
      </c>
      <c r="I1582" s="385"/>
      <c r="J1582" s="386"/>
      <c r="K1582" s="386"/>
      <c r="L1582" s="386"/>
      <c r="M1582" s="386" t="s">
        <v>765</v>
      </c>
      <c r="N1582" s="386" t="s">
        <v>765</v>
      </c>
      <c r="O1582" s="386" t="s">
        <v>765</v>
      </c>
      <c r="P1582" s="380"/>
      <c r="Q1582" s="389"/>
      <c r="R1582" s="388"/>
      <c r="S1582" s="380"/>
      <c r="T1582" s="380"/>
      <c r="U1582" s="385"/>
      <c r="V1582" s="389"/>
      <c r="W1582" s="388"/>
      <c r="X1582" s="385"/>
      <c r="Y1582" s="388"/>
      <c r="Z1582" s="380"/>
      <c r="AA1582" s="380">
        <v>20</v>
      </c>
      <c r="AB1582" s="380"/>
      <c r="AC1582" s="380"/>
      <c r="AD1582" s="155">
        <v>45078</v>
      </c>
      <c r="AE1582" s="401" t="s">
        <v>8366</v>
      </c>
    </row>
    <row r="1583" spans="1:31" ht="27" customHeight="1" x14ac:dyDescent="0.15">
      <c r="A1583" s="380">
        <v>1116514546</v>
      </c>
      <c r="B1583" s="464" t="s">
        <v>11833</v>
      </c>
      <c r="C1583" s="431" t="s">
        <v>9078</v>
      </c>
      <c r="D1583" s="329" t="s">
        <v>8359</v>
      </c>
      <c r="E1583" s="108" t="s">
        <v>8367</v>
      </c>
      <c r="F1583" s="380" t="s">
        <v>4611</v>
      </c>
      <c r="G1583" s="380" t="s">
        <v>4629</v>
      </c>
      <c r="H1583" s="380" t="s">
        <v>4630</v>
      </c>
      <c r="I1583" s="141"/>
      <c r="J1583" s="142"/>
      <c r="K1583" s="142"/>
      <c r="L1583" s="142"/>
      <c r="M1583" s="142" t="s">
        <v>765</v>
      </c>
      <c r="N1583" s="142" t="s">
        <v>765</v>
      </c>
      <c r="O1583" s="142" t="s">
        <v>765</v>
      </c>
      <c r="P1583" s="105"/>
      <c r="Q1583" s="137"/>
      <c r="R1583" s="138"/>
      <c r="S1583" s="105"/>
      <c r="T1583" s="105"/>
      <c r="U1583" s="105"/>
      <c r="V1583" s="137"/>
      <c r="W1583" s="138"/>
      <c r="X1583" s="137"/>
      <c r="Y1583" s="138"/>
      <c r="Z1583" s="105"/>
      <c r="AA1583" s="105"/>
      <c r="AB1583" s="118" t="s">
        <v>4614</v>
      </c>
      <c r="AC1583" s="118"/>
      <c r="AD1583" s="155">
        <v>45078</v>
      </c>
      <c r="AE1583" s="108" t="s">
        <v>8368</v>
      </c>
    </row>
    <row r="1584" spans="1:31" ht="27" customHeight="1" x14ac:dyDescent="0.15">
      <c r="A1584" s="425">
        <v>1116514959</v>
      </c>
      <c r="B1584" s="423" t="s">
        <v>11834</v>
      </c>
      <c r="C1584" s="453" t="s">
        <v>9016</v>
      </c>
      <c r="D1584" s="391" t="s">
        <v>8135</v>
      </c>
      <c r="E1584" s="406" t="s">
        <v>9017</v>
      </c>
      <c r="F1584" s="391" t="s">
        <v>4461</v>
      </c>
      <c r="G1584" s="406" t="s">
        <v>9018</v>
      </c>
      <c r="H1584" s="406" t="s">
        <v>9019</v>
      </c>
      <c r="I1584" s="427"/>
      <c r="J1584" s="428"/>
      <c r="K1584" s="428"/>
      <c r="L1584" s="428"/>
      <c r="M1584" s="428" t="s">
        <v>765</v>
      </c>
      <c r="N1584" s="455" t="s">
        <v>765</v>
      </c>
      <c r="O1584" s="429" t="s">
        <v>765</v>
      </c>
      <c r="P1584" s="425"/>
      <c r="Q1584" s="430"/>
      <c r="R1584" s="429"/>
      <c r="S1584" s="425"/>
      <c r="T1584" s="76">
        <v>40</v>
      </c>
      <c r="U1584" s="425"/>
      <c r="V1584" s="430"/>
      <c r="W1584" s="429"/>
      <c r="X1584" s="430"/>
      <c r="Y1584" s="429"/>
      <c r="Z1584" s="391"/>
      <c r="AA1584" s="391"/>
      <c r="AB1584" s="391"/>
      <c r="AC1584" s="391"/>
      <c r="AD1584" s="405">
        <v>45231</v>
      </c>
      <c r="AE1584" s="166" t="s">
        <v>8758</v>
      </c>
    </row>
    <row r="1585" spans="1:31" ht="27" customHeight="1" x14ac:dyDescent="0.15">
      <c r="A1585" s="76">
        <v>1116514967</v>
      </c>
      <c r="B1585" s="165" t="s">
        <v>11835</v>
      </c>
      <c r="C1585" s="165" t="s">
        <v>8759</v>
      </c>
      <c r="D1585" s="434" t="s">
        <v>8135</v>
      </c>
      <c r="E1585" s="166" t="s">
        <v>8760</v>
      </c>
      <c r="F1585" s="76" t="s">
        <v>4611</v>
      </c>
      <c r="G1585" s="76" t="s">
        <v>8761</v>
      </c>
      <c r="H1585" s="76" t="s">
        <v>8762</v>
      </c>
      <c r="I1585" s="178"/>
      <c r="J1585" s="170"/>
      <c r="K1585" s="170"/>
      <c r="L1585" s="170"/>
      <c r="M1585" s="170" t="s">
        <v>8136</v>
      </c>
      <c r="N1585" s="170" t="s">
        <v>8136</v>
      </c>
      <c r="O1585" s="170" t="s">
        <v>8136</v>
      </c>
      <c r="P1585" s="76"/>
      <c r="Q1585" s="70"/>
      <c r="R1585" s="92"/>
      <c r="S1585" s="76"/>
      <c r="T1585" s="76"/>
      <c r="U1585" s="76"/>
      <c r="V1585" s="70"/>
      <c r="W1585" s="92"/>
      <c r="X1585" s="70"/>
      <c r="Y1585" s="92"/>
      <c r="Z1585" s="76"/>
      <c r="AA1585" s="76">
        <v>20</v>
      </c>
      <c r="AB1585" s="76"/>
      <c r="AC1585" s="76"/>
      <c r="AD1585" s="146">
        <v>45231</v>
      </c>
      <c r="AE1585" s="166" t="s">
        <v>8763</v>
      </c>
    </row>
    <row r="1586" spans="1:31" ht="27" customHeight="1" x14ac:dyDescent="0.15">
      <c r="A1586" s="425">
        <v>1116514975</v>
      </c>
      <c r="B1586" s="423" t="s">
        <v>11959</v>
      </c>
      <c r="C1586" s="453" t="s">
        <v>8844</v>
      </c>
      <c r="D1586" s="454" t="s">
        <v>3873</v>
      </c>
      <c r="E1586" s="406" t="s">
        <v>8764</v>
      </c>
      <c r="F1586" s="391" t="s">
        <v>4561</v>
      </c>
      <c r="G1586" s="426" t="s">
        <v>8845</v>
      </c>
      <c r="H1586" s="426" t="s">
        <v>8845</v>
      </c>
      <c r="I1586" s="427"/>
      <c r="J1586" s="428"/>
      <c r="K1586" s="428"/>
      <c r="L1586" s="428"/>
      <c r="M1586" s="428" t="s">
        <v>765</v>
      </c>
      <c r="N1586" s="455" t="s">
        <v>765</v>
      </c>
      <c r="O1586" s="429"/>
      <c r="P1586" s="425"/>
      <c r="Q1586" s="430"/>
      <c r="R1586" s="429"/>
      <c r="S1586" s="425"/>
      <c r="T1586" s="425"/>
      <c r="U1586" s="425"/>
      <c r="V1586" s="430"/>
      <c r="W1586" s="429"/>
      <c r="X1586" s="430"/>
      <c r="Y1586" s="429"/>
      <c r="Z1586" s="391">
        <v>20</v>
      </c>
      <c r="AA1586" s="391"/>
      <c r="AB1586" s="391"/>
      <c r="AC1586" s="391"/>
      <c r="AD1586" s="405">
        <v>45231</v>
      </c>
      <c r="AE1586" s="453" t="s">
        <v>8765</v>
      </c>
    </row>
    <row r="1587" spans="1:31" ht="27" customHeight="1" x14ac:dyDescent="0.15">
      <c r="A1587" s="72">
        <v>1116514983</v>
      </c>
      <c r="B1587" s="165" t="s">
        <v>11836</v>
      </c>
      <c r="C1587" s="165" t="s">
        <v>8766</v>
      </c>
      <c r="D1587" s="434" t="s">
        <v>3873</v>
      </c>
      <c r="E1587" s="166" t="s">
        <v>11298</v>
      </c>
      <c r="F1587" s="72" t="s">
        <v>4566</v>
      </c>
      <c r="G1587" s="465" t="s">
        <v>8767</v>
      </c>
      <c r="H1587" s="167" t="s">
        <v>8768</v>
      </c>
      <c r="I1587" s="178"/>
      <c r="J1587" s="170"/>
      <c r="K1587" s="170"/>
      <c r="L1587" s="170"/>
      <c r="M1587" s="170" t="s">
        <v>8136</v>
      </c>
      <c r="N1587" s="170" t="s">
        <v>8136</v>
      </c>
      <c r="O1587" s="170" t="s">
        <v>8136</v>
      </c>
      <c r="P1587" s="76"/>
      <c r="Q1587" s="70"/>
      <c r="R1587" s="92"/>
      <c r="S1587" s="76"/>
      <c r="T1587" s="76"/>
      <c r="U1587" s="178"/>
      <c r="V1587" s="70"/>
      <c r="W1587" s="92"/>
      <c r="X1587" s="128">
        <v>10</v>
      </c>
      <c r="Y1587" s="92"/>
      <c r="Z1587" s="76"/>
      <c r="AA1587" s="76"/>
      <c r="AB1587" s="76"/>
      <c r="AC1587" s="76"/>
      <c r="AD1587" s="146">
        <v>45231</v>
      </c>
      <c r="AE1587" s="166" t="s">
        <v>8770</v>
      </c>
    </row>
    <row r="1588" spans="1:31" ht="27" customHeight="1" x14ac:dyDescent="0.15">
      <c r="A1588" s="433">
        <v>1116514991</v>
      </c>
      <c r="B1588" s="406" t="s">
        <v>8820</v>
      </c>
      <c r="C1588" s="406" t="s">
        <v>8821</v>
      </c>
      <c r="D1588" s="434" t="s">
        <v>8135</v>
      </c>
      <c r="E1588" s="166" t="s">
        <v>8822</v>
      </c>
      <c r="F1588" s="76" t="s">
        <v>8823</v>
      </c>
      <c r="G1588" s="76" t="s">
        <v>8824</v>
      </c>
      <c r="H1588" s="76" t="s">
        <v>8825</v>
      </c>
      <c r="I1588" s="178"/>
      <c r="J1588" s="170"/>
      <c r="K1588" s="170"/>
      <c r="L1588" s="170"/>
      <c r="M1588" s="170" t="s">
        <v>8136</v>
      </c>
      <c r="N1588" s="170" t="s">
        <v>8136</v>
      </c>
      <c r="O1588" s="170"/>
      <c r="P1588" s="76"/>
      <c r="Q1588" s="70"/>
      <c r="R1588" s="92"/>
      <c r="S1588" s="76"/>
      <c r="T1588" s="76"/>
      <c r="U1588" s="178"/>
      <c r="V1588" s="70"/>
      <c r="W1588" s="92"/>
      <c r="X1588" s="178"/>
      <c r="Y1588" s="92"/>
      <c r="Z1588" s="76"/>
      <c r="AA1588" s="76">
        <v>20</v>
      </c>
      <c r="AB1588" s="76"/>
      <c r="AC1588" s="76"/>
      <c r="AD1588" s="146">
        <v>45261</v>
      </c>
      <c r="AE1588" s="166" t="s">
        <v>8826</v>
      </c>
    </row>
    <row r="1589" spans="1:31" ht="27" customHeight="1" x14ac:dyDescent="0.15">
      <c r="A1589" s="425">
        <v>1116515055</v>
      </c>
      <c r="B1589" s="166" t="s">
        <v>11960</v>
      </c>
      <c r="C1589" s="166" t="s">
        <v>8830</v>
      </c>
      <c r="D1589" s="434" t="s">
        <v>8135</v>
      </c>
      <c r="E1589" s="166" t="s">
        <v>8831</v>
      </c>
      <c r="F1589" s="425" t="s">
        <v>8832</v>
      </c>
      <c r="G1589" s="425" t="s">
        <v>8833</v>
      </c>
      <c r="H1589" s="425" t="s">
        <v>8834</v>
      </c>
      <c r="I1589" s="178"/>
      <c r="J1589" s="170"/>
      <c r="K1589" s="170"/>
      <c r="L1589" s="170"/>
      <c r="M1589" s="170" t="s">
        <v>765</v>
      </c>
      <c r="N1589" s="170" t="s">
        <v>765</v>
      </c>
      <c r="O1589" s="170"/>
      <c r="P1589" s="76"/>
      <c r="Q1589" s="70"/>
      <c r="R1589" s="92"/>
      <c r="S1589" s="76"/>
      <c r="T1589" s="76"/>
      <c r="U1589" s="76"/>
      <c r="V1589" s="70"/>
      <c r="W1589" s="92"/>
      <c r="X1589" s="70"/>
      <c r="Y1589" s="92"/>
      <c r="Z1589" s="76"/>
      <c r="AA1589" s="76">
        <v>20</v>
      </c>
      <c r="AB1589" s="76"/>
      <c r="AC1589" s="76"/>
      <c r="AD1589" s="146">
        <v>45261</v>
      </c>
      <c r="AE1589" s="166" t="s">
        <v>8835</v>
      </c>
    </row>
    <row r="1590" spans="1:31" ht="27" customHeight="1" x14ac:dyDescent="0.15">
      <c r="A1590" s="72">
        <v>1116515063</v>
      </c>
      <c r="B1590" s="458" t="s">
        <v>11961</v>
      </c>
      <c r="C1590" s="458" t="s">
        <v>10299</v>
      </c>
      <c r="D1590" s="434" t="s">
        <v>8135</v>
      </c>
      <c r="E1590" s="166" t="s">
        <v>8836</v>
      </c>
      <c r="F1590" s="72" t="s">
        <v>5815</v>
      </c>
      <c r="G1590" s="465" t="s">
        <v>8837</v>
      </c>
      <c r="H1590" s="167" t="s">
        <v>8837</v>
      </c>
      <c r="I1590" s="178"/>
      <c r="J1590" s="170"/>
      <c r="K1590" s="170"/>
      <c r="L1590" s="170"/>
      <c r="M1590" s="170" t="s">
        <v>765</v>
      </c>
      <c r="N1590" s="170" t="s">
        <v>765</v>
      </c>
      <c r="O1590" s="170"/>
      <c r="P1590" s="76"/>
      <c r="Q1590" s="70"/>
      <c r="R1590" s="92"/>
      <c r="S1590" s="76"/>
      <c r="T1590" s="76">
        <v>40</v>
      </c>
      <c r="U1590" s="178"/>
      <c r="V1590" s="70"/>
      <c r="W1590" s="92"/>
      <c r="X1590" s="178"/>
      <c r="Y1590" s="92"/>
      <c r="Z1590" s="76"/>
      <c r="AA1590" s="76">
        <v>10</v>
      </c>
      <c r="AB1590" s="76"/>
      <c r="AC1590" s="76"/>
      <c r="AD1590" s="146">
        <v>45261</v>
      </c>
      <c r="AE1590" s="166" t="s">
        <v>10300</v>
      </c>
    </row>
    <row r="1591" spans="1:31" ht="27" customHeight="1" x14ac:dyDescent="0.15">
      <c r="A1591" s="72">
        <v>1116515071</v>
      </c>
      <c r="B1591" s="163" t="s">
        <v>11962</v>
      </c>
      <c r="C1591" s="164" t="s">
        <v>8838</v>
      </c>
      <c r="D1591" s="434" t="s">
        <v>8135</v>
      </c>
      <c r="E1591" s="166" t="s">
        <v>8839</v>
      </c>
      <c r="F1591" s="72" t="s">
        <v>8840</v>
      </c>
      <c r="G1591" s="465" t="s">
        <v>8841</v>
      </c>
      <c r="H1591" s="167" t="s">
        <v>8842</v>
      </c>
      <c r="I1591" s="178"/>
      <c r="J1591" s="170"/>
      <c r="K1591" s="170"/>
      <c r="L1591" s="170"/>
      <c r="M1591" s="170" t="s">
        <v>765</v>
      </c>
      <c r="N1591" s="170" t="s">
        <v>765</v>
      </c>
      <c r="O1591" s="170"/>
      <c r="P1591" s="425"/>
      <c r="Q1591" s="70"/>
      <c r="R1591" s="92"/>
      <c r="S1591" s="425"/>
      <c r="T1591" s="425"/>
      <c r="U1591" s="425"/>
      <c r="V1591" s="70"/>
      <c r="W1591" s="92"/>
      <c r="X1591" s="70"/>
      <c r="Y1591" s="92"/>
      <c r="Z1591" s="425"/>
      <c r="AA1591" s="425">
        <v>20</v>
      </c>
      <c r="AB1591" s="76"/>
      <c r="AC1591" s="76"/>
      <c r="AD1591" s="146">
        <v>45261</v>
      </c>
      <c r="AE1591" s="166" t="s">
        <v>8843</v>
      </c>
    </row>
    <row r="1592" spans="1:31" ht="27" customHeight="1" x14ac:dyDescent="0.15">
      <c r="A1592" s="72">
        <v>1116515154</v>
      </c>
      <c r="B1592" s="163" t="s">
        <v>11837</v>
      </c>
      <c r="C1592" s="164" t="s">
        <v>8892</v>
      </c>
      <c r="D1592" s="434" t="s">
        <v>8135</v>
      </c>
      <c r="E1592" s="166" t="s">
        <v>8893</v>
      </c>
      <c r="F1592" s="72" t="s">
        <v>6992</v>
      </c>
      <c r="G1592" s="465" t="s">
        <v>8894</v>
      </c>
      <c r="H1592" s="167" t="s">
        <v>8895</v>
      </c>
      <c r="I1592" s="178"/>
      <c r="J1592" s="170"/>
      <c r="K1592" s="170"/>
      <c r="L1592" s="170"/>
      <c r="M1592" s="170" t="s">
        <v>8136</v>
      </c>
      <c r="N1592" s="170" t="s">
        <v>8136</v>
      </c>
      <c r="O1592" s="170" t="s">
        <v>8136</v>
      </c>
      <c r="P1592" s="425"/>
      <c r="Q1592" s="70"/>
      <c r="R1592" s="92"/>
      <c r="S1592" s="425"/>
      <c r="T1592" s="425"/>
      <c r="U1592" s="425"/>
      <c r="V1592" s="70"/>
      <c r="W1592" s="92"/>
      <c r="X1592" s="70"/>
      <c r="Y1592" s="92"/>
      <c r="Z1592" s="425">
        <v>10</v>
      </c>
      <c r="AA1592" s="425">
        <v>10</v>
      </c>
      <c r="AB1592" s="76"/>
      <c r="AC1592" s="76"/>
      <c r="AD1592" s="146">
        <v>45292</v>
      </c>
      <c r="AE1592" s="166" t="s">
        <v>8896</v>
      </c>
    </row>
    <row r="1593" spans="1:31" ht="27" customHeight="1" x14ac:dyDescent="0.15">
      <c r="A1593" s="72">
        <v>1116515170</v>
      </c>
      <c r="B1593" s="163" t="s">
        <v>11839</v>
      </c>
      <c r="C1593" s="164" t="s">
        <v>10211</v>
      </c>
      <c r="D1593" s="434" t="s">
        <v>8135</v>
      </c>
      <c r="E1593" s="166" t="s">
        <v>8900</v>
      </c>
      <c r="F1593" s="72" t="s">
        <v>4612</v>
      </c>
      <c r="G1593" s="465" t="s">
        <v>8897</v>
      </c>
      <c r="H1593" s="167" t="s">
        <v>8898</v>
      </c>
      <c r="I1593" s="178"/>
      <c r="J1593" s="170"/>
      <c r="K1593" s="170"/>
      <c r="L1593" s="170"/>
      <c r="M1593" s="170" t="s">
        <v>8136</v>
      </c>
      <c r="N1593" s="170" t="s">
        <v>8136</v>
      </c>
      <c r="O1593" s="170"/>
      <c r="P1593" s="425"/>
      <c r="Q1593" s="70"/>
      <c r="R1593" s="92"/>
      <c r="S1593" s="425"/>
      <c r="T1593" s="425"/>
      <c r="U1593" s="425"/>
      <c r="V1593" s="70"/>
      <c r="W1593" s="92"/>
      <c r="X1593" s="70"/>
      <c r="Y1593" s="92"/>
      <c r="Z1593" s="425"/>
      <c r="AA1593" s="425">
        <v>10</v>
      </c>
      <c r="AB1593" s="76"/>
      <c r="AC1593" s="76"/>
      <c r="AD1593" s="146">
        <v>45292</v>
      </c>
      <c r="AE1593" s="166" t="s">
        <v>8899</v>
      </c>
    </row>
    <row r="1594" spans="1:31" ht="27" customHeight="1" x14ac:dyDescent="0.15">
      <c r="A1594" s="72">
        <v>1116515196</v>
      </c>
      <c r="B1594" s="166" t="s">
        <v>11840</v>
      </c>
      <c r="C1594" s="166" t="s">
        <v>8944</v>
      </c>
      <c r="D1594" s="434" t="s">
        <v>8077</v>
      </c>
      <c r="E1594" s="166" t="s">
        <v>8945</v>
      </c>
      <c r="F1594" s="76" t="s">
        <v>4727</v>
      </c>
      <c r="G1594" s="76" t="s">
        <v>8946</v>
      </c>
      <c r="H1594" s="76"/>
      <c r="I1594" s="427"/>
      <c r="J1594" s="428"/>
      <c r="K1594" s="428"/>
      <c r="L1594" s="428"/>
      <c r="M1594" s="428"/>
      <c r="N1594" s="428" t="s">
        <v>765</v>
      </c>
      <c r="O1594" s="428"/>
      <c r="P1594" s="425"/>
      <c r="Q1594" s="430"/>
      <c r="R1594" s="429"/>
      <c r="S1594" s="425"/>
      <c r="T1594" s="425"/>
      <c r="U1594" s="427"/>
      <c r="V1594" s="430">
        <v>20</v>
      </c>
      <c r="W1594" s="429"/>
      <c r="X1594" s="427"/>
      <c r="Y1594" s="429"/>
      <c r="Z1594" s="425"/>
      <c r="AA1594" s="425"/>
      <c r="AB1594" s="425"/>
      <c r="AC1594" s="425"/>
      <c r="AD1594" s="146">
        <v>45323</v>
      </c>
      <c r="AE1594" s="406" t="s">
        <v>8947</v>
      </c>
    </row>
    <row r="1595" spans="1:31" ht="27" customHeight="1" x14ac:dyDescent="0.15">
      <c r="A1595" s="433">
        <v>1116515246</v>
      </c>
      <c r="B1595" s="406" t="s">
        <v>11841</v>
      </c>
      <c r="C1595" s="406" t="s">
        <v>9002</v>
      </c>
      <c r="D1595" s="434" t="s">
        <v>8135</v>
      </c>
      <c r="E1595" s="166" t="s">
        <v>9003</v>
      </c>
      <c r="F1595" s="76" t="s">
        <v>9004</v>
      </c>
      <c r="G1595" s="76" t="s">
        <v>9005</v>
      </c>
      <c r="H1595" s="76" t="s">
        <v>9006</v>
      </c>
      <c r="I1595" s="178"/>
      <c r="J1595" s="170"/>
      <c r="K1595" s="170"/>
      <c r="L1595" s="170"/>
      <c r="M1595" s="170"/>
      <c r="N1595" s="170" t="s">
        <v>765</v>
      </c>
      <c r="O1595" s="170"/>
      <c r="P1595" s="76"/>
      <c r="Q1595" s="70"/>
      <c r="R1595" s="92"/>
      <c r="S1595" s="76"/>
      <c r="T1595" s="76"/>
      <c r="U1595" s="178"/>
      <c r="V1595" s="70"/>
      <c r="W1595" s="92"/>
      <c r="X1595" s="178" t="s">
        <v>8769</v>
      </c>
      <c r="Y1595" s="92"/>
      <c r="Z1595" s="76"/>
      <c r="AA1595" s="76"/>
      <c r="AB1595" s="76"/>
      <c r="AC1595" s="76"/>
      <c r="AD1595" s="146">
        <v>45352</v>
      </c>
      <c r="AE1595" s="166" t="s">
        <v>9007</v>
      </c>
    </row>
    <row r="1596" spans="1:31" ht="27" customHeight="1" x14ac:dyDescent="0.15">
      <c r="A1596" s="425">
        <v>1116515261</v>
      </c>
      <c r="B1596" s="458" t="s">
        <v>11963</v>
      </c>
      <c r="C1596" s="458" t="s">
        <v>9336</v>
      </c>
      <c r="D1596" s="434" t="s">
        <v>8135</v>
      </c>
      <c r="E1596" s="166" t="s">
        <v>9008</v>
      </c>
      <c r="F1596" s="425" t="s">
        <v>7446</v>
      </c>
      <c r="G1596" s="425" t="s">
        <v>9009</v>
      </c>
      <c r="H1596" s="425" t="s">
        <v>9010</v>
      </c>
      <c r="I1596" s="178"/>
      <c r="J1596" s="170"/>
      <c r="K1596" s="170"/>
      <c r="L1596" s="170"/>
      <c r="M1596" s="170" t="s">
        <v>765</v>
      </c>
      <c r="N1596" s="170"/>
      <c r="O1596" s="170"/>
      <c r="P1596" s="76"/>
      <c r="Q1596" s="70"/>
      <c r="R1596" s="92"/>
      <c r="S1596" s="76"/>
      <c r="T1596" s="76">
        <v>18</v>
      </c>
      <c r="U1596" s="76"/>
      <c r="V1596" s="70"/>
      <c r="W1596" s="92"/>
      <c r="X1596" s="70"/>
      <c r="Y1596" s="92"/>
      <c r="Z1596" s="76"/>
      <c r="AA1596" s="76">
        <v>10</v>
      </c>
      <c r="AB1596" s="76"/>
      <c r="AC1596" s="76"/>
      <c r="AD1596" s="146">
        <v>45352</v>
      </c>
      <c r="AE1596" s="166" t="s">
        <v>9011</v>
      </c>
    </row>
    <row r="1597" spans="1:31" ht="27" customHeight="1" x14ac:dyDescent="0.15">
      <c r="A1597" s="425">
        <v>1116515287</v>
      </c>
      <c r="B1597" s="458" t="s">
        <v>12024</v>
      </c>
      <c r="C1597" s="458" t="s">
        <v>9012</v>
      </c>
      <c r="D1597" s="434" t="s">
        <v>8135</v>
      </c>
      <c r="E1597" s="166" t="s">
        <v>9013</v>
      </c>
      <c r="F1597" s="425" t="s">
        <v>9014</v>
      </c>
      <c r="G1597" s="425" t="s">
        <v>380</v>
      </c>
      <c r="H1597" s="425" t="s">
        <v>2635</v>
      </c>
      <c r="I1597" s="178" t="s">
        <v>8136</v>
      </c>
      <c r="J1597" s="170" t="s">
        <v>765</v>
      </c>
      <c r="K1597" s="170" t="s">
        <v>765</v>
      </c>
      <c r="L1597" s="170" t="s">
        <v>765</v>
      </c>
      <c r="M1597" s="170" t="s">
        <v>765</v>
      </c>
      <c r="N1597" s="170" t="s">
        <v>765</v>
      </c>
      <c r="O1597" s="170" t="s">
        <v>765</v>
      </c>
      <c r="P1597" s="76"/>
      <c r="Q1597" s="70"/>
      <c r="R1597" s="92"/>
      <c r="S1597" s="76"/>
      <c r="T1597" s="76">
        <v>27</v>
      </c>
      <c r="U1597" s="76"/>
      <c r="V1597" s="70"/>
      <c r="W1597" s="92"/>
      <c r="X1597" s="70"/>
      <c r="Y1597" s="92"/>
      <c r="Z1597" s="76"/>
      <c r="AA1597" s="76"/>
      <c r="AB1597" s="76"/>
      <c r="AC1597" s="76"/>
      <c r="AD1597" s="146">
        <v>45352</v>
      </c>
      <c r="AE1597" s="166" t="s">
        <v>9015</v>
      </c>
    </row>
    <row r="1598" spans="1:31" ht="27" customHeight="1" x14ac:dyDescent="0.15">
      <c r="A1598" s="433">
        <v>1116515360</v>
      </c>
      <c r="B1598" s="406" t="s">
        <v>12025</v>
      </c>
      <c r="C1598" s="406" t="s">
        <v>9059</v>
      </c>
      <c r="D1598" s="434" t="s">
        <v>8135</v>
      </c>
      <c r="E1598" s="166" t="s">
        <v>9060</v>
      </c>
      <c r="F1598" s="76" t="s">
        <v>9061</v>
      </c>
      <c r="G1598" s="76" t="s">
        <v>9062</v>
      </c>
      <c r="H1598" s="76" t="s">
        <v>9063</v>
      </c>
      <c r="I1598" s="178" t="s">
        <v>8136</v>
      </c>
      <c r="J1598" s="170" t="s">
        <v>765</v>
      </c>
      <c r="K1598" s="170" t="s">
        <v>765</v>
      </c>
      <c r="L1598" s="170" t="s">
        <v>765</v>
      </c>
      <c r="M1598" s="170" t="s">
        <v>765</v>
      </c>
      <c r="N1598" s="170" t="s">
        <v>765</v>
      </c>
      <c r="O1598" s="170" t="s">
        <v>765</v>
      </c>
      <c r="P1598" s="76"/>
      <c r="Q1598" s="70"/>
      <c r="R1598" s="92"/>
      <c r="S1598" s="76"/>
      <c r="T1598" s="76">
        <v>20</v>
      </c>
      <c r="U1598" s="178"/>
      <c r="V1598" s="70"/>
      <c r="W1598" s="92"/>
      <c r="X1598" s="178"/>
      <c r="Y1598" s="92"/>
      <c r="Z1598" s="76"/>
      <c r="AA1598" s="76"/>
      <c r="AB1598" s="76"/>
      <c r="AC1598" s="76"/>
      <c r="AD1598" s="146">
        <v>45383</v>
      </c>
      <c r="AE1598" s="166" t="s">
        <v>9064</v>
      </c>
    </row>
    <row r="1599" spans="1:31" ht="27" customHeight="1" x14ac:dyDescent="0.15">
      <c r="A1599" s="76">
        <v>1116515378</v>
      </c>
      <c r="B1599" s="165" t="s">
        <v>11964</v>
      </c>
      <c r="C1599" s="165" t="s">
        <v>9065</v>
      </c>
      <c r="D1599" s="434" t="s">
        <v>8135</v>
      </c>
      <c r="E1599" s="406" t="s">
        <v>9066</v>
      </c>
      <c r="F1599" s="76" t="s">
        <v>6790</v>
      </c>
      <c r="G1599" s="76" t="s">
        <v>9067</v>
      </c>
      <c r="H1599" s="76"/>
      <c r="I1599" s="178"/>
      <c r="J1599" s="170"/>
      <c r="K1599" s="170"/>
      <c r="L1599" s="170"/>
      <c r="M1599" s="170" t="s">
        <v>765</v>
      </c>
      <c r="N1599" s="170" t="s">
        <v>765</v>
      </c>
      <c r="O1599" s="170" t="s">
        <v>765</v>
      </c>
      <c r="P1599" s="76"/>
      <c r="Q1599" s="70"/>
      <c r="R1599" s="92"/>
      <c r="S1599" s="76"/>
      <c r="T1599" s="76"/>
      <c r="U1599" s="76"/>
      <c r="V1599" s="70"/>
      <c r="W1599" s="92"/>
      <c r="X1599" s="70"/>
      <c r="Y1599" s="92"/>
      <c r="Z1599" s="76"/>
      <c r="AA1599" s="76">
        <v>20</v>
      </c>
      <c r="AB1599" s="76"/>
      <c r="AC1599" s="76"/>
      <c r="AD1599" s="146">
        <v>45383</v>
      </c>
      <c r="AE1599" s="166" t="s">
        <v>9068</v>
      </c>
    </row>
    <row r="1600" spans="1:31" ht="27" customHeight="1" x14ac:dyDescent="0.15">
      <c r="A1600" s="76">
        <v>1116515485</v>
      </c>
      <c r="B1600" s="165" t="s">
        <v>11842</v>
      </c>
      <c r="C1600" s="165" t="s">
        <v>9069</v>
      </c>
      <c r="D1600" s="434" t="s">
        <v>8135</v>
      </c>
      <c r="E1600" s="406" t="s">
        <v>9070</v>
      </c>
      <c r="F1600" s="76" t="s">
        <v>6774</v>
      </c>
      <c r="G1600" s="76" t="s">
        <v>9071</v>
      </c>
      <c r="H1600" s="76" t="s">
        <v>9072</v>
      </c>
      <c r="I1600" s="178"/>
      <c r="J1600" s="170"/>
      <c r="K1600" s="170"/>
      <c r="L1600" s="170"/>
      <c r="M1600" s="170" t="s">
        <v>765</v>
      </c>
      <c r="N1600" s="170" t="s">
        <v>765</v>
      </c>
      <c r="O1600" s="170"/>
      <c r="P1600" s="76"/>
      <c r="Q1600" s="70"/>
      <c r="R1600" s="92"/>
      <c r="S1600" s="76"/>
      <c r="T1600" s="76"/>
      <c r="U1600" s="76"/>
      <c r="V1600" s="70">
        <v>20</v>
      </c>
      <c r="W1600" s="92"/>
      <c r="X1600" s="70"/>
      <c r="Y1600" s="92"/>
      <c r="Z1600" s="76"/>
      <c r="AA1600" s="76"/>
      <c r="AB1600" s="76"/>
      <c r="AC1600" s="76"/>
      <c r="AD1600" s="146">
        <v>45383</v>
      </c>
      <c r="AE1600" s="166" t="s">
        <v>9073</v>
      </c>
    </row>
    <row r="1601" spans="1:31" ht="27" customHeight="1" x14ac:dyDescent="0.15">
      <c r="A1601" s="425">
        <v>1116515576</v>
      </c>
      <c r="B1601" s="458" t="s">
        <v>11842</v>
      </c>
      <c r="C1601" s="458" t="s">
        <v>9168</v>
      </c>
      <c r="D1601" s="434" t="s">
        <v>8135</v>
      </c>
      <c r="E1601" s="166" t="s">
        <v>9169</v>
      </c>
      <c r="F1601" s="425" t="s">
        <v>8164</v>
      </c>
      <c r="G1601" s="425" t="s">
        <v>9170</v>
      </c>
      <c r="H1601" s="425" t="s">
        <v>9171</v>
      </c>
      <c r="I1601" s="178"/>
      <c r="J1601" s="170"/>
      <c r="K1601" s="170"/>
      <c r="L1601" s="170"/>
      <c r="M1601" s="170" t="s">
        <v>765</v>
      </c>
      <c r="N1601" s="170" t="s">
        <v>765</v>
      </c>
      <c r="O1601" s="170"/>
      <c r="P1601" s="76"/>
      <c r="Q1601" s="70"/>
      <c r="R1601" s="92"/>
      <c r="S1601" s="76"/>
      <c r="T1601" s="76"/>
      <c r="U1601" s="76"/>
      <c r="V1601" s="70"/>
      <c r="W1601" s="92"/>
      <c r="X1601" s="70">
        <v>16</v>
      </c>
      <c r="Y1601" s="92"/>
      <c r="Z1601" s="76"/>
      <c r="AA1601" s="76"/>
      <c r="AB1601" s="76"/>
      <c r="AC1601" s="76"/>
      <c r="AD1601" s="146">
        <v>45413</v>
      </c>
      <c r="AE1601" s="166" t="s">
        <v>9172</v>
      </c>
    </row>
    <row r="1602" spans="1:31" ht="27" customHeight="1" x14ac:dyDescent="0.15">
      <c r="A1602" s="425">
        <v>1116515618</v>
      </c>
      <c r="B1602" s="458" t="s">
        <v>12026</v>
      </c>
      <c r="C1602" s="458" t="s">
        <v>9173</v>
      </c>
      <c r="D1602" s="434" t="s">
        <v>8135</v>
      </c>
      <c r="E1602" s="166" t="s">
        <v>9174</v>
      </c>
      <c r="F1602" s="425" t="s">
        <v>4461</v>
      </c>
      <c r="G1602" s="425" t="s">
        <v>9175</v>
      </c>
      <c r="H1602" s="425" t="s">
        <v>9176</v>
      </c>
      <c r="I1602" s="178" t="s">
        <v>765</v>
      </c>
      <c r="J1602" s="170"/>
      <c r="K1602" s="170"/>
      <c r="L1602" s="170"/>
      <c r="M1602" s="170"/>
      <c r="N1602" s="170"/>
      <c r="O1602" s="170" t="s">
        <v>765</v>
      </c>
      <c r="P1602" s="76"/>
      <c r="Q1602" s="70"/>
      <c r="R1602" s="92">
        <v>4</v>
      </c>
      <c r="S1602" s="76"/>
      <c r="T1602" s="76">
        <v>25</v>
      </c>
      <c r="U1602" s="76"/>
      <c r="V1602" s="70"/>
      <c r="W1602" s="92"/>
      <c r="X1602" s="70"/>
      <c r="Y1602" s="92"/>
      <c r="Z1602" s="76"/>
      <c r="AA1602" s="76"/>
      <c r="AB1602" s="76"/>
      <c r="AC1602" s="76"/>
      <c r="AD1602" s="146">
        <v>45413</v>
      </c>
      <c r="AE1602" s="166" t="s">
        <v>9177</v>
      </c>
    </row>
    <row r="1603" spans="1:31" ht="27" customHeight="1" x14ac:dyDescent="0.15">
      <c r="A1603" s="425">
        <v>1116515733</v>
      </c>
      <c r="B1603" s="406" t="s">
        <v>12027</v>
      </c>
      <c r="C1603" s="406" t="s">
        <v>9178</v>
      </c>
      <c r="D1603" s="434" t="s">
        <v>8135</v>
      </c>
      <c r="E1603" s="166" t="s">
        <v>9179</v>
      </c>
      <c r="F1603" s="76" t="s">
        <v>6805</v>
      </c>
      <c r="G1603" s="76" t="s">
        <v>380</v>
      </c>
      <c r="H1603" s="76" t="s">
        <v>2635</v>
      </c>
      <c r="I1603" s="178"/>
      <c r="J1603" s="170"/>
      <c r="K1603" s="170"/>
      <c r="L1603" s="170"/>
      <c r="M1603" s="170" t="s">
        <v>8136</v>
      </c>
      <c r="N1603" s="170" t="s">
        <v>8136</v>
      </c>
      <c r="O1603" s="170" t="s">
        <v>8136</v>
      </c>
      <c r="P1603" s="76"/>
      <c r="Q1603" s="70"/>
      <c r="R1603" s="92"/>
      <c r="S1603" s="76"/>
      <c r="T1603" s="76">
        <v>20</v>
      </c>
      <c r="U1603" s="76"/>
      <c r="V1603" s="70"/>
      <c r="W1603" s="92"/>
      <c r="X1603" s="70"/>
      <c r="Y1603" s="92"/>
      <c r="Z1603" s="76"/>
      <c r="AA1603" s="76"/>
      <c r="AB1603" s="425"/>
      <c r="AC1603" s="425"/>
      <c r="AD1603" s="146">
        <v>45413</v>
      </c>
      <c r="AE1603" s="166" t="s">
        <v>9180</v>
      </c>
    </row>
    <row r="1604" spans="1:31" ht="27" customHeight="1" x14ac:dyDescent="0.15">
      <c r="A1604" s="433">
        <v>1116515758</v>
      </c>
      <c r="B1604" s="406" t="s">
        <v>11843</v>
      </c>
      <c r="C1604" s="406" t="s">
        <v>9241</v>
      </c>
      <c r="D1604" s="434" t="s">
        <v>8135</v>
      </c>
      <c r="E1604" s="166" t="s">
        <v>9242</v>
      </c>
      <c r="F1604" s="76" t="s">
        <v>9243</v>
      </c>
      <c r="G1604" s="76" t="s">
        <v>9244</v>
      </c>
      <c r="H1604" s="76" t="s">
        <v>9245</v>
      </c>
      <c r="I1604" s="178"/>
      <c r="J1604" s="170"/>
      <c r="K1604" s="170"/>
      <c r="L1604" s="170"/>
      <c r="M1604" s="170" t="s">
        <v>8136</v>
      </c>
      <c r="N1604" s="170" t="s">
        <v>8136</v>
      </c>
      <c r="O1604" s="170"/>
      <c r="P1604" s="76"/>
      <c r="Q1604" s="70"/>
      <c r="R1604" s="92"/>
      <c r="S1604" s="76"/>
      <c r="T1604" s="76"/>
      <c r="U1604" s="178"/>
      <c r="V1604" s="70"/>
      <c r="W1604" s="92"/>
      <c r="X1604" s="178"/>
      <c r="Y1604" s="92"/>
      <c r="Z1604" s="76">
        <v>20</v>
      </c>
      <c r="AA1604" s="76"/>
      <c r="AB1604" s="76"/>
      <c r="AC1604" s="76"/>
      <c r="AD1604" s="146">
        <v>45444</v>
      </c>
      <c r="AE1604" s="166" t="s">
        <v>9246</v>
      </c>
    </row>
    <row r="1605" spans="1:31" ht="27" customHeight="1" x14ac:dyDescent="0.15">
      <c r="A1605" s="76">
        <v>1116515832</v>
      </c>
      <c r="B1605" s="406" t="s">
        <v>11965</v>
      </c>
      <c r="C1605" s="406" t="s">
        <v>9247</v>
      </c>
      <c r="D1605" s="406" t="s">
        <v>8162</v>
      </c>
      <c r="E1605" s="165" t="s">
        <v>9248</v>
      </c>
      <c r="F1605" s="76" t="s">
        <v>9249</v>
      </c>
      <c r="G1605" s="76" t="s">
        <v>9250</v>
      </c>
      <c r="H1605" s="76"/>
      <c r="I1605" s="178"/>
      <c r="J1605" s="170"/>
      <c r="K1605" s="170"/>
      <c r="L1605" s="170"/>
      <c r="M1605" s="170" t="s">
        <v>8136</v>
      </c>
      <c r="N1605" s="170" t="s">
        <v>8136</v>
      </c>
      <c r="O1605" s="170" t="s">
        <v>765</v>
      </c>
      <c r="P1605" s="76"/>
      <c r="Q1605" s="70"/>
      <c r="R1605" s="92"/>
      <c r="S1605" s="76"/>
      <c r="T1605" s="76"/>
      <c r="U1605" s="76"/>
      <c r="V1605" s="70"/>
      <c r="W1605" s="92"/>
      <c r="X1605" s="70"/>
      <c r="Y1605" s="92"/>
      <c r="Z1605" s="76"/>
      <c r="AA1605" s="76">
        <v>20</v>
      </c>
      <c r="AB1605" s="76"/>
      <c r="AC1605" s="76"/>
      <c r="AD1605" s="146">
        <v>45444</v>
      </c>
      <c r="AE1605" s="166" t="s">
        <v>9251</v>
      </c>
    </row>
    <row r="1606" spans="1:31" ht="27" customHeight="1" x14ac:dyDescent="0.15">
      <c r="A1606" s="425">
        <v>1116515857</v>
      </c>
      <c r="B1606" s="406" t="s">
        <v>11687</v>
      </c>
      <c r="C1606" s="406" t="s">
        <v>9252</v>
      </c>
      <c r="D1606" s="434" t="s">
        <v>8135</v>
      </c>
      <c r="E1606" s="166" t="s">
        <v>9805</v>
      </c>
      <c r="F1606" s="76" t="s">
        <v>5912</v>
      </c>
      <c r="G1606" s="76" t="s">
        <v>9253</v>
      </c>
      <c r="H1606" s="76" t="s">
        <v>9254</v>
      </c>
      <c r="I1606" s="178"/>
      <c r="J1606" s="170"/>
      <c r="K1606" s="170"/>
      <c r="L1606" s="170" t="s">
        <v>765</v>
      </c>
      <c r="M1606" s="170" t="s">
        <v>765</v>
      </c>
      <c r="N1606" s="170" t="s">
        <v>765</v>
      </c>
      <c r="O1606" s="170" t="s">
        <v>765</v>
      </c>
      <c r="P1606" s="76"/>
      <c r="Q1606" s="70"/>
      <c r="R1606" s="92"/>
      <c r="S1606" s="76"/>
      <c r="T1606" s="76"/>
      <c r="U1606" s="76"/>
      <c r="V1606" s="70"/>
      <c r="W1606" s="92"/>
      <c r="X1606" s="70">
        <v>20</v>
      </c>
      <c r="Y1606" s="92"/>
      <c r="Z1606" s="76"/>
      <c r="AA1606" s="76"/>
      <c r="AB1606" s="425"/>
      <c r="AC1606" s="425"/>
      <c r="AD1606" s="146">
        <v>45444</v>
      </c>
      <c r="AE1606" s="166" t="s">
        <v>9255</v>
      </c>
    </row>
    <row r="1607" spans="1:31" ht="27" customHeight="1" x14ac:dyDescent="0.15">
      <c r="A1607" s="425">
        <v>1116515873</v>
      </c>
      <c r="B1607" s="458" t="s">
        <v>11839</v>
      </c>
      <c r="C1607" s="458" t="s">
        <v>10209</v>
      </c>
      <c r="D1607" s="166" t="s">
        <v>8135</v>
      </c>
      <c r="E1607" s="166" t="s">
        <v>9806</v>
      </c>
      <c r="F1607" s="425" t="s">
        <v>9261</v>
      </c>
      <c r="G1607" s="425" t="s">
        <v>9263</v>
      </c>
      <c r="H1607" s="425" t="s">
        <v>9262</v>
      </c>
      <c r="I1607" s="178"/>
      <c r="J1607" s="170"/>
      <c r="K1607" s="170"/>
      <c r="L1607" s="170"/>
      <c r="M1607" s="170" t="s">
        <v>9264</v>
      </c>
      <c r="N1607" s="170" t="s">
        <v>9264</v>
      </c>
      <c r="O1607" s="170"/>
      <c r="P1607" s="76"/>
      <c r="Q1607" s="70"/>
      <c r="R1607" s="92"/>
      <c r="S1607" s="76"/>
      <c r="T1607" s="76"/>
      <c r="U1607" s="76"/>
      <c r="V1607" s="70"/>
      <c r="W1607" s="92"/>
      <c r="X1607" s="70"/>
      <c r="Y1607" s="92"/>
      <c r="Z1607" s="76"/>
      <c r="AA1607" s="76">
        <v>20</v>
      </c>
      <c r="AB1607" s="76"/>
      <c r="AC1607" s="76"/>
      <c r="AD1607" s="146">
        <v>45444</v>
      </c>
      <c r="AE1607" s="166" t="s">
        <v>9256</v>
      </c>
    </row>
    <row r="1608" spans="1:31" ht="27" customHeight="1" x14ac:dyDescent="0.15">
      <c r="A1608" s="76">
        <v>1116515881</v>
      </c>
      <c r="B1608" s="166" t="s">
        <v>11844</v>
      </c>
      <c r="C1608" s="166" t="s">
        <v>9257</v>
      </c>
      <c r="D1608" s="434" t="s">
        <v>8135</v>
      </c>
      <c r="E1608" s="166" t="s">
        <v>9807</v>
      </c>
      <c r="F1608" s="425" t="s">
        <v>4390</v>
      </c>
      <c r="G1608" s="425" t="s">
        <v>9258</v>
      </c>
      <c r="H1608" s="425" t="s">
        <v>9259</v>
      </c>
      <c r="I1608" s="178"/>
      <c r="J1608" s="170"/>
      <c r="K1608" s="170"/>
      <c r="L1608" s="170"/>
      <c r="M1608" s="170" t="s">
        <v>765</v>
      </c>
      <c r="N1608" s="170" t="s">
        <v>765</v>
      </c>
      <c r="O1608" s="170" t="s">
        <v>765</v>
      </c>
      <c r="P1608" s="425"/>
      <c r="Q1608" s="70"/>
      <c r="R1608" s="92"/>
      <c r="S1608" s="425"/>
      <c r="T1608" s="425"/>
      <c r="U1608" s="425"/>
      <c r="V1608" s="70"/>
      <c r="W1608" s="92"/>
      <c r="X1608" s="70"/>
      <c r="Y1608" s="92"/>
      <c r="Z1608" s="425"/>
      <c r="AA1608" s="425">
        <v>20</v>
      </c>
      <c r="AB1608" s="76"/>
      <c r="AC1608" s="76"/>
      <c r="AD1608" s="146">
        <v>45444</v>
      </c>
      <c r="AE1608" s="166" t="s">
        <v>9260</v>
      </c>
    </row>
    <row r="1609" spans="1:31" ht="27" customHeight="1" x14ac:dyDescent="0.15">
      <c r="A1609" s="94">
        <v>1116516103</v>
      </c>
      <c r="B1609" s="352" t="s">
        <v>11845</v>
      </c>
      <c r="C1609" s="352" t="s">
        <v>9322</v>
      </c>
      <c r="D1609" s="466" t="s">
        <v>8077</v>
      </c>
      <c r="E1609" s="352" t="s">
        <v>9323</v>
      </c>
      <c r="F1609" s="467" t="s">
        <v>4561</v>
      </c>
      <c r="G1609" s="467" t="s">
        <v>9324</v>
      </c>
      <c r="H1609" s="467" t="s">
        <v>9325</v>
      </c>
      <c r="I1609" s="468" t="s">
        <v>765</v>
      </c>
      <c r="J1609" s="469" t="s">
        <v>765</v>
      </c>
      <c r="K1609" s="469" t="s">
        <v>765</v>
      </c>
      <c r="L1609" s="469" t="s">
        <v>765</v>
      </c>
      <c r="M1609" s="469" t="s">
        <v>765</v>
      </c>
      <c r="N1609" s="470"/>
      <c r="O1609" s="470"/>
      <c r="P1609" s="467"/>
      <c r="Q1609" s="95"/>
      <c r="R1609" s="96"/>
      <c r="S1609" s="467"/>
      <c r="T1609" s="467">
        <v>15</v>
      </c>
      <c r="U1609" s="467"/>
      <c r="V1609" s="95"/>
      <c r="W1609" s="96"/>
      <c r="X1609" s="95"/>
      <c r="Y1609" s="96"/>
      <c r="Z1609" s="467"/>
      <c r="AA1609" s="467"/>
      <c r="AB1609" s="94"/>
      <c r="AC1609" s="94"/>
      <c r="AD1609" s="462">
        <v>45474</v>
      </c>
      <c r="AE1609" s="352" t="s">
        <v>9326</v>
      </c>
    </row>
    <row r="1610" spans="1:31" ht="27" customHeight="1" x14ac:dyDescent="0.15">
      <c r="A1610" s="94">
        <v>1116516111</v>
      </c>
      <c r="B1610" s="352" t="s">
        <v>11845</v>
      </c>
      <c r="C1610" s="352" t="s">
        <v>9327</v>
      </c>
      <c r="D1610" s="466" t="s">
        <v>8077</v>
      </c>
      <c r="E1610" s="352" t="s">
        <v>9323</v>
      </c>
      <c r="F1610" s="467" t="s">
        <v>4561</v>
      </c>
      <c r="G1610" s="467" t="s">
        <v>9328</v>
      </c>
      <c r="H1610" s="467" t="s">
        <v>5121</v>
      </c>
      <c r="I1610" s="468" t="s">
        <v>765</v>
      </c>
      <c r="J1610" s="469" t="s">
        <v>765</v>
      </c>
      <c r="K1610" s="469" t="s">
        <v>765</v>
      </c>
      <c r="L1610" s="469" t="s">
        <v>765</v>
      </c>
      <c r="M1610" s="469" t="s">
        <v>765</v>
      </c>
      <c r="N1610" s="470" t="s">
        <v>765</v>
      </c>
      <c r="O1610" s="470" t="s">
        <v>765</v>
      </c>
      <c r="P1610" s="467"/>
      <c r="Q1610" s="95"/>
      <c r="R1610" s="96"/>
      <c r="S1610" s="467"/>
      <c r="T1610" s="467">
        <v>40</v>
      </c>
      <c r="U1610" s="467"/>
      <c r="V1610" s="95"/>
      <c r="W1610" s="96"/>
      <c r="X1610" s="95"/>
      <c r="Y1610" s="96"/>
      <c r="Z1610" s="467"/>
      <c r="AA1610" s="467"/>
      <c r="AB1610" s="94"/>
      <c r="AC1610" s="94"/>
      <c r="AD1610" s="462">
        <v>45474</v>
      </c>
      <c r="AE1610" s="352" t="s">
        <v>9329</v>
      </c>
    </row>
    <row r="1611" spans="1:31" ht="27" customHeight="1" x14ac:dyDescent="0.15">
      <c r="A1611" s="94">
        <v>1116516129</v>
      </c>
      <c r="B1611" s="352" t="s">
        <v>11846</v>
      </c>
      <c r="C1611" s="352" t="s">
        <v>9392</v>
      </c>
      <c r="D1611" s="466" t="s">
        <v>8077</v>
      </c>
      <c r="E1611" s="352" t="s">
        <v>9393</v>
      </c>
      <c r="F1611" s="467" t="s">
        <v>4514</v>
      </c>
      <c r="G1611" s="467" t="s">
        <v>9394</v>
      </c>
      <c r="H1611" s="467" t="s">
        <v>9395</v>
      </c>
      <c r="I1611" s="468"/>
      <c r="J1611" s="469"/>
      <c r="K1611" s="469"/>
      <c r="L1611" s="469"/>
      <c r="M1611" s="469"/>
      <c r="N1611" s="470" t="s">
        <v>765</v>
      </c>
      <c r="O1611" s="470"/>
      <c r="P1611" s="467"/>
      <c r="Q1611" s="95"/>
      <c r="R1611" s="96"/>
      <c r="S1611" s="467"/>
      <c r="T1611" s="467"/>
      <c r="U1611" s="467"/>
      <c r="V1611" s="95">
        <v>20</v>
      </c>
      <c r="W1611" s="96"/>
      <c r="X1611" s="95"/>
      <c r="Y1611" s="96"/>
      <c r="Z1611" s="467"/>
      <c r="AA1611" s="467"/>
      <c r="AB1611" s="94"/>
      <c r="AC1611" s="94"/>
      <c r="AD1611" s="462">
        <v>45505</v>
      </c>
      <c r="AE1611" s="352" t="s">
        <v>9396</v>
      </c>
    </row>
    <row r="1612" spans="1:31" ht="27" customHeight="1" x14ac:dyDescent="0.15">
      <c r="A1612" s="94">
        <v>1116516137</v>
      </c>
      <c r="B1612" s="352" t="s">
        <v>11966</v>
      </c>
      <c r="C1612" s="352" t="s">
        <v>9397</v>
      </c>
      <c r="D1612" s="466" t="s">
        <v>8077</v>
      </c>
      <c r="E1612" s="352" t="s">
        <v>9398</v>
      </c>
      <c r="F1612" s="467" t="s">
        <v>9399</v>
      </c>
      <c r="G1612" s="467" t="s">
        <v>9400</v>
      </c>
      <c r="H1612" s="467" t="s">
        <v>9401</v>
      </c>
      <c r="I1612" s="468"/>
      <c r="J1612" s="469"/>
      <c r="K1612" s="469"/>
      <c r="L1612" s="469"/>
      <c r="M1612" s="469" t="s">
        <v>765</v>
      </c>
      <c r="N1612" s="470" t="s">
        <v>765</v>
      </c>
      <c r="O1612" s="470"/>
      <c r="P1612" s="467"/>
      <c r="Q1612" s="95"/>
      <c r="R1612" s="96"/>
      <c r="S1612" s="467"/>
      <c r="T1612" s="467"/>
      <c r="U1612" s="467"/>
      <c r="V1612" s="95"/>
      <c r="W1612" s="96"/>
      <c r="X1612" s="95"/>
      <c r="Y1612" s="96"/>
      <c r="Z1612" s="467"/>
      <c r="AA1612" s="467">
        <v>20</v>
      </c>
      <c r="AB1612" s="94"/>
      <c r="AC1612" s="94"/>
      <c r="AD1612" s="462">
        <v>45505</v>
      </c>
      <c r="AE1612" s="352" t="s">
        <v>9402</v>
      </c>
    </row>
    <row r="1613" spans="1:31" ht="27" customHeight="1" x14ac:dyDescent="0.15">
      <c r="A1613" s="94">
        <v>1116516145</v>
      </c>
      <c r="B1613" s="352" t="s">
        <v>11847</v>
      </c>
      <c r="C1613" s="352" t="s">
        <v>10210</v>
      </c>
      <c r="D1613" s="466" t="s">
        <v>8077</v>
      </c>
      <c r="E1613" s="166" t="s">
        <v>9403</v>
      </c>
      <c r="F1613" s="467" t="s">
        <v>4390</v>
      </c>
      <c r="G1613" s="467" t="s">
        <v>8897</v>
      </c>
      <c r="H1613" s="467" t="s">
        <v>8898</v>
      </c>
      <c r="I1613" s="468"/>
      <c r="J1613" s="469"/>
      <c r="K1613" s="469"/>
      <c r="L1613" s="469"/>
      <c r="M1613" s="469" t="s">
        <v>765</v>
      </c>
      <c r="N1613" s="470" t="s">
        <v>765</v>
      </c>
      <c r="O1613" s="470"/>
      <c r="P1613" s="467"/>
      <c r="Q1613" s="95"/>
      <c r="R1613" s="96"/>
      <c r="S1613" s="467"/>
      <c r="T1613" s="467"/>
      <c r="U1613" s="467"/>
      <c r="V1613" s="95"/>
      <c r="W1613" s="96"/>
      <c r="X1613" s="95"/>
      <c r="Y1613" s="96"/>
      <c r="Z1613" s="467"/>
      <c r="AA1613" s="467">
        <v>20</v>
      </c>
      <c r="AB1613" s="94"/>
      <c r="AC1613" s="94"/>
      <c r="AD1613" s="462">
        <v>45505</v>
      </c>
      <c r="AE1613" s="352" t="s">
        <v>9404</v>
      </c>
    </row>
    <row r="1614" spans="1:31" ht="27" customHeight="1" x14ac:dyDescent="0.15">
      <c r="A1614" s="425">
        <v>1116516202</v>
      </c>
      <c r="B1614" s="458" t="s">
        <v>11848</v>
      </c>
      <c r="C1614" s="458" t="s">
        <v>9453</v>
      </c>
      <c r="D1614" s="434" t="s">
        <v>8135</v>
      </c>
      <c r="E1614" s="166" t="s">
        <v>9454</v>
      </c>
      <c r="F1614" s="425" t="s">
        <v>9455</v>
      </c>
      <c r="G1614" s="425" t="s">
        <v>9456</v>
      </c>
      <c r="H1614" s="425" t="s">
        <v>9457</v>
      </c>
      <c r="I1614" s="178"/>
      <c r="J1614" s="170"/>
      <c r="K1614" s="170"/>
      <c r="L1614" s="170"/>
      <c r="M1614" s="170" t="s">
        <v>765</v>
      </c>
      <c r="N1614" s="170" t="s">
        <v>765</v>
      </c>
      <c r="O1614" s="170" t="s">
        <v>765</v>
      </c>
      <c r="P1614" s="76"/>
      <c r="Q1614" s="70"/>
      <c r="R1614" s="92"/>
      <c r="S1614" s="76"/>
      <c r="T1614" s="76"/>
      <c r="U1614" s="76"/>
      <c r="V1614" s="70"/>
      <c r="W1614" s="92"/>
      <c r="X1614" s="70">
        <v>20</v>
      </c>
      <c r="Y1614" s="92"/>
      <c r="Z1614" s="76"/>
      <c r="AA1614" s="76"/>
      <c r="AB1614" s="76"/>
      <c r="AC1614" s="76"/>
      <c r="AD1614" s="146">
        <v>45536</v>
      </c>
      <c r="AE1614" s="166" t="s">
        <v>9458</v>
      </c>
    </row>
    <row r="1615" spans="1:31" ht="27" customHeight="1" x14ac:dyDescent="0.15">
      <c r="A1615" s="425">
        <v>1116516343</v>
      </c>
      <c r="B1615" s="166" t="s">
        <v>11849</v>
      </c>
      <c r="C1615" s="166" t="s">
        <v>9511</v>
      </c>
      <c r="D1615" s="434" t="s">
        <v>8077</v>
      </c>
      <c r="E1615" s="165" t="s">
        <v>9512</v>
      </c>
      <c r="F1615" s="425" t="s">
        <v>4566</v>
      </c>
      <c r="G1615" s="425" t="s">
        <v>9513</v>
      </c>
      <c r="H1615" s="425" t="s">
        <v>9514</v>
      </c>
      <c r="I1615" s="178"/>
      <c r="J1615" s="170"/>
      <c r="K1615" s="170"/>
      <c r="L1615" s="170"/>
      <c r="M1615" s="170" t="s">
        <v>765</v>
      </c>
      <c r="N1615" s="170" t="s">
        <v>765</v>
      </c>
      <c r="O1615" s="170"/>
      <c r="P1615" s="76"/>
      <c r="Q1615" s="70"/>
      <c r="R1615" s="92"/>
      <c r="S1615" s="76"/>
      <c r="T1615" s="76"/>
      <c r="U1615" s="76"/>
      <c r="V1615" s="70"/>
      <c r="W1615" s="92"/>
      <c r="X1615" s="70"/>
      <c r="Y1615" s="92"/>
      <c r="Z1615" s="76"/>
      <c r="AA1615" s="76">
        <v>20</v>
      </c>
      <c r="AB1615" s="76"/>
      <c r="AC1615" s="76"/>
      <c r="AD1615" s="146">
        <v>45566</v>
      </c>
      <c r="AE1615" s="166" t="s">
        <v>9515</v>
      </c>
    </row>
    <row r="1616" spans="1:31" ht="27" customHeight="1" x14ac:dyDescent="0.15">
      <c r="A1616" s="425">
        <v>1116516368</v>
      </c>
      <c r="B1616" s="166" t="s">
        <v>11850</v>
      </c>
      <c r="C1616" s="166" t="s">
        <v>9516</v>
      </c>
      <c r="D1616" s="434" t="s">
        <v>8077</v>
      </c>
      <c r="E1616" s="165" t="s">
        <v>9517</v>
      </c>
      <c r="F1616" s="425" t="s">
        <v>9518</v>
      </c>
      <c r="G1616" s="425" t="s">
        <v>9519</v>
      </c>
      <c r="H1616" s="425"/>
      <c r="I1616" s="178"/>
      <c r="J1616" s="170"/>
      <c r="K1616" s="170"/>
      <c r="L1616" s="170"/>
      <c r="M1616" s="170" t="s">
        <v>765</v>
      </c>
      <c r="N1616" s="170" t="s">
        <v>765</v>
      </c>
      <c r="O1616" s="170"/>
      <c r="P1616" s="76"/>
      <c r="Q1616" s="70"/>
      <c r="R1616" s="92"/>
      <c r="S1616" s="76"/>
      <c r="T1616" s="76"/>
      <c r="U1616" s="76"/>
      <c r="V1616" s="70"/>
      <c r="W1616" s="92"/>
      <c r="X1616" s="70"/>
      <c r="Y1616" s="92"/>
      <c r="Z1616" s="76">
        <v>20</v>
      </c>
      <c r="AA1616" s="76"/>
      <c r="AB1616" s="76"/>
      <c r="AC1616" s="76"/>
      <c r="AD1616" s="146">
        <v>45566</v>
      </c>
      <c r="AE1616" s="166" t="s">
        <v>9520</v>
      </c>
    </row>
    <row r="1617" spans="1:31" ht="27" customHeight="1" x14ac:dyDescent="0.15">
      <c r="A1617" s="425">
        <v>1116516400</v>
      </c>
      <c r="B1617" s="166" t="s">
        <v>11851</v>
      </c>
      <c r="C1617" s="166" t="s">
        <v>9521</v>
      </c>
      <c r="D1617" s="434" t="s">
        <v>8077</v>
      </c>
      <c r="E1617" s="165" t="s">
        <v>9522</v>
      </c>
      <c r="F1617" s="425" t="s">
        <v>5912</v>
      </c>
      <c r="G1617" s="425" t="s">
        <v>9523</v>
      </c>
      <c r="H1617" s="425" t="s">
        <v>9524</v>
      </c>
      <c r="I1617" s="178"/>
      <c r="J1617" s="170"/>
      <c r="K1617" s="170"/>
      <c r="L1617" s="170"/>
      <c r="M1617" s="170" t="s">
        <v>765</v>
      </c>
      <c r="N1617" s="170" t="s">
        <v>765</v>
      </c>
      <c r="O1617" s="170" t="s">
        <v>765</v>
      </c>
      <c r="P1617" s="76"/>
      <c r="Q1617" s="70"/>
      <c r="R1617" s="92"/>
      <c r="S1617" s="76"/>
      <c r="T1617" s="76"/>
      <c r="U1617" s="76"/>
      <c r="V1617" s="70"/>
      <c r="W1617" s="92"/>
      <c r="X1617" s="70"/>
      <c r="Y1617" s="92"/>
      <c r="Z1617" s="76"/>
      <c r="AA1617" s="76">
        <v>20</v>
      </c>
      <c r="AB1617" s="76"/>
      <c r="AC1617" s="76"/>
      <c r="AD1617" s="146">
        <v>45566</v>
      </c>
      <c r="AE1617" s="166" t="s">
        <v>9525</v>
      </c>
    </row>
    <row r="1618" spans="1:31" ht="27" customHeight="1" x14ac:dyDescent="0.15">
      <c r="A1618" s="425">
        <v>1116516418</v>
      </c>
      <c r="B1618" s="166" t="s">
        <v>11967</v>
      </c>
      <c r="C1618" s="166" t="s">
        <v>9526</v>
      </c>
      <c r="D1618" s="434" t="s">
        <v>8077</v>
      </c>
      <c r="E1618" s="165" t="s">
        <v>9527</v>
      </c>
      <c r="F1618" s="425" t="s">
        <v>6790</v>
      </c>
      <c r="G1618" s="425" t="s">
        <v>7096</v>
      </c>
      <c r="H1618" s="425" t="s">
        <v>7097</v>
      </c>
      <c r="I1618" s="178"/>
      <c r="J1618" s="170"/>
      <c r="K1618" s="170"/>
      <c r="L1618" s="170"/>
      <c r="M1618" s="170" t="s">
        <v>765</v>
      </c>
      <c r="N1618" s="170" t="s">
        <v>765</v>
      </c>
      <c r="O1618" s="170"/>
      <c r="P1618" s="76"/>
      <c r="Q1618" s="70"/>
      <c r="R1618" s="92"/>
      <c r="S1618" s="76"/>
      <c r="T1618" s="76"/>
      <c r="U1618" s="76"/>
      <c r="V1618" s="70"/>
      <c r="W1618" s="92"/>
      <c r="X1618" s="70"/>
      <c r="Y1618" s="92"/>
      <c r="Z1618" s="76"/>
      <c r="AA1618" s="76"/>
      <c r="AB1618" s="76" t="s">
        <v>8136</v>
      </c>
      <c r="AC1618" s="76"/>
      <c r="AD1618" s="146">
        <v>45566</v>
      </c>
      <c r="AE1618" s="166" t="s">
        <v>9528</v>
      </c>
    </row>
    <row r="1619" spans="1:31" ht="27" customHeight="1" x14ac:dyDescent="0.15">
      <c r="A1619" s="425">
        <v>1116516459</v>
      </c>
      <c r="B1619" s="166" t="s">
        <v>11967</v>
      </c>
      <c r="C1619" s="166" t="s">
        <v>9566</v>
      </c>
      <c r="D1619" s="434" t="s">
        <v>8077</v>
      </c>
      <c r="E1619" s="165" t="s">
        <v>9567</v>
      </c>
      <c r="F1619" s="425" t="s">
        <v>6722</v>
      </c>
      <c r="G1619" s="425" t="s">
        <v>9568</v>
      </c>
      <c r="H1619" s="425" t="s">
        <v>9569</v>
      </c>
      <c r="I1619" s="178"/>
      <c r="J1619" s="170"/>
      <c r="K1619" s="170"/>
      <c r="L1619" s="170"/>
      <c r="M1619" s="170" t="s">
        <v>765</v>
      </c>
      <c r="N1619" s="170" t="s">
        <v>765</v>
      </c>
      <c r="O1619" s="170"/>
      <c r="P1619" s="76"/>
      <c r="Q1619" s="70"/>
      <c r="R1619" s="92"/>
      <c r="S1619" s="76"/>
      <c r="T1619" s="76"/>
      <c r="U1619" s="76"/>
      <c r="V1619" s="70">
        <v>20</v>
      </c>
      <c r="W1619" s="92"/>
      <c r="X1619" s="70"/>
      <c r="Y1619" s="92"/>
      <c r="Z1619" s="76"/>
      <c r="AA1619" s="76"/>
      <c r="AB1619" s="76"/>
      <c r="AC1619" s="76"/>
      <c r="AD1619" s="146">
        <v>45597</v>
      </c>
      <c r="AE1619" s="166" t="s">
        <v>9570</v>
      </c>
    </row>
    <row r="1620" spans="1:31" ht="27" customHeight="1" x14ac:dyDescent="0.15">
      <c r="A1620" s="425">
        <v>1116516483</v>
      </c>
      <c r="B1620" s="166" t="s">
        <v>11852</v>
      </c>
      <c r="C1620" s="166" t="s">
        <v>9575</v>
      </c>
      <c r="D1620" s="434" t="s">
        <v>8077</v>
      </c>
      <c r="E1620" s="165" t="s">
        <v>9576</v>
      </c>
      <c r="F1620" s="425" t="s">
        <v>9399</v>
      </c>
      <c r="G1620" s="425" t="s">
        <v>9577</v>
      </c>
      <c r="H1620" s="425" t="s">
        <v>9578</v>
      </c>
      <c r="I1620" s="178"/>
      <c r="J1620" s="170"/>
      <c r="K1620" s="170"/>
      <c r="L1620" s="170"/>
      <c r="M1620" s="170" t="s">
        <v>765</v>
      </c>
      <c r="N1620" s="170"/>
      <c r="O1620" s="170"/>
      <c r="P1620" s="76"/>
      <c r="Q1620" s="70"/>
      <c r="R1620" s="92"/>
      <c r="S1620" s="76"/>
      <c r="T1620" s="76">
        <v>20</v>
      </c>
      <c r="U1620" s="76"/>
      <c r="V1620" s="70"/>
      <c r="W1620" s="92"/>
      <c r="X1620" s="70"/>
      <c r="Y1620" s="92"/>
      <c r="Z1620" s="76"/>
      <c r="AA1620" s="76"/>
      <c r="AB1620" s="76"/>
      <c r="AC1620" s="76"/>
      <c r="AD1620" s="146">
        <v>45597</v>
      </c>
      <c r="AE1620" s="166" t="s">
        <v>9579</v>
      </c>
    </row>
    <row r="1621" spans="1:31" ht="27" customHeight="1" x14ac:dyDescent="0.15">
      <c r="A1621" s="425">
        <v>1116516491</v>
      </c>
      <c r="B1621" s="166" t="s">
        <v>11853</v>
      </c>
      <c r="C1621" s="166" t="s">
        <v>9663</v>
      </c>
      <c r="D1621" s="434" t="s">
        <v>8077</v>
      </c>
      <c r="E1621" s="165" t="s">
        <v>9580</v>
      </c>
      <c r="F1621" s="425" t="s">
        <v>4607</v>
      </c>
      <c r="G1621" s="425" t="s">
        <v>9581</v>
      </c>
      <c r="H1621" s="425" t="s">
        <v>9582</v>
      </c>
      <c r="I1621" s="178"/>
      <c r="J1621" s="170"/>
      <c r="K1621" s="170"/>
      <c r="L1621" s="170" t="s">
        <v>765</v>
      </c>
      <c r="M1621" s="170" t="s">
        <v>765</v>
      </c>
      <c r="N1621" s="170" t="s">
        <v>765</v>
      </c>
      <c r="O1621" s="170" t="s">
        <v>765</v>
      </c>
      <c r="P1621" s="76"/>
      <c r="Q1621" s="70"/>
      <c r="R1621" s="92"/>
      <c r="S1621" s="76"/>
      <c r="T1621" s="76"/>
      <c r="U1621" s="76"/>
      <c r="V1621" s="70"/>
      <c r="W1621" s="92"/>
      <c r="X1621" s="70">
        <v>12</v>
      </c>
      <c r="Y1621" s="92"/>
      <c r="Z1621" s="76">
        <v>14</v>
      </c>
      <c r="AA1621" s="76">
        <v>14</v>
      </c>
      <c r="AB1621" s="76"/>
      <c r="AC1621" s="76"/>
      <c r="AD1621" s="146">
        <v>45597</v>
      </c>
      <c r="AE1621" s="166" t="s">
        <v>9583</v>
      </c>
    </row>
    <row r="1622" spans="1:31" ht="27" customHeight="1" x14ac:dyDescent="0.15">
      <c r="A1622" s="425">
        <v>1116516566</v>
      </c>
      <c r="B1622" s="166" t="s">
        <v>11818</v>
      </c>
      <c r="C1622" s="166" t="s">
        <v>9734</v>
      </c>
      <c r="D1622" s="434" t="s">
        <v>8077</v>
      </c>
      <c r="E1622" s="165" t="s">
        <v>9721</v>
      </c>
      <c r="F1622" s="425" t="s">
        <v>4413</v>
      </c>
      <c r="G1622" s="425" t="s">
        <v>9722</v>
      </c>
      <c r="H1622" s="425" t="s">
        <v>6768</v>
      </c>
      <c r="I1622" s="178"/>
      <c r="J1622" s="170"/>
      <c r="K1622" s="170"/>
      <c r="L1622" s="170"/>
      <c r="M1622" s="170"/>
      <c r="N1622" s="170" t="s">
        <v>8136</v>
      </c>
      <c r="O1622" s="170"/>
      <c r="P1622" s="76"/>
      <c r="Q1622" s="70"/>
      <c r="R1622" s="92"/>
      <c r="S1622" s="76"/>
      <c r="T1622" s="76"/>
      <c r="U1622" s="76"/>
      <c r="V1622" s="70">
        <v>20</v>
      </c>
      <c r="W1622" s="92"/>
      <c r="X1622" s="70"/>
      <c r="Y1622" s="92"/>
      <c r="Z1622" s="76"/>
      <c r="AA1622" s="76"/>
      <c r="AB1622" s="76"/>
      <c r="AC1622" s="76"/>
      <c r="AD1622" s="146">
        <v>45627</v>
      </c>
      <c r="AE1622" s="166" t="s">
        <v>9723</v>
      </c>
    </row>
    <row r="1623" spans="1:31" ht="27" customHeight="1" x14ac:dyDescent="0.15">
      <c r="A1623" s="425">
        <v>1116516632</v>
      </c>
      <c r="B1623" s="166" t="s">
        <v>11854</v>
      </c>
      <c r="C1623" s="166" t="s">
        <v>9736</v>
      </c>
      <c r="D1623" s="434" t="s">
        <v>8077</v>
      </c>
      <c r="E1623" s="165" t="s">
        <v>9725</v>
      </c>
      <c r="F1623" s="425" t="s">
        <v>4899</v>
      </c>
      <c r="G1623" s="425" t="s">
        <v>9726</v>
      </c>
      <c r="H1623" s="425" t="s">
        <v>9727</v>
      </c>
      <c r="I1623" s="178"/>
      <c r="J1623" s="170"/>
      <c r="K1623" s="170"/>
      <c r="L1623" s="170"/>
      <c r="M1623" s="170" t="s">
        <v>8136</v>
      </c>
      <c r="N1623" s="170" t="s">
        <v>8136</v>
      </c>
      <c r="O1623" s="170" t="s">
        <v>765</v>
      </c>
      <c r="P1623" s="76"/>
      <c r="Q1623" s="70"/>
      <c r="R1623" s="92"/>
      <c r="S1623" s="76"/>
      <c r="T1623" s="76"/>
      <c r="U1623" s="76"/>
      <c r="V1623" s="70"/>
      <c r="W1623" s="92"/>
      <c r="X1623" s="70"/>
      <c r="Y1623" s="92"/>
      <c r="Z1623" s="76"/>
      <c r="AA1623" s="76">
        <v>20</v>
      </c>
      <c r="AB1623" s="76"/>
      <c r="AC1623" s="76"/>
      <c r="AD1623" s="146">
        <v>45627</v>
      </c>
      <c r="AE1623" s="166" t="s">
        <v>9728</v>
      </c>
    </row>
    <row r="1624" spans="1:31" ht="27" customHeight="1" x14ac:dyDescent="0.15">
      <c r="A1624" s="425">
        <v>1116516657</v>
      </c>
      <c r="B1624" s="166" t="s">
        <v>11855</v>
      </c>
      <c r="C1624" s="166" t="s">
        <v>9737</v>
      </c>
      <c r="D1624" s="434" t="s">
        <v>8077</v>
      </c>
      <c r="E1624" s="165" t="s">
        <v>9729</v>
      </c>
      <c r="F1624" s="425" t="s">
        <v>9730</v>
      </c>
      <c r="G1624" s="425" t="s">
        <v>9731</v>
      </c>
      <c r="H1624" s="425" t="s">
        <v>9732</v>
      </c>
      <c r="I1624" s="178"/>
      <c r="J1624" s="170"/>
      <c r="K1624" s="170"/>
      <c r="L1624" s="170"/>
      <c r="M1624" s="170" t="s">
        <v>8136</v>
      </c>
      <c r="N1624" s="170" t="s">
        <v>8136</v>
      </c>
      <c r="O1624" s="170" t="s">
        <v>765</v>
      </c>
      <c r="P1624" s="76"/>
      <c r="Q1624" s="70"/>
      <c r="R1624" s="92"/>
      <c r="S1624" s="76"/>
      <c r="T1624" s="76"/>
      <c r="U1624" s="76"/>
      <c r="V1624" s="70"/>
      <c r="W1624" s="92"/>
      <c r="X1624" s="70">
        <v>20</v>
      </c>
      <c r="Y1624" s="92"/>
      <c r="Z1624" s="76"/>
      <c r="AA1624" s="76"/>
      <c r="AB1624" s="76"/>
      <c r="AC1624" s="76"/>
      <c r="AD1624" s="146">
        <v>45627</v>
      </c>
      <c r="AE1624" s="166" t="s">
        <v>9733</v>
      </c>
    </row>
    <row r="1625" spans="1:31" ht="27" customHeight="1" x14ac:dyDescent="0.15">
      <c r="A1625" s="425">
        <v>1116516814</v>
      </c>
      <c r="B1625" s="166" t="s">
        <v>11824</v>
      </c>
      <c r="C1625" s="166" t="s">
        <v>9831</v>
      </c>
      <c r="D1625" s="434" t="s">
        <v>8077</v>
      </c>
      <c r="E1625" s="165" t="s">
        <v>9833</v>
      </c>
      <c r="F1625" s="425" t="s">
        <v>4467</v>
      </c>
      <c r="G1625" s="425" t="s">
        <v>6929</v>
      </c>
      <c r="H1625" s="425" t="s">
        <v>6930</v>
      </c>
      <c r="I1625" s="178"/>
      <c r="J1625" s="170"/>
      <c r="K1625" s="170"/>
      <c r="L1625" s="170"/>
      <c r="M1625" s="170" t="s">
        <v>765</v>
      </c>
      <c r="N1625" s="170" t="s">
        <v>765</v>
      </c>
      <c r="O1625" s="170"/>
      <c r="P1625" s="76"/>
      <c r="Q1625" s="70"/>
      <c r="R1625" s="92"/>
      <c r="S1625" s="76"/>
      <c r="T1625" s="76"/>
      <c r="U1625" s="76"/>
      <c r="V1625" s="70"/>
      <c r="W1625" s="92"/>
      <c r="X1625" s="70"/>
      <c r="Y1625" s="92"/>
      <c r="Z1625" s="76"/>
      <c r="AA1625" s="76"/>
      <c r="AB1625" s="76" t="s">
        <v>765</v>
      </c>
      <c r="AC1625" s="76"/>
      <c r="AD1625" s="146">
        <v>45658</v>
      </c>
      <c r="AE1625" s="166" t="s">
        <v>9832</v>
      </c>
    </row>
    <row r="1626" spans="1:31" s="218" customFormat="1" ht="27" customHeight="1" x14ac:dyDescent="0.15">
      <c r="A1626" s="425">
        <v>1116516913</v>
      </c>
      <c r="B1626" s="166" t="s">
        <v>11816</v>
      </c>
      <c r="C1626" s="166" t="s">
        <v>9898</v>
      </c>
      <c r="D1626" s="434" t="s">
        <v>8077</v>
      </c>
      <c r="E1626" s="165" t="s">
        <v>9899</v>
      </c>
      <c r="F1626" s="425" t="s">
        <v>5912</v>
      </c>
      <c r="G1626" s="425" t="s">
        <v>9900</v>
      </c>
      <c r="H1626" s="425" t="s">
        <v>9901</v>
      </c>
      <c r="I1626" s="178"/>
      <c r="J1626" s="170"/>
      <c r="K1626" s="170"/>
      <c r="L1626" s="170"/>
      <c r="M1626" s="170" t="s">
        <v>765</v>
      </c>
      <c r="N1626" s="170" t="s">
        <v>765</v>
      </c>
      <c r="O1626" s="170" t="s">
        <v>765</v>
      </c>
      <c r="P1626" s="76"/>
      <c r="Q1626" s="70"/>
      <c r="R1626" s="92"/>
      <c r="S1626" s="76"/>
      <c r="T1626" s="76"/>
      <c r="U1626" s="76"/>
      <c r="V1626" s="70">
        <v>20</v>
      </c>
      <c r="W1626" s="92"/>
      <c r="X1626" s="70"/>
      <c r="Y1626" s="92"/>
      <c r="Z1626" s="76"/>
      <c r="AA1626" s="76"/>
      <c r="AB1626" s="76"/>
      <c r="AC1626" s="76"/>
      <c r="AD1626" s="146">
        <v>45717</v>
      </c>
      <c r="AE1626" s="166" t="s">
        <v>9902</v>
      </c>
    </row>
    <row r="1627" spans="1:31" s="218" customFormat="1" ht="27" customHeight="1" x14ac:dyDescent="0.15">
      <c r="A1627" s="425">
        <v>1116517028</v>
      </c>
      <c r="B1627" s="166" t="s">
        <v>11856</v>
      </c>
      <c r="C1627" s="166" t="s">
        <v>9903</v>
      </c>
      <c r="D1627" s="434" t="s">
        <v>105</v>
      </c>
      <c r="E1627" s="165" t="s">
        <v>9904</v>
      </c>
      <c r="F1627" s="425" t="s">
        <v>6722</v>
      </c>
      <c r="G1627" s="425" t="s">
        <v>9905</v>
      </c>
      <c r="H1627" s="425"/>
      <c r="I1627" s="178"/>
      <c r="J1627" s="170"/>
      <c r="K1627" s="170"/>
      <c r="L1627" s="170"/>
      <c r="M1627" s="170" t="s">
        <v>765</v>
      </c>
      <c r="N1627" s="170"/>
      <c r="O1627" s="170"/>
      <c r="P1627" s="76"/>
      <c r="Q1627" s="70"/>
      <c r="R1627" s="92"/>
      <c r="S1627" s="76"/>
      <c r="T1627" s="76">
        <v>20</v>
      </c>
      <c r="U1627" s="76"/>
      <c r="V1627" s="70"/>
      <c r="W1627" s="92"/>
      <c r="X1627" s="70"/>
      <c r="Y1627" s="92"/>
      <c r="Z1627" s="76"/>
      <c r="AA1627" s="76"/>
      <c r="AB1627" s="76"/>
      <c r="AC1627" s="76"/>
      <c r="AD1627" s="146">
        <v>45717</v>
      </c>
      <c r="AE1627" s="166" t="s">
        <v>9906</v>
      </c>
    </row>
    <row r="1628" spans="1:31" s="218" customFormat="1" ht="27" customHeight="1" x14ac:dyDescent="0.15">
      <c r="A1628" s="105">
        <v>1116517168</v>
      </c>
      <c r="B1628" s="130" t="s">
        <v>11968</v>
      </c>
      <c r="C1628" s="108" t="s">
        <v>10012</v>
      </c>
      <c r="D1628" s="108" t="s">
        <v>8077</v>
      </c>
      <c r="E1628" s="166" t="s">
        <v>10010</v>
      </c>
      <c r="F1628" s="131" t="s">
        <v>10013</v>
      </c>
      <c r="G1628" s="132" t="s">
        <v>10014</v>
      </c>
      <c r="H1628" s="132" t="s">
        <v>10015</v>
      </c>
      <c r="I1628" s="133"/>
      <c r="J1628" s="134"/>
      <c r="K1628" s="134"/>
      <c r="L1628" s="134"/>
      <c r="M1628" s="134"/>
      <c r="N1628" s="134" t="s">
        <v>49</v>
      </c>
      <c r="O1628" s="134"/>
      <c r="P1628" s="105"/>
      <c r="Q1628" s="137"/>
      <c r="R1628" s="138"/>
      <c r="S1628" s="105"/>
      <c r="T1628" s="105"/>
      <c r="U1628" s="105"/>
      <c r="V1628" s="137"/>
      <c r="W1628" s="138"/>
      <c r="X1628" s="137"/>
      <c r="Y1628" s="138"/>
      <c r="Z1628" s="105"/>
      <c r="AA1628" s="105">
        <v>20</v>
      </c>
      <c r="AB1628" s="105"/>
      <c r="AC1628" s="105"/>
      <c r="AD1628" s="118">
        <v>45748</v>
      </c>
      <c r="AE1628" s="108" t="s">
        <v>10016</v>
      </c>
    </row>
    <row r="1629" spans="1:31" s="218" customFormat="1" ht="27" customHeight="1" x14ac:dyDescent="0.15">
      <c r="A1629" s="105">
        <v>1116517176</v>
      </c>
      <c r="B1629" s="130" t="s">
        <v>11857</v>
      </c>
      <c r="C1629" s="108" t="s">
        <v>10017</v>
      </c>
      <c r="D1629" s="108" t="s">
        <v>8077</v>
      </c>
      <c r="E1629" s="166" t="s">
        <v>10011</v>
      </c>
      <c r="F1629" s="131" t="s">
        <v>10018</v>
      </c>
      <c r="G1629" s="132" t="s">
        <v>10019</v>
      </c>
      <c r="H1629" s="132"/>
      <c r="I1629" s="133"/>
      <c r="J1629" s="134"/>
      <c r="K1629" s="134"/>
      <c r="L1629" s="134"/>
      <c r="M1629" s="134" t="s">
        <v>49</v>
      </c>
      <c r="N1629" s="134" t="s">
        <v>49</v>
      </c>
      <c r="O1629" s="134" t="s">
        <v>49</v>
      </c>
      <c r="P1629" s="105"/>
      <c r="Q1629" s="137"/>
      <c r="R1629" s="138"/>
      <c r="S1629" s="105"/>
      <c r="T1629" s="105"/>
      <c r="U1629" s="105"/>
      <c r="V1629" s="137"/>
      <c r="W1629" s="138"/>
      <c r="X1629" s="137"/>
      <c r="Y1629" s="138"/>
      <c r="Z1629" s="105"/>
      <c r="AA1629" s="105">
        <v>20</v>
      </c>
      <c r="AB1629" s="105"/>
      <c r="AC1629" s="105"/>
      <c r="AD1629" s="118">
        <v>45748</v>
      </c>
      <c r="AE1629" s="108" t="s">
        <v>10020</v>
      </c>
    </row>
    <row r="1630" spans="1:31" s="218" customFormat="1" ht="27" customHeight="1" x14ac:dyDescent="0.15">
      <c r="A1630" s="105">
        <v>1116517192</v>
      </c>
      <c r="B1630" s="130" t="s">
        <v>11858</v>
      </c>
      <c r="C1630" s="108" t="s">
        <v>10021</v>
      </c>
      <c r="D1630" s="108" t="s">
        <v>8077</v>
      </c>
      <c r="E1630" s="166" t="s">
        <v>10022</v>
      </c>
      <c r="F1630" s="131" t="s">
        <v>10023</v>
      </c>
      <c r="G1630" s="132" t="s">
        <v>10024</v>
      </c>
      <c r="H1630" s="132" t="s">
        <v>10025</v>
      </c>
      <c r="I1630" s="133"/>
      <c r="J1630" s="134"/>
      <c r="K1630" s="134"/>
      <c r="L1630" s="134"/>
      <c r="M1630" s="134" t="s">
        <v>49</v>
      </c>
      <c r="N1630" s="134" t="s">
        <v>49</v>
      </c>
      <c r="O1630" s="134"/>
      <c r="P1630" s="105"/>
      <c r="Q1630" s="137"/>
      <c r="R1630" s="138"/>
      <c r="S1630" s="105"/>
      <c r="T1630" s="105"/>
      <c r="U1630" s="105"/>
      <c r="V1630" s="137"/>
      <c r="W1630" s="138"/>
      <c r="X1630" s="137"/>
      <c r="Y1630" s="138"/>
      <c r="Z1630" s="105"/>
      <c r="AA1630" s="105">
        <v>20</v>
      </c>
      <c r="AB1630" s="105"/>
      <c r="AC1630" s="105"/>
      <c r="AD1630" s="118">
        <v>45748</v>
      </c>
      <c r="AE1630" s="108" t="s">
        <v>10026</v>
      </c>
    </row>
    <row r="1631" spans="1:31" s="218" customFormat="1" ht="27" customHeight="1" x14ac:dyDescent="0.15">
      <c r="A1631" s="105">
        <v>1116517200</v>
      </c>
      <c r="B1631" s="130" t="s">
        <v>11858</v>
      </c>
      <c r="C1631" s="108" t="s">
        <v>10027</v>
      </c>
      <c r="D1631" s="108" t="s">
        <v>8077</v>
      </c>
      <c r="E1631" s="166" t="s">
        <v>10028</v>
      </c>
      <c r="F1631" s="131" t="s">
        <v>10029</v>
      </c>
      <c r="G1631" s="132" t="s">
        <v>10024</v>
      </c>
      <c r="H1631" s="132" t="s">
        <v>10025</v>
      </c>
      <c r="I1631" s="133"/>
      <c r="J1631" s="134"/>
      <c r="K1631" s="134"/>
      <c r="L1631" s="134"/>
      <c r="M1631" s="134" t="s">
        <v>49</v>
      </c>
      <c r="N1631" s="134" t="s">
        <v>49</v>
      </c>
      <c r="O1631" s="134"/>
      <c r="P1631" s="105"/>
      <c r="Q1631" s="137"/>
      <c r="R1631" s="138"/>
      <c r="S1631" s="105"/>
      <c r="T1631" s="105"/>
      <c r="U1631" s="105"/>
      <c r="V1631" s="137"/>
      <c r="W1631" s="138"/>
      <c r="X1631" s="137"/>
      <c r="Y1631" s="138"/>
      <c r="Z1631" s="105"/>
      <c r="AA1631" s="105">
        <v>20</v>
      </c>
      <c r="AB1631" s="105"/>
      <c r="AC1631" s="105"/>
      <c r="AD1631" s="118">
        <v>45748</v>
      </c>
      <c r="AE1631" s="108" t="s">
        <v>10030</v>
      </c>
    </row>
    <row r="1632" spans="1:31" s="218" customFormat="1" ht="27" customHeight="1" x14ac:dyDescent="0.15">
      <c r="A1632" s="105">
        <v>1116517226</v>
      </c>
      <c r="B1632" s="130" t="s">
        <v>11859</v>
      </c>
      <c r="C1632" s="108" t="s">
        <v>10031</v>
      </c>
      <c r="D1632" s="108" t="s">
        <v>8077</v>
      </c>
      <c r="E1632" s="166" t="s">
        <v>10032</v>
      </c>
      <c r="F1632" s="131" t="s">
        <v>10033</v>
      </c>
      <c r="G1632" s="132" t="s">
        <v>10034</v>
      </c>
      <c r="H1632" s="132" t="s">
        <v>10035</v>
      </c>
      <c r="I1632" s="133"/>
      <c r="J1632" s="134"/>
      <c r="K1632" s="134"/>
      <c r="L1632" s="134"/>
      <c r="M1632" s="134" t="s">
        <v>49</v>
      </c>
      <c r="N1632" s="134" t="s">
        <v>49</v>
      </c>
      <c r="O1632" s="134" t="s">
        <v>49</v>
      </c>
      <c r="P1632" s="105"/>
      <c r="Q1632" s="137"/>
      <c r="R1632" s="138"/>
      <c r="S1632" s="105"/>
      <c r="T1632" s="105"/>
      <c r="U1632" s="105"/>
      <c r="V1632" s="137"/>
      <c r="W1632" s="138"/>
      <c r="X1632" s="137"/>
      <c r="Y1632" s="138"/>
      <c r="Z1632" s="105">
        <v>20</v>
      </c>
      <c r="AA1632" s="105"/>
      <c r="AB1632" s="105"/>
      <c r="AC1632" s="105"/>
      <c r="AD1632" s="118">
        <v>45748</v>
      </c>
      <c r="AE1632" s="108" t="s">
        <v>10036</v>
      </c>
    </row>
    <row r="1633" spans="1:31" ht="27" customHeight="1" x14ac:dyDescent="0.15">
      <c r="A1633" s="105">
        <v>1116517234</v>
      </c>
      <c r="B1633" s="130" t="s">
        <v>11860</v>
      </c>
      <c r="C1633" s="108" t="s">
        <v>10037</v>
      </c>
      <c r="D1633" s="108" t="s">
        <v>8077</v>
      </c>
      <c r="E1633" s="166" t="s">
        <v>10038</v>
      </c>
      <c r="F1633" s="131" t="s">
        <v>10039</v>
      </c>
      <c r="G1633" s="132" t="s">
        <v>10040</v>
      </c>
      <c r="H1633" s="132" t="s">
        <v>10041</v>
      </c>
      <c r="I1633" s="133"/>
      <c r="J1633" s="134"/>
      <c r="K1633" s="134"/>
      <c r="L1633" s="134"/>
      <c r="M1633" s="134" t="s">
        <v>765</v>
      </c>
      <c r="N1633" s="134" t="s">
        <v>765</v>
      </c>
      <c r="O1633" s="134"/>
      <c r="P1633" s="105"/>
      <c r="Q1633" s="137"/>
      <c r="R1633" s="138"/>
      <c r="S1633" s="105"/>
      <c r="T1633" s="105"/>
      <c r="U1633" s="105"/>
      <c r="V1633" s="137">
        <v>26</v>
      </c>
      <c r="W1633" s="138"/>
      <c r="X1633" s="137">
        <v>26</v>
      </c>
      <c r="Y1633" s="138"/>
      <c r="Z1633" s="105"/>
      <c r="AA1633" s="105"/>
      <c r="AB1633" s="105"/>
      <c r="AC1633" s="105"/>
      <c r="AD1633" s="118">
        <v>45748</v>
      </c>
      <c r="AE1633" s="108" t="s">
        <v>10042</v>
      </c>
    </row>
    <row r="1634" spans="1:31" ht="27" customHeight="1" x14ac:dyDescent="0.15">
      <c r="A1634" s="105">
        <v>1116517333</v>
      </c>
      <c r="B1634" s="130" t="s">
        <v>11740</v>
      </c>
      <c r="C1634" s="108" t="s">
        <v>10203</v>
      </c>
      <c r="D1634" s="108" t="s">
        <v>105</v>
      </c>
      <c r="E1634" s="166" t="s">
        <v>10204</v>
      </c>
      <c r="F1634" s="131" t="s">
        <v>5912</v>
      </c>
      <c r="G1634" s="132" t="s">
        <v>10205</v>
      </c>
      <c r="H1634" s="132" t="s">
        <v>10206</v>
      </c>
      <c r="I1634" s="133"/>
      <c r="J1634" s="134"/>
      <c r="K1634" s="134"/>
      <c r="L1634" s="134"/>
      <c r="M1634" s="134" t="s">
        <v>765</v>
      </c>
      <c r="N1634" s="134" t="s">
        <v>765</v>
      </c>
      <c r="O1634" s="134" t="s">
        <v>765</v>
      </c>
      <c r="P1634" s="105"/>
      <c r="Q1634" s="137"/>
      <c r="R1634" s="138"/>
      <c r="S1634" s="105"/>
      <c r="T1634" s="105"/>
      <c r="U1634" s="105"/>
      <c r="V1634" s="137"/>
      <c r="W1634" s="138"/>
      <c r="X1634" s="137"/>
      <c r="Y1634" s="138"/>
      <c r="Z1634" s="105"/>
      <c r="AA1634" s="105">
        <v>20</v>
      </c>
      <c r="AB1634" s="105"/>
      <c r="AC1634" s="105"/>
      <c r="AD1634" s="118">
        <v>45778</v>
      </c>
      <c r="AE1634" s="108" t="s">
        <v>10207</v>
      </c>
    </row>
    <row r="1635" spans="1:31" ht="27" customHeight="1" x14ac:dyDescent="0.15">
      <c r="A1635" s="76">
        <v>1116517408</v>
      </c>
      <c r="B1635" s="166" t="s">
        <v>11994</v>
      </c>
      <c r="C1635" s="166" t="s">
        <v>10278</v>
      </c>
      <c r="D1635" s="434" t="s">
        <v>8077</v>
      </c>
      <c r="E1635" s="165" t="s">
        <v>10279</v>
      </c>
      <c r="F1635" s="76" t="s">
        <v>10280</v>
      </c>
      <c r="G1635" s="76" t="s">
        <v>10281</v>
      </c>
      <c r="H1635" s="76" t="s">
        <v>839</v>
      </c>
      <c r="I1635" s="178"/>
      <c r="J1635" s="170"/>
      <c r="K1635" s="170"/>
      <c r="L1635" s="170"/>
      <c r="M1635" s="170" t="s">
        <v>765</v>
      </c>
      <c r="N1635" s="170" t="s">
        <v>765</v>
      </c>
      <c r="O1635" s="170" t="s">
        <v>765</v>
      </c>
      <c r="P1635" s="76"/>
      <c r="Q1635" s="70"/>
      <c r="R1635" s="92"/>
      <c r="S1635" s="76"/>
      <c r="T1635" s="76"/>
      <c r="U1635" s="76"/>
      <c r="V1635" s="70"/>
      <c r="W1635" s="92"/>
      <c r="X1635" s="70"/>
      <c r="Y1635" s="92"/>
      <c r="Z1635" s="76"/>
      <c r="AA1635" s="76">
        <v>20</v>
      </c>
      <c r="AB1635" s="76"/>
      <c r="AC1635" s="76"/>
      <c r="AD1635" s="146">
        <v>45809</v>
      </c>
      <c r="AE1635" s="166" t="s">
        <v>10282</v>
      </c>
    </row>
    <row r="1636" spans="1:31" ht="27" customHeight="1" x14ac:dyDescent="0.15">
      <c r="A1636" s="76">
        <v>1116517424</v>
      </c>
      <c r="B1636" s="166" t="s">
        <v>11826</v>
      </c>
      <c r="C1636" s="166" t="s">
        <v>10283</v>
      </c>
      <c r="D1636" s="434" t="s">
        <v>8077</v>
      </c>
      <c r="E1636" s="166" t="s">
        <v>10284</v>
      </c>
      <c r="F1636" s="168" t="s">
        <v>10285</v>
      </c>
      <c r="G1636" s="72" t="s">
        <v>10286</v>
      </c>
      <c r="H1636" s="72" t="s">
        <v>10287</v>
      </c>
      <c r="I1636" s="178"/>
      <c r="J1636" s="170"/>
      <c r="K1636" s="170"/>
      <c r="L1636" s="170"/>
      <c r="M1636" s="170" t="s">
        <v>765</v>
      </c>
      <c r="N1636" s="170" t="s">
        <v>765</v>
      </c>
      <c r="O1636" s="170" t="s">
        <v>765</v>
      </c>
      <c r="P1636" s="76"/>
      <c r="Q1636" s="70"/>
      <c r="R1636" s="92"/>
      <c r="S1636" s="76"/>
      <c r="T1636" s="76"/>
      <c r="U1636" s="76"/>
      <c r="V1636" s="70"/>
      <c r="W1636" s="92"/>
      <c r="X1636" s="70"/>
      <c r="Y1636" s="92"/>
      <c r="Z1636" s="76"/>
      <c r="AA1636" s="76">
        <v>20</v>
      </c>
      <c r="AB1636" s="76"/>
      <c r="AC1636" s="76"/>
      <c r="AD1636" s="146">
        <v>45809</v>
      </c>
      <c r="AE1636" s="166" t="s">
        <v>10288</v>
      </c>
    </row>
    <row r="1637" spans="1:31" ht="27" customHeight="1" x14ac:dyDescent="0.15">
      <c r="A1637" s="76">
        <v>1116517432</v>
      </c>
      <c r="B1637" s="166" t="s">
        <v>11861</v>
      </c>
      <c r="C1637" s="166" t="s">
        <v>10289</v>
      </c>
      <c r="D1637" s="434" t="s">
        <v>8077</v>
      </c>
      <c r="E1637" s="165" t="s">
        <v>10290</v>
      </c>
      <c r="F1637" s="76" t="s">
        <v>10291</v>
      </c>
      <c r="G1637" s="76" t="s">
        <v>10292</v>
      </c>
      <c r="H1637" s="76" t="s">
        <v>10293</v>
      </c>
      <c r="I1637" s="178"/>
      <c r="J1637" s="170"/>
      <c r="K1637" s="170"/>
      <c r="L1637" s="170"/>
      <c r="M1637" s="170" t="s">
        <v>765</v>
      </c>
      <c r="N1637" s="170" t="s">
        <v>765</v>
      </c>
      <c r="O1637" s="170" t="s">
        <v>765</v>
      </c>
      <c r="P1637" s="76"/>
      <c r="Q1637" s="70"/>
      <c r="R1637" s="92"/>
      <c r="S1637" s="76"/>
      <c r="T1637" s="76"/>
      <c r="U1637" s="76"/>
      <c r="V1637" s="70"/>
      <c r="W1637" s="92"/>
      <c r="X1637" s="70"/>
      <c r="Y1637" s="92"/>
      <c r="Z1637" s="76"/>
      <c r="AA1637" s="76">
        <v>20</v>
      </c>
      <c r="AB1637" s="76"/>
      <c r="AC1637" s="76"/>
      <c r="AD1637" s="146">
        <v>45809</v>
      </c>
      <c r="AE1637" s="166" t="s">
        <v>10294</v>
      </c>
    </row>
    <row r="1638" spans="1:31" ht="26.25" customHeight="1" x14ac:dyDescent="0.15">
      <c r="A1638" s="76">
        <v>1116517473</v>
      </c>
      <c r="B1638" s="166" t="s">
        <v>11862</v>
      </c>
      <c r="C1638" s="521" t="s">
        <v>12203</v>
      </c>
      <c r="D1638" s="434" t="s">
        <v>10295</v>
      </c>
      <c r="E1638" s="165" t="s">
        <v>10296</v>
      </c>
      <c r="F1638" s="76" t="s">
        <v>7782</v>
      </c>
      <c r="G1638" s="76" t="s">
        <v>10297</v>
      </c>
      <c r="H1638" s="76"/>
      <c r="I1638" s="178"/>
      <c r="J1638" s="170"/>
      <c r="K1638" s="170"/>
      <c r="L1638" s="170"/>
      <c r="M1638" s="170" t="s">
        <v>765</v>
      </c>
      <c r="N1638" s="170" t="s">
        <v>765</v>
      </c>
      <c r="O1638" s="170"/>
      <c r="P1638" s="76"/>
      <c r="Q1638" s="70"/>
      <c r="R1638" s="92"/>
      <c r="S1638" s="76"/>
      <c r="T1638" s="76"/>
      <c r="U1638" s="76"/>
      <c r="V1638" s="70"/>
      <c r="W1638" s="92"/>
      <c r="X1638" s="70"/>
      <c r="Y1638" s="92"/>
      <c r="Z1638" s="76"/>
      <c r="AA1638" s="76">
        <v>20</v>
      </c>
      <c r="AB1638" s="76"/>
      <c r="AC1638" s="76"/>
      <c r="AD1638" s="146">
        <v>45809</v>
      </c>
      <c r="AE1638" s="166" t="s">
        <v>10298</v>
      </c>
    </row>
    <row r="1639" spans="1:31" ht="27" customHeight="1" x14ac:dyDescent="0.15">
      <c r="A1639" s="76">
        <v>1116517481</v>
      </c>
      <c r="B1639" s="166" t="s">
        <v>11858</v>
      </c>
      <c r="C1639" s="166" t="s">
        <v>10402</v>
      </c>
      <c r="D1639" s="434" t="s">
        <v>8077</v>
      </c>
      <c r="E1639" s="166" t="s">
        <v>10403</v>
      </c>
      <c r="F1639" s="76" t="s">
        <v>5131</v>
      </c>
      <c r="G1639" s="76" t="s">
        <v>10404</v>
      </c>
      <c r="H1639" s="76" t="s">
        <v>10405</v>
      </c>
      <c r="I1639" s="178"/>
      <c r="J1639" s="170"/>
      <c r="K1639" s="170"/>
      <c r="L1639" s="170"/>
      <c r="M1639" s="170" t="s">
        <v>765</v>
      </c>
      <c r="N1639" s="170" t="s">
        <v>765</v>
      </c>
      <c r="O1639" s="170"/>
      <c r="P1639" s="76"/>
      <c r="Q1639" s="70"/>
      <c r="R1639" s="92"/>
      <c r="S1639" s="76"/>
      <c r="T1639" s="76"/>
      <c r="U1639" s="76"/>
      <c r="V1639" s="70"/>
      <c r="W1639" s="92"/>
      <c r="X1639" s="70"/>
      <c r="Y1639" s="92"/>
      <c r="Z1639" s="76"/>
      <c r="AA1639" s="76">
        <v>20</v>
      </c>
      <c r="AB1639" s="76"/>
      <c r="AC1639" s="76"/>
      <c r="AD1639" s="146">
        <v>45839</v>
      </c>
      <c r="AE1639" s="166" t="s">
        <v>10406</v>
      </c>
    </row>
    <row r="1640" spans="1:31" ht="27" customHeight="1" x14ac:dyDescent="0.15">
      <c r="A1640" s="76">
        <v>1116517499</v>
      </c>
      <c r="B1640" s="166" t="s">
        <v>11863</v>
      </c>
      <c r="C1640" s="166" t="s">
        <v>10407</v>
      </c>
      <c r="D1640" s="434" t="s">
        <v>8077</v>
      </c>
      <c r="E1640" s="165" t="s">
        <v>10408</v>
      </c>
      <c r="F1640" s="168" t="s">
        <v>10409</v>
      </c>
      <c r="G1640" s="76" t="s">
        <v>10410</v>
      </c>
      <c r="H1640" s="76" t="s">
        <v>10411</v>
      </c>
      <c r="I1640" s="178"/>
      <c r="J1640" s="170"/>
      <c r="K1640" s="170"/>
      <c r="L1640" s="170"/>
      <c r="M1640" s="170" t="s">
        <v>765</v>
      </c>
      <c r="N1640" s="170" t="s">
        <v>765</v>
      </c>
      <c r="O1640" s="170" t="s">
        <v>765</v>
      </c>
      <c r="P1640" s="76"/>
      <c r="Q1640" s="70"/>
      <c r="R1640" s="92"/>
      <c r="S1640" s="76"/>
      <c r="T1640" s="76"/>
      <c r="U1640" s="76"/>
      <c r="V1640" s="70"/>
      <c r="W1640" s="92"/>
      <c r="X1640" s="70"/>
      <c r="Y1640" s="92"/>
      <c r="Z1640" s="76"/>
      <c r="AA1640" s="76">
        <v>20</v>
      </c>
      <c r="AB1640" s="76"/>
      <c r="AC1640" s="76"/>
      <c r="AD1640" s="146">
        <v>45839</v>
      </c>
      <c r="AE1640" s="471" t="s">
        <v>10412</v>
      </c>
    </row>
    <row r="1641" spans="1:31" ht="27" customHeight="1" x14ac:dyDescent="0.15">
      <c r="A1641" s="76">
        <v>1116517523</v>
      </c>
      <c r="B1641" s="166" t="s">
        <v>11864</v>
      </c>
      <c r="C1641" s="166" t="s">
        <v>10413</v>
      </c>
      <c r="D1641" s="434" t="s">
        <v>8077</v>
      </c>
      <c r="E1641" s="165" t="s">
        <v>10414</v>
      </c>
      <c r="F1641" s="76" t="s">
        <v>6790</v>
      </c>
      <c r="G1641" s="76" t="s">
        <v>10415</v>
      </c>
      <c r="H1641" s="76" t="s">
        <v>10416</v>
      </c>
      <c r="I1641" s="178"/>
      <c r="J1641" s="170" t="s">
        <v>765</v>
      </c>
      <c r="K1641" s="170"/>
      <c r="L1641" s="170"/>
      <c r="M1641" s="170"/>
      <c r="N1641" s="170"/>
      <c r="O1641" s="170"/>
      <c r="P1641" s="76"/>
      <c r="Q1641" s="70"/>
      <c r="R1641" s="92"/>
      <c r="S1641" s="76"/>
      <c r="T1641" s="76"/>
      <c r="U1641" s="76"/>
      <c r="V1641" s="70"/>
      <c r="W1641" s="92"/>
      <c r="X1641" s="70"/>
      <c r="Y1641" s="92"/>
      <c r="Z1641" s="76"/>
      <c r="AA1641" s="76">
        <v>20</v>
      </c>
      <c r="AB1641" s="76"/>
      <c r="AC1641" s="76"/>
      <c r="AD1641" s="146">
        <v>45839</v>
      </c>
      <c r="AE1641" s="166" t="s">
        <v>10417</v>
      </c>
    </row>
    <row r="1642" spans="1:31" ht="27" customHeight="1" x14ac:dyDescent="0.15">
      <c r="A1642" s="76">
        <v>1116517531</v>
      </c>
      <c r="B1642" s="166" t="s">
        <v>11969</v>
      </c>
      <c r="C1642" s="166" t="s">
        <v>10418</v>
      </c>
      <c r="D1642" s="434" t="s">
        <v>8077</v>
      </c>
      <c r="E1642" s="165" t="s">
        <v>11173</v>
      </c>
      <c r="F1642" s="76" t="s">
        <v>6790</v>
      </c>
      <c r="G1642" s="76" t="s">
        <v>8771</v>
      </c>
      <c r="H1642" s="76" t="s">
        <v>8772</v>
      </c>
      <c r="I1642" s="178"/>
      <c r="J1642" s="170"/>
      <c r="K1642" s="170"/>
      <c r="L1642" s="170"/>
      <c r="M1642" s="170" t="s">
        <v>765</v>
      </c>
      <c r="N1642" s="170" t="s">
        <v>765</v>
      </c>
      <c r="O1642" s="170" t="s">
        <v>765</v>
      </c>
      <c r="P1642" s="76"/>
      <c r="Q1642" s="70"/>
      <c r="R1642" s="92"/>
      <c r="S1642" s="76"/>
      <c r="T1642" s="76"/>
      <c r="U1642" s="76"/>
      <c r="V1642" s="70"/>
      <c r="W1642" s="92"/>
      <c r="X1642" s="70"/>
      <c r="Y1642" s="92"/>
      <c r="Z1642" s="76">
        <v>20</v>
      </c>
      <c r="AA1642" s="76"/>
      <c r="AB1642" s="76"/>
      <c r="AC1642" s="76"/>
      <c r="AD1642" s="146">
        <v>45839</v>
      </c>
      <c r="AE1642" s="166" t="s">
        <v>11174</v>
      </c>
    </row>
    <row r="1643" spans="1:31" ht="27" customHeight="1" x14ac:dyDescent="0.15">
      <c r="A1643" s="76">
        <v>1116517549</v>
      </c>
      <c r="B1643" s="166" t="s">
        <v>11970</v>
      </c>
      <c r="C1643" s="166" t="s">
        <v>10419</v>
      </c>
      <c r="D1643" s="434" t="s">
        <v>8077</v>
      </c>
      <c r="E1643" s="165" t="s">
        <v>10420</v>
      </c>
      <c r="F1643" s="76" t="s">
        <v>5916</v>
      </c>
      <c r="G1643" s="76" t="s">
        <v>10421</v>
      </c>
      <c r="H1643" s="76"/>
      <c r="I1643" s="178"/>
      <c r="J1643" s="170"/>
      <c r="K1643" s="170"/>
      <c r="L1643" s="170"/>
      <c r="M1643" s="170" t="s">
        <v>765</v>
      </c>
      <c r="N1643" s="170" t="s">
        <v>765</v>
      </c>
      <c r="O1643" s="170" t="s">
        <v>765</v>
      </c>
      <c r="P1643" s="76"/>
      <c r="Q1643" s="70"/>
      <c r="R1643" s="92"/>
      <c r="S1643" s="76"/>
      <c r="T1643" s="76"/>
      <c r="U1643" s="76"/>
      <c r="V1643" s="70"/>
      <c r="W1643" s="92"/>
      <c r="X1643" s="70"/>
      <c r="Y1643" s="92"/>
      <c r="Z1643" s="76"/>
      <c r="AA1643" s="76">
        <v>20</v>
      </c>
      <c r="AB1643" s="76"/>
      <c r="AC1643" s="76"/>
      <c r="AD1643" s="146">
        <v>45839</v>
      </c>
      <c r="AE1643" s="166" t="s">
        <v>10422</v>
      </c>
    </row>
    <row r="1644" spans="1:31" ht="27" customHeight="1" x14ac:dyDescent="0.15">
      <c r="A1644" s="76">
        <v>1116517630</v>
      </c>
      <c r="B1644" s="166" t="s">
        <v>11971</v>
      </c>
      <c r="C1644" s="166" t="s">
        <v>10492</v>
      </c>
      <c r="D1644" s="434" t="s">
        <v>8077</v>
      </c>
      <c r="E1644" s="165" t="s">
        <v>10513</v>
      </c>
      <c r="F1644" s="76" t="s">
        <v>7446</v>
      </c>
      <c r="G1644" s="76" t="s">
        <v>10493</v>
      </c>
      <c r="H1644" s="76" t="s">
        <v>10494</v>
      </c>
      <c r="I1644" s="178"/>
      <c r="J1644" s="170"/>
      <c r="K1644" s="170"/>
      <c r="L1644" s="170"/>
      <c r="M1644" s="170" t="s">
        <v>765</v>
      </c>
      <c r="N1644" s="170" t="s">
        <v>765</v>
      </c>
      <c r="O1644" s="170"/>
      <c r="P1644" s="76"/>
      <c r="Q1644" s="70"/>
      <c r="R1644" s="92"/>
      <c r="S1644" s="76"/>
      <c r="T1644" s="76"/>
      <c r="U1644" s="76"/>
      <c r="V1644" s="70"/>
      <c r="W1644" s="92"/>
      <c r="X1644" s="70"/>
      <c r="Y1644" s="92"/>
      <c r="Z1644" s="76"/>
      <c r="AA1644" s="76">
        <v>20</v>
      </c>
      <c r="AB1644" s="76"/>
      <c r="AC1644" s="76"/>
      <c r="AD1644" s="146">
        <v>45870</v>
      </c>
      <c r="AE1644" s="166" t="s">
        <v>10495</v>
      </c>
    </row>
    <row r="1645" spans="1:31" ht="27" customHeight="1" x14ac:dyDescent="0.15">
      <c r="A1645" s="76">
        <v>1116517648</v>
      </c>
      <c r="B1645" s="166" t="s">
        <v>11838</v>
      </c>
      <c r="C1645" s="166" t="s">
        <v>10496</v>
      </c>
      <c r="D1645" s="434" t="s">
        <v>8077</v>
      </c>
      <c r="E1645" s="165" t="s">
        <v>10497</v>
      </c>
      <c r="F1645" s="76" t="s">
        <v>4413</v>
      </c>
      <c r="G1645" s="76" t="s">
        <v>10498</v>
      </c>
      <c r="H1645" s="76" t="s">
        <v>8898</v>
      </c>
      <c r="I1645" s="178"/>
      <c r="J1645" s="170"/>
      <c r="K1645" s="170"/>
      <c r="L1645" s="170"/>
      <c r="M1645" s="170" t="s">
        <v>765</v>
      </c>
      <c r="N1645" s="170" t="s">
        <v>765</v>
      </c>
      <c r="O1645" s="170"/>
      <c r="P1645" s="76"/>
      <c r="Q1645" s="70"/>
      <c r="R1645" s="92"/>
      <c r="S1645" s="76"/>
      <c r="T1645" s="76"/>
      <c r="U1645" s="76"/>
      <c r="V1645" s="70"/>
      <c r="W1645" s="92"/>
      <c r="X1645" s="70"/>
      <c r="Y1645" s="92"/>
      <c r="Z1645" s="76"/>
      <c r="AA1645" s="76">
        <v>20</v>
      </c>
      <c r="AB1645" s="76"/>
      <c r="AC1645" s="76"/>
      <c r="AD1645" s="146">
        <v>45870</v>
      </c>
      <c r="AE1645" s="166" t="s">
        <v>10499</v>
      </c>
    </row>
    <row r="1646" spans="1:31" ht="27" customHeight="1" x14ac:dyDescent="0.15">
      <c r="A1646" s="76">
        <v>1116517655</v>
      </c>
      <c r="B1646" s="166" t="s">
        <v>11865</v>
      </c>
      <c r="C1646" s="166" t="s">
        <v>10500</v>
      </c>
      <c r="D1646" s="434" t="s">
        <v>8077</v>
      </c>
      <c r="E1646" s="165" t="s">
        <v>10514</v>
      </c>
      <c r="F1646" s="76" t="s">
        <v>10501</v>
      </c>
      <c r="G1646" s="76" t="s">
        <v>10502</v>
      </c>
      <c r="H1646" s="76"/>
      <c r="I1646" s="178"/>
      <c r="J1646" s="170"/>
      <c r="K1646" s="170"/>
      <c r="L1646" s="170"/>
      <c r="M1646" s="170" t="s">
        <v>765</v>
      </c>
      <c r="N1646" s="170" t="s">
        <v>765</v>
      </c>
      <c r="O1646" s="170"/>
      <c r="P1646" s="76"/>
      <c r="Q1646" s="70"/>
      <c r="R1646" s="92"/>
      <c r="S1646" s="76"/>
      <c r="T1646" s="76"/>
      <c r="U1646" s="76"/>
      <c r="V1646" s="70"/>
      <c r="W1646" s="92"/>
      <c r="X1646" s="70"/>
      <c r="Y1646" s="92"/>
      <c r="Z1646" s="76"/>
      <c r="AA1646" s="76">
        <v>20</v>
      </c>
      <c r="AB1646" s="76"/>
      <c r="AC1646" s="76"/>
      <c r="AD1646" s="146">
        <v>45870</v>
      </c>
      <c r="AE1646" s="166" t="s">
        <v>10503</v>
      </c>
    </row>
    <row r="1647" spans="1:31" ht="27" customHeight="1" x14ac:dyDescent="0.15">
      <c r="A1647" s="76">
        <v>1116517689</v>
      </c>
      <c r="B1647" s="166" t="s">
        <v>11849</v>
      </c>
      <c r="C1647" s="166" t="s">
        <v>10507</v>
      </c>
      <c r="D1647" s="434" t="s">
        <v>8077</v>
      </c>
      <c r="E1647" s="165" t="s">
        <v>10508</v>
      </c>
      <c r="F1647" s="76" t="s">
        <v>9518</v>
      </c>
      <c r="G1647" s="76" t="s">
        <v>10509</v>
      </c>
      <c r="H1647" s="76" t="s">
        <v>10509</v>
      </c>
      <c r="I1647" s="178"/>
      <c r="J1647" s="170"/>
      <c r="K1647" s="170"/>
      <c r="L1647" s="170"/>
      <c r="M1647" s="170" t="s">
        <v>765</v>
      </c>
      <c r="N1647" s="170" t="s">
        <v>765</v>
      </c>
      <c r="O1647" s="170" t="s">
        <v>765</v>
      </c>
      <c r="P1647" s="76"/>
      <c r="Q1647" s="70"/>
      <c r="R1647" s="92"/>
      <c r="S1647" s="76"/>
      <c r="T1647" s="76"/>
      <c r="U1647" s="76"/>
      <c r="V1647" s="70"/>
      <c r="W1647" s="92"/>
      <c r="X1647" s="70"/>
      <c r="Y1647" s="92"/>
      <c r="Z1647" s="76"/>
      <c r="AA1647" s="76">
        <v>20</v>
      </c>
      <c r="AB1647" s="76"/>
      <c r="AC1647" s="76"/>
      <c r="AD1647" s="146">
        <v>45870</v>
      </c>
      <c r="AE1647" s="166" t="s">
        <v>10510</v>
      </c>
    </row>
    <row r="1648" spans="1:31" ht="27" customHeight="1" x14ac:dyDescent="0.15">
      <c r="A1648" s="76">
        <v>1116517705</v>
      </c>
      <c r="B1648" s="166" t="s">
        <v>11866</v>
      </c>
      <c r="C1648" s="166" t="s">
        <v>10511</v>
      </c>
      <c r="D1648" s="434" t="s">
        <v>8077</v>
      </c>
      <c r="E1648" s="165" t="s">
        <v>10516</v>
      </c>
      <c r="F1648" s="76" t="s">
        <v>4722</v>
      </c>
      <c r="G1648" s="76" t="s">
        <v>8151</v>
      </c>
      <c r="H1648" s="76" t="s">
        <v>8152</v>
      </c>
      <c r="I1648" s="178"/>
      <c r="J1648" s="170"/>
      <c r="K1648" s="170"/>
      <c r="L1648" s="170" t="s">
        <v>765</v>
      </c>
      <c r="M1648" s="170" t="s">
        <v>765</v>
      </c>
      <c r="N1648" s="170" t="s">
        <v>765</v>
      </c>
      <c r="O1648" s="170" t="s">
        <v>765</v>
      </c>
      <c r="P1648" s="76"/>
      <c r="Q1648" s="70"/>
      <c r="R1648" s="92"/>
      <c r="S1648" s="76"/>
      <c r="T1648" s="76"/>
      <c r="U1648" s="76"/>
      <c r="V1648" s="70"/>
      <c r="W1648" s="92"/>
      <c r="X1648" s="70"/>
      <c r="Y1648" s="92"/>
      <c r="Z1648" s="76"/>
      <c r="AA1648" s="76"/>
      <c r="AB1648" s="76" t="s">
        <v>765</v>
      </c>
      <c r="AC1648" s="76"/>
      <c r="AD1648" s="146">
        <v>45870</v>
      </c>
      <c r="AE1648" s="166" t="s">
        <v>10512</v>
      </c>
    </row>
    <row r="1649" spans="1:31" ht="27" customHeight="1" x14ac:dyDescent="0.15">
      <c r="A1649" s="425">
        <v>1116517747</v>
      </c>
      <c r="B1649" s="406" t="s">
        <v>11867</v>
      </c>
      <c r="C1649" s="406" t="s">
        <v>10626</v>
      </c>
      <c r="D1649" s="434" t="s">
        <v>8359</v>
      </c>
      <c r="E1649" s="165" t="s">
        <v>10627</v>
      </c>
      <c r="F1649" s="425" t="s">
        <v>4566</v>
      </c>
      <c r="G1649" s="425" t="s">
        <v>10628</v>
      </c>
      <c r="H1649" s="425"/>
      <c r="I1649" s="178"/>
      <c r="J1649" s="170"/>
      <c r="K1649" s="170"/>
      <c r="L1649" s="170"/>
      <c r="M1649" s="170" t="s">
        <v>765</v>
      </c>
      <c r="N1649" s="170" t="s">
        <v>765</v>
      </c>
      <c r="O1649" s="170" t="s">
        <v>765</v>
      </c>
      <c r="P1649" s="76"/>
      <c r="Q1649" s="70"/>
      <c r="R1649" s="92"/>
      <c r="S1649" s="76"/>
      <c r="T1649" s="76"/>
      <c r="U1649" s="76"/>
      <c r="V1649" s="70"/>
      <c r="W1649" s="92"/>
      <c r="X1649" s="70"/>
      <c r="Y1649" s="92"/>
      <c r="Z1649" s="76"/>
      <c r="AA1649" s="76">
        <v>20</v>
      </c>
      <c r="AB1649" s="76"/>
      <c r="AC1649" s="76"/>
      <c r="AD1649" s="146">
        <v>45901</v>
      </c>
      <c r="AE1649" s="166" t="s">
        <v>10629</v>
      </c>
    </row>
    <row r="1650" spans="1:31" ht="27" customHeight="1" x14ac:dyDescent="0.15">
      <c r="A1650" s="425">
        <v>1116517762</v>
      </c>
      <c r="B1650" s="406" t="s">
        <v>11868</v>
      </c>
      <c r="C1650" s="406" t="s">
        <v>10630</v>
      </c>
      <c r="D1650" s="434" t="s">
        <v>8359</v>
      </c>
      <c r="E1650" s="406" t="s">
        <v>10631</v>
      </c>
      <c r="F1650" s="425" t="s">
        <v>4413</v>
      </c>
      <c r="G1650" s="425" t="s">
        <v>10632</v>
      </c>
      <c r="H1650" s="425"/>
      <c r="I1650" s="178"/>
      <c r="J1650" s="170"/>
      <c r="K1650" s="170"/>
      <c r="L1650" s="170"/>
      <c r="M1650" s="170"/>
      <c r="N1650" s="170" t="s">
        <v>765</v>
      </c>
      <c r="O1650" s="170"/>
      <c r="P1650" s="76"/>
      <c r="Q1650" s="70"/>
      <c r="R1650" s="92"/>
      <c r="S1650" s="76"/>
      <c r="T1650" s="76"/>
      <c r="U1650" s="76"/>
      <c r="V1650" s="70"/>
      <c r="W1650" s="92"/>
      <c r="X1650" s="70">
        <v>20</v>
      </c>
      <c r="Y1650" s="92"/>
      <c r="Z1650" s="76"/>
      <c r="AA1650" s="76"/>
      <c r="AB1650" s="76"/>
      <c r="AC1650" s="76"/>
      <c r="AD1650" s="146">
        <v>45901</v>
      </c>
      <c r="AE1650" s="166" t="s">
        <v>10633</v>
      </c>
    </row>
    <row r="1651" spans="1:31" ht="27" customHeight="1" x14ac:dyDescent="0.15">
      <c r="A1651" s="425">
        <v>1116517770</v>
      </c>
      <c r="B1651" s="406" t="s">
        <v>11869</v>
      </c>
      <c r="C1651" s="406" t="s">
        <v>10634</v>
      </c>
      <c r="D1651" s="434" t="s">
        <v>8359</v>
      </c>
      <c r="E1651" s="165" t="s">
        <v>10635</v>
      </c>
      <c r="F1651" s="425" t="s">
        <v>8823</v>
      </c>
      <c r="G1651" s="425" t="s">
        <v>10636</v>
      </c>
      <c r="H1651" s="425" t="s">
        <v>10637</v>
      </c>
      <c r="I1651" s="178"/>
      <c r="J1651" s="170"/>
      <c r="K1651" s="170"/>
      <c r="L1651" s="170"/>
      <c r="M1651" s="170" t="s">
        <v>765</v>
      </c>
      <c r="N1651" s="170" t="s">
        <v>765</v>
      </c>
      <c r="O1651" s="170"/>
      <c r="P1651" s="76"/>
      <c r="Q1651" s="70"/>
      <c r="R1651" s="92"/>
      <c r="S1651" s="76"/>
      <c r="T1651" s="76"/>
      <c r="U1651" s="76"/>
      <c r="V1651" s="70"/>
      <c r="W1651" s="92"/>
      <c r="X1651" s="70"/>
      <c r="Y1651" s="92"/>
      <c r="Z1651" s="76"/>
      <c r="AA1651" s="76">
        <v>20</v>
      </c>
      <c r="AB1651" s="76"/>
      <c r="AC1651" s="76"/>
      <c r="AD1651" s="146">
        <v>45901</v>
      </c>
      <c r="AE1651" s="166" t="s">
        <v>10638</v>
      </c>
    </row>
    <row r="1652" spans="1:31" ht="26.25" customHeight="1" x14ac:dyDescent="0.15">
      <c r="A1652" s="72">
        <v>1116517796</v>
      </c>
      <c r="B1652" s="406" t="s">
        <v>11870</v>
      </c>
      <c r="C1652" s="406" t="s">
        <v>10639</v>
      </c>
      <c r="D1652" s="434" t="s">
        <v>8359</v>
      </c>
      <c r="E1652" s="406" t="s">
        <v>10640</v>
      </c>
      <c r="F1652" s="425" t="s">
        <v>10641</v>
      </c>
      <c r="G1652" s="72" t="s">
        <v>10642</v>
      </c>
      <c r="H1652" s="140" t="s">
        <v>10643</v>
      </c>
      <c r="I1652" s="178"/>
      <c r="J1652" s="170"/>
      <c r="K1652" s="170"/>
      <c r="L1652" s="170"/>
      <c r="M1652" s="170" t="s">
        <v>765</v>
      </c>
      <c r="N1652" s="170" t="s">
        <v>765</v>
      </c>
      <c r="O1652" s="170"/>
      <c r="P1652" s="76"/>
      <c r="Q1652" s="70"/>
      <c r="R1652" s="92"/>
      <c r="S1652" s="76"/>
      <c r="T1652" s="76">
        <v>20</v>
      </c>
      <c r="U1652" s="76"/>
      <c r="V1652" s="70"/>
      <c r="W1652" s="92"/>
      <c r="X1652" s="70"/>
      <c r="Y1652" s="92"/>
      <c r="Z1652" s="76"/>
      <c r="AA1652" s="76"/>
      <c r="AB1652" s="76"/>
      <c r="AC1652" s="76"/>
      <c r="AD1652" s="146">
        <v>45901</v>
      </c>
      <c r="AE1652" s="166" t="s">
        <v>10644</v>
      </c>
    </row>
    <row r="1653" spans="1:31" ht="27" customHeight="1" x14ac:dyDescent="0.15">
      <c r="A1653" s="433">
        <v>1116517895</v>
      </c>
      <c r="B1653" s="406" t="s">
        <v>11871</v>
      </c>
      <c r="C1653" s="406" t="s">
        <v>10645</v>
      </c>
      <c r="D1653" s="434" t="s">
        <v>8359</v>
      </c>
      <c r="E1653" s="406" t="s">
        <v>10646</v>
      </c>
      <c r="F1653" s="76" t="s">
        <v>10647</v>
      </c>
      <c r="G1653" s="433" t="s">
        <v>10648</v>
      </c>
      <c r="H1653" s="140" t="s">
        <v>10649</v>
      </c>
      <c r="I1653" s="178"/>
      <c r="J1653" s="170"/>
      <c r="K1653" s="170"/>
      <c r="L1653" s="170"/>
      <c r="M1653" s="170"/>
      <c r="N1653" s="170" t="s">
        <v>765</v>
      </c>
      <c r="O1653" s="170"/>
      <c r="P1653" s="76"/>
      <c r="Q1653" s="70"/>
      <c r="R1653" s="92"/>
      <c r="S1653" s="76"/>
      <c r="T1653" s="76"/>
      <c r="U1653" s="76"/>
      <c r="V1653" s="70"/>
      <c r="W1653" s="92"/>
      <c r="X1653" s="70"/>
      <c r="Y1653" s="92"/>
      <c r="Z1653" s="76"/>
      <c r="AA1653" s="76"/>
      <c r="AB1653" s="76" t="s">
        <v>765</v>
      </c>
      <c r="AC1653" s="76"/>
      <c r="AD1653" s="146">
        <v>45901</v>
      </c>
      <c r="AE1653" s="166" t="s">
        <v>10650</v>
      </c>
    </row>
    <row r="1654" spans="1:31" ht="27" customHeight="1" x14ac:dyDescent="0.15">
      <c r="A1654" s="425">
        <v>1116517929</v>
      </c>
      <c r="B1654" s="423" t="s">
        <v>11839</v>
      </c>
      <c r="C1654" s="164" t="s">
        <v>10657</v>
      </c>
      <c r="D1654" s="166" t="s">
        <v>8359</v>
      </c>
      <c r="E1654" s="166" t="s">
        <v>10658</v>
      </c>
      <c r="F1654" s="167" t="s">
        <v>10659</v>
      </c>
      <c r="G1654" s="167" t="s">
        <v>10660</v>
      </c>
      <c r="H1654" s="167" t="s">
        <v>10661</v>
      </c>
      <c r="I1654" s="178"/>
      <c r="J1654" s="170"/>
      <c r="K1654" s="170"/>
      <c r="L1654" s="170"/>
      <c r="M1654" s="170" t="s">
        <v>765</v>
      </c>
      <c r="N1654" s="170" t="s">
        <v>765</v>
      </c>
      <c r="O1654" s="170"/>
      <c r="P1654" s="425"/>
      <c r="Q1654" s="70"/>
      <c r="R1654" s="92"/>
      <c r="S1654" s="425"/>
      <c r="T1654" s="425"/>
      <c r="U1654" s="425"/>
      <c r="V1654" s="70"/>
      <c r="W1654" s="92"/>
      <c r="X1654" s="70"/>
      <c r="Y1654" s="92"/>
      <c r="Z1654" s="425"/>
      <c r="AA1654" s="425">
        <v>20</v>
      </c>
      <c r="AB1654" s="425"/>
      <c r="AC1654" s="425"/>
      <c r="AD1654" s="146">
        <v>45901</v>
      </c>
      <c r="AE1654" s="166" t="s">
        <v>10662</v>
      </c>
    </row>
    <row r="1655" spans="1:31" ht="27" customHeight="1" x14ac:dyDescent="0.15">
      <c r="A1655" s="76">
        <v>1116517986</v>
      </c>
      <c r="B1655" s="406" t="s">
        <v>11872</v>
      </c>
      <c r="C1655" s="434" t="s">
        <v>10651</v>
      </c>
      <c r="D1655" s="434" t="s">
        <v>8359</v>
      </c>
      <c r="E1655" s="406" t="s">
        <v>10652</v>
      </c>
      <c r="F1655" s="168" t="s">
        <v>10653</v>
      </c>
      <c r="G1655" s="76" t="s">
        <v>10654</v>
      </c>
      <c r="H1655" s="76" t="s">
        <v>10655</v>
      </c>
      <c r="I1655" s="178"/>
      <c r="J1655" s="170"/>
      <c r="K1655" s="170"/>
      <c r="L1655" s="170"/>
      <c r="M1655" s="170" t="s">
        <v>765</v>
      </c>
      <c r="N1655" s="170" t="s">
        <v>765</v>
      </c>
      <c r="O1655" s="170"/>
      <c r="P1655" s="76"/>
      <c r="Q1655" s="70"/>
      <c r="R1655" s="92"/>
      <c r="S1655" s="76"/>
      <c r="T1655" s="76"/>
      <c r="U1655" s="76"/>
      <c r="V1655" s="70"/>
      <c r="W1655" s="92"/>
      <c r="X1655" s="70"/>
      <c r="Y1655" s="92"/>
      <c r="Z1655" s="76"/>
      <c r="AA1655" s="76">
        <v>20</v>
      </c>
      <c r="AB1655" s="76"/>
      <c r="AC1655" s="76"/>
      <c r="AD1655" s="146">
        <v>45901</v>
      </c>
      <c r="AE1655" s="166" t="s">
        <v>10656</v>
      </c>
    </row>
    <row r="1656" spans="1:31" ht="27" customHeight="1" x14ac:dyDescent="0.15">
      <c r="A1656" s="76">
        <v>1116518034</v>
      </c>
      <c r="B1656" s="406" t="s">
        <v>11820</v>
      </c>
      <c r="C1656" s="434" t="s">
        <v>10727</v>
      </c>
      <c r="D1656" s="434" t="s">
        <v>8077</v>
      </c>
      <c r="E1656" s="406" t="s">
        <v>10728</v>
      </c>
      <c r="F1656" s="168" t="s">
        <v>5912</v>
      </c>
      <c r="G1656" s="76" t="s">
        <v>7260</v>
      </c>
      <c r="H1656" s="76" t="s">
        <v>7261</v>
      </c>
      <c r="I1656" s="178"/>
      <c r="J1656" s="170"/>
      <c r="K1656" s="170"/>
      <c r="L1656" s="170"/>
      <c r="M1656" s="170"/>
      <c r="N1656" s="170" t="s">
        <v>765</v>
      </c>
      <c r="O1656" s="170"/>
      <c r="P1656" s="76"/>
      <c r="Q1656" s="70"/>
      <c r="R1656" s="92"/>
      <c r="S1656" s="76"/>
      <c r="T1656" s="76"/>
      <c r="U1656" s="76"/>
      <c r="V1656" s="70"/>
      <c r="W1656" s="92"/>
      <c r="X1656" s="70"/>
      <c r="Y1656" s="92"/>
      <c r="Z1656" s="76"/>
      <c r="AA1656" s="76"/>
      <c r="AB1656" s="76"/>
      <c r="AC1656" s="76">
        <v>10</v>
      </c>
      <c r="AD1656" s="146">
        <v>45931</v>
      </c>
      <c r="AE1656" s="166" t="s">
        <v>10699</v>
      </c>
    </row>
    <row r="1657" spans="1:31" ht="27" customHeight="1" x14ac:dyDescent="0.15">
      <c r="A1657" s="76">
        <v>1116518109</v>
      </c>
      <c r="B1657" s="406" t="s">
        <v>11873</v>
      </c>
      <c r="C1657" s="434" t="s">
        <v>10700</v>
      </c>
      <c r="D1657" s="434" t="s">
        <v>8077</v>
      </c>
      <c r="E1657" s="406" t="s">
        <v>10701</v>
      </c>
      <c r="F1657" s="168" t="s">
        <v>6790</v>
      </c>
      <c r="G1657" s="76" t="s">
        <v>10702</v>
      </c>
      <c r="H1657" s="76" t="s">
        <v>10703</v>
      </c>
      <c r="I1657" s="178"/>
      <c r="J1657" s="170"/>
      <c r="K1657" s="170"/>
      <c r="L1657" s="170"/>
      <c r="M1657" s="170" t="s">
        <v>765</v>
      </c>
      <c r="N1657" s="170" t="s">
        <v>765</v>
      </c>
      <c r="O1657" s="170"/>
      <c r="P1657" s="76"/>
      <c r="Q1657" s="70"/>
      <c r="R1657" s="92"/>
      <c r="S1657" s="76"/>
      <c r="T1657" s="76"/>
      <c r="U1657" s="76"/>
      <c r="V1657" s="70"/>
      <c r="W1657" s="92"/>
      <c r="X1657" s="70"/>
      <c r="Y1657" s="92"/>
      <c r="Z1657" s="76"/>
      <c r="AA1657" s="76">
        <v>20</v>
      </c>
      <c r="AB1657" s="76"/>
      <c r="AC1657" s="76"/>
      <c r="AD1657" s="146">
        <v>45931</v>
      </c>
      <c r="AE1657" s="166" t="s">
        <v>10704</v>
      </c>
    </row>
    <row r="1658" spans="1:31" ht="27" customHeight="1" x14ac:dyDescent="0.15">
      <c r="A1658" s="76">
        <v>1116518117</v>
      </c>
      <c r="B1658" s="406" t="s">
        <v>11874</v>
      </c>
      <c r="C1658" s="434" t="s">
        <v>10705</v>
      </c>
      <c r="D1658" s="434" t="s">
        <v>8077</v>
      </c>
      <c r="E1658" s="406" t="s">
        <v>10706</v>
      </c>
      <c r="F1658" s="168" t="s">
        <v>4717</v>
      </c>
      <c r="G1658" s="76" t="s">
        <v>4718</v>
      </c>
      <c r="H1658" s="76" t="s">
        <v>4719</v>
      </c>
      <c r="I1658" s="178" t="s">
        <v>765</v>
      </c>
      <c r="J1658" s="170" t="s">
        <v>765</v>
      </c>
      <c r="K1658" s="170" t="s">
        <v>765</v>
      </c>
      <c r="L1658" s="170" t="s">
        <v>765</v>
      </c>
      <c r="M1658" s="170" t="s">
        <v>765</v>
      </c>
      <c r="N1658" s="170" t="s">
        <v>765</v>
      </c>
      <c r="O1658" s="170" t="s">
        <v>765</v>
      </c>
      <c r="P1658" s="76"/>
      <c r="Q1658" s="70"/>
      <c r="R1658" s="92"/>
      <c r="S1658" s="76"/>
      <c r="T1658" s="76"/>
      <c r="U1658" s="76"/>
      <c r="V1658" s="70"/>
      <c r="W1658" s="92"/>
      <c r="X1658" s="70"/>
      <c r="Y1658" s="92"/>
      <c r="Z1658" s="76"/>
      <c r="AA1658" s="76"/>
      <c r="AB1658" s="76"/>
      <c r="AC1658" s="76">
        <v>10</v>
      </c>
      <c r="AD1658" s="146">
        <v>45931</v>
      </c>
      <c r="AE1658" s="166" t="s">
        <v>10707</v>
      </c>
    </row>
    <row r="1659" spans="1:31" ht="27" customHeight="1" x14ac:dyDescent="0.15">
      <c r="A1659" s="76">
        <v>1116518125</v>
      </c>
      <c r="B1659" s="406" t="s">
        <v>11875</v>
      </c>
      <c r="C1659" s="434" t="s">
        <v>10708</v>
      </c>
      <c r="D1659" s="434" t="s">
        <v>8077</v>
      </c>
      <c r="E1659" s="406" t="s">
        <v>10709</v>
      </c>
      <c r="F1659" s="168" t="s">
        <v>4611</v>
      </c>
      <c r="G1659" s="76" t="s">
        <v>4729</v>
      </c>
      <c r="H1659" s="76" t="s">
        <v>4730</v>
      </c>
      <c r="I1659" s="178"/>
      <c r="J1659" s="170"/>
      <c r="K1659" s="170"/>
      <c r="L1659" s="170"/>
      <c r="M1659" s="170" t="s">
        <v>765</v>
      </c>
      <c r="N1659" s="170" t="s">
        <v>765</v>
      </c>
      <c r="O1659" s="170" t="s">
        <v>765</v>
      </c>
      <c r="P1659" s="76"/>
      <c r="Q1659" s="70"/>
      <c r="R1659" s="92"/>
      <c r="S1659" s="76"/>
      <c r="T1659" s="76"/>
      <c r="U1659" s="76"/>
      <c r="V1659" s="70"/>
      <c r="W1659" s="92"/>
      <c r="X1659" s="70"/>
      <c r="Y1659" s="92"/>
      <c r="Z1659" s="76"/>
      <c r="AA1659" s="76"/>
      <c r="AB1659" s="76"/>
      <c r="AC1659" s="76">
        <v>10</v>
      </c>
      <c r="AD1659" s="146">
        <v>45931</v>
      </c>
      <c r="AE1659" s="166" t="s">
        <v>10710</v>
      </c>
    </row>
    <row r="1660" spans="1:31" ht="27" customHeight="1" x14ac:dyDescent="0.15">
      <c r="A1660" s="76">
        <v>1116518133</v>
      </c>
      <c r="B1660" s="406" t="s">
        <v>11876</v>
      </c>
      <c r="C1660" s="434" t="s">
        <v>10711</v>
      </c>
      <c r="D1660" s="434" t="s">
        <v>8077</v>
      </c>
      <c r="E1660" s="406" t="s">
        <v>10712</v>
      </c>
      <c r="F1660" s="168" t="s">
        <v>6828</v>
      </c>
      <c r="G1660" s="76" t="s">
        <v>10713</v>
      </c>
      <c r="H1660" s="76" t="s">
        <v>10713</v>
      </c>
      <c r="I1660" s="178"/>
      <c r="J1660" s="170"/>
      <c r="K1660" s="170"/>
      <c r="L1660" s="170"/>
      <c r="M1660" s="170" t="s">
        <v>765</v>
      </c>
      <c r="N1660" s="170" t="s">
        <v>765</v>
      </c>
      <c r="O1660" s="170"/>
      <c r="P1660" s="76"/>
      <c r="Q1660" s="70"/>
      <c r="R1660" s="92"/>
      <c r="S1660" s="76"/>
      <c r="T1660" s="76"/>
      <c r="U1660" s="76"/>
      <c r="V1660" s="70"/>
      <c r="W1660" s="92"/>
      <c r="X1660" s="70"/>
      <c r="Y1660" s="92"/>
      <c r="Z1660" s="76"/>
      <c r="AA1660" s="76">
        <v>20</v>
      </c>
      <c r="AB1660" s="76"/>
      <c r="AC1660" s="76"/>
      <c r="AD1660" s="146">
        <v>45931</v>
      </c>
      <c r="AE1660" s="166" t="s">
        <v>10714</v>
      </c>
    </row>
    <row r="1661" spans="1:31" ht="27" customHeight="1" x14ac:dyDescent="0.15">
      <c r="A1661" s="76">
        <v>1116518141</v>
      </c>
      <c r="B1661" s="406" t="s">
        <v>11816</v>
      </c>
      <c r="C1661" s="434" t="s">
        <v>10715</v>
      </c>
      <c r="D1661" s="434" t="s">
        <v>8077</v>
      </c>
      <c r="E1661" s="406" t="s">
        <v>10716</v>
      </c>
      <c r="F1661" s="168" t="s">
        <v>8164</v>
      </c>
      <c r="G1661" s="76" t="s">
        <v>9170</v>
      </c>
      <c r="H1661" s="76" t="s">
        <v>9171</v>
      </c>
      <c r="I1661" s="178"/>
      <c r="J1661" s="170" t="s">
        <v>765</v>
      </c>
      <c r="K1661" s="170" t="s">
        <v>765</v>
      </c>
      <c r="L1661" s="170" t="s">
        <v>765</v>
      </c>
      <c r="M1661" s="170" t="s">
        <v>765</v>
      </c>
      <c r="N1661" s="170" t="s">
        <v>765</v>
      </c>
      <c r="O1661" s="170" t="s">
        <v>765</v>
      </c>
      <c r="P1661" s="76"/>
      <c r="Q1661" s="70"/>
      <c r="R1661" s="92"/>
      <c r="S1661" s="76"/>
      <c r="T1661" s="76"/>
      <c r="U1661" s="76"/>
      <c r="V1661" s="70"/>
      <c r="W1661" s="92"/>
      <c r="X1661" s="70"/>
      <c r="Y1661" s="92"/>
      <c r="Z1661" s="76"/>
      <c r="AA1661" s="76"/>
      <c r="AB1661" s="76" t="s">
        <v>765</v>
      </c>
      <c r="AC1661" s="76"/>
      <c r="AD1661" s="146">
        <v>45931</v>
      </c>
      <c r="AE1661" s="166" t="s">
        <v>10717</v>
      </c>
    </row>
    <row r="1662" spans="1:31" ht="27" customHeight="1" x14ac:dyDescent="0.15">
      <c r="A1662" s="76">
        <v>1116518158</v>
      </c>
      <c r="B1662" s="406" t="s">
        <v>11877</v>
      </c>
      <c r="C1662" s="434" t="s">
        <v>10718</v>
      </c>
      <c r="D1662" s="434" t="s">
        <v>8077</v>
      </c>
      <c r="E1662" s="406" t="s">
        <v>9833</v>
      </c>
      <c r="F1662" s="168" t="s">
        <v>4467</v>
      </c>
      <c r="G1662" s="76" t="s">
        <v>6929</v>
      </c>
      <c r="H1662" s="76" t="s">
        <v>6930</v>
      </c>
      <c r="I1662" s="178"/>
      <c r="J1662" s="170"/>
      <c r="K1662" s="170"/>
      <c r="L1662" s="170"/>
      <c r="M1662" s="170" t="s">
        <v>765</v>
      </c>
      <c r="N1662" s="170" t="s">
        <v>765</v>
      </c>
      <c r="O1662" s="170"/>
      <c r="P1662" s="76"/>
      <c r="Q1662" s="70"/>
      <c r="R1662" s="92"/>
      <c r="S1662" s="76"/>
      <c r="T1662" s="76"/>
      <c r="U1662" s="76"/>
      <c r="V1662" s="70"/>
      <c r="W1662" s="92"/>
      <c r="X1662" s="70"/>
      <c r="Y1662" s="92"/>
      <c r="Z1662" s="76"/>
      <c r="AA1662" s="76"/>
      <c r="AB1662" s="76"/>
      <c r="AC1662" s="76">
        <v>10</v>
      </c>
      <c r="AD1662" s="146">
        <v>45931</v>
      </c>
      <c r="AE1662" s="166" t="s">
        <v>10719</v>
      </c>
    </row>
    <row r="1663" spans="1:31" s="218" customFormat="1" ht="27" customHeight="1" x14ac:dyDescent="0.15">
      <c r="A1663" s="76">
        <v>1116518174</v>
      </c>
      <c r="B1663" s="406" t="s">
        <v>11878</v>
      </c>
      <c r="C1663" s="434" t="s">
        <v>10720</v>
      </c>
      <c r="D1663" s="434" t="s">
        <v>8077</v>
      </c>
      <c r="E1663" s="406" t="s">
        <v>10721</v>
      </c>
      <c r="F1663" s="168" t="s">
        <v>4390</v>
      </c>
      <c r="G1663" s="76" t="s">
        <v>10730</v>
      </c>
      <c r="H1663" s="76" t="s">
        <v>10722</v>
      </c>
      <c r="I1663" s="178"/>
      <c r="J1663" s="170"/>
      <c r="K1663" s="170"/>
      <c r="L1663" s="170"/>
      <c r="M1663" s="170" t="s">
        <v>765</v>
      </c>
      <c r="N1663" s="170" t="s">
        <v>765</v>
      </c>
      <c r="O1663" s="170" t="s">
        <v>765</v>
      </c>
      <c r="P1663" s="76"/>
      <c r="Q1663" s="70"/>
      <c r="R1663" s="92"/>
      <c r="S1663" s="76"/>
      <c r="T1663" s="76"/>
      <c r="U1663" s="76"/>
      <c r="V1663" s="70"/>
      <c r="W1663" s="92"/>
      <c r="X1663" s="70"/>
      <c r="Y1663" s="92"/>
      <c r="Z1663" s="76"/>
      <c r="AA1663" s="76"/>
      <c r="AB1663" s="76"/>
      <c r="AC1663" s="76">
        <v>15</v>
      </c>
      <c r="AD1663" s="146">
        <v>45931</v>
      </c>
      <c r="AE1663" s="166" t="s">
        <v>10723</v>
      </c>
    </row>
    <row r="1664" spans="1:31" s="218" customFormat="1" ht="27" customHeight="1" x14ac:dyDescent="0.15">
      <c r="A1664" s="76">
        <v>1116518166</v>
      </c>
      <c r="B1664" s="406" t="s">
        <v>11879</v>
      </c>
      <c r="C1664" s="434" t="s">
        <v>10724</v>
      </c>
      <c r="D1664" s="434" t="s">
        <v>8077</v>
      </c>
      <c r="E1664" s="406" t="s">
        <v>10725</v>
      </c>
      <c r="F1664" s="168" t="s">
        <v>8827</v>
      </c>
      <c r="G1664" s="76" t="s">
        <v>8828</v>
      </c>
      <c r="H1664" s="76" t="s">
        <v>8829</v>
      </c>
      <c r="I1664" s="178"/>
      <c r="J1664" s="170"/>
      <c r="K1664" s="170"/>
      <c r="L1664" s="170"/>
      <c r="M1664" s="170" t="s">
        <v>765</v>
      </c>
      <c r="N1664" s="170" t="s">
        <v>765</v>
      </c>
      <c r="O1664" s="170"/>
      <c r="P1664" s="76"/>
      <c r="Q1664" s="70"/>
      <c r="R1664" s="92"/>
      <c r="S1664" s="76"/>
      <c r="T1664" s="76"/>
      <c r="U1664" s="76"/>
      <c r="V1664" s="70"/>
      <c r="W1664" s="92"/>
      <c r="X1664" s="70"/>
      <c r="Y1664" s="92"/>
      <c r="Z1664" s="76"/>
      <c r="AA1664" s="76">
        <v>20</v>
      </c>
      <c r="AB1664" s="76"/>
      <c r="AC1664" s="76"/>
      <c r="AD1664" s="146">
        <v>45931</v>
      </c>
      <c r="AE1664" s="166" t="s">
        <v>10726</v>
      </c>
    </row>
    <row r="1665" spans="1:31" s="218" customFormat="1" ht="27" customHeight="1" x14ac:dyDescent="0.15">
      <c r="A1665" s="76">
        <v>1116518208</v>
      </c>
      <c r="B1665" s="406" t="s">
        <v>11880</v>
      </c>
      <c r="C1665" s="434" t="s">
        <v>10837</v>
      </c>
      <c r="D1665" s="434" t="s">
        <v>8077</v>
      </c>
      <c r="E1665" s="406" t="s">
        <v>10838</v>
      </c>
      <c r="F1665" s="168" t="s">
        <v>4612</v>
      </c>
      <c r="G1665" s="76" t="s">
        <v>10839</v>
      </c>
      <c r="H1665" s="76" t="s">
        <v>10840</v>
      </c>
      <c r="I1665" s="178"/>
      <c r="J1665" s="170"/>
      <c r="K1665" s="170"/>
      <c r="L1665" s="170"/>
      <c r="M1665" s="170" t="s">
        <v>765</v>
      </c>
      <c r="N1665" s="170" t="s">
        <v>765</v>
      </c>
      <c r="O1665" s="170" t="s">
        <v>765</v>
      </c>
      <c r="P1665" s="76"/>
      <c r="Q1665" s="70"/>
      <c r="R1665" s="92"/>
      <c r="S1665" s="76"/>
      <c r="T1665" s="76"/>
      <c r="U1665" s="76"/>
      <c r="V1665" s="70"/>
      <c r="W1665" s="92"/>
      <c r="X1665" s="70"/>
      <c r="Y1665" s="92"/>
      <c r="Z1665" s="76"/>
      <c r="AA1665" s="76">
        <v>20</v>
      </c>
      <c r="AB1665" s="76"/>
      <c r="AC1665" s="76"/>
      <c r="AD1665" s="146">
        <v>45962</v>
      </c>
      <c r="AE1665" s="166" t="s">
        <v>10841</v>
      </c>
    </row>
    <row r="1666" spans="1:31" s="218" customFormat="1" ht="27" customHeight="1" x14ac:dyDescent="0.15">
      <c r="A1666" s="76">
        <v>1116518265</v>
      </c>
      <c r="B1666" s="406" t="s">
        <v>11881</v>
      </c>
      <c r="C1666" s="434" t="s">
        <v>6794</v>
      </c>
      <c r="D1666" s="434" t="s">
        <v>8077</v>
      </c>
      <c r="E1666" s="406" t="s">
        <v>10842</v>
      </c>
      <c r="F1666" s="168" t="s">
        <v>4566</v>
      </c>
      <c r="G1666" s="76" t="s">
        <v>6796</v>
      </c>
      <c r="H1666" s="76" t="s">
        <v>6797</v>
      </c>
      <c r="I1666" s="178"/>
      <c r="J1666" s="170"/>
      <c r="K1666" s="170"/>
      <c r="L1666" s="170"/>
      <c r="M1666" s="170" t="s">
        <v>765</v>
      </c>
      <c r="N1666" s="170" t="s">
        <v>765</v>
      </c>
      <c r="O1666" s="170" t="s">
        <v>765</v>
      </c>
      <c r="P1666" s="76"/>
      <c r="Q1666" s="70"/>
      <c r="R1666" s="92"/>
      <c r="S1666" s="76"/>
      <c r="T1666" s="76"/>
      <c r="U1666" s="76"/>
      <c r="V1666" s="70"/>
      <c r="W1666" s="92"/>
      <c r="X1666" s="70"/>
      <c r="Y1666" s="92"/>
      <c r="Z1666" s="76"/>
      <c r="AA1666" s="76"/>
      <c r="AB1666" s="76" t="s">
        <v>765</v>
      </c>
      <c r="AC1666" s="76"/>
      <c r="AD1666" s="146">
        <v>45962</v>
      </c>
      <c r="AE1666" s="166" t="s">
        <v>10843</v>
      </c>
    </row>
    <row r="1667" spans="1:31" s="218" customFormat="1" ht="27" customHeight="1" x14ac:dyDescent="0.15">
      <c r="A1667" s="76">
        <v>1116518307</v>
      </c>
      <c r="B1667" s="406" t="s">
        <v>11882</v>
      </c>
      <c r="C1667" s="434" t="s">
        <v>10844</v>
      </c>
      <c r="D1667" s="434" t="s">
        <v>4813</v>
      </c>
      <c r="E1667" s="406" t="s">
        <v>10845</v>
      </c>
      <c r="F1667" s="168" t="s">
        <v>7181</v>
      </c>
      <c r="G1667" s="76" t="s">
        <v>10846</v>
      </c>
      <c r="H1667" s="76" t="s">
        <v>10847</v>
      </c>
      <c r="I1667" s="178"/>
      <c r="J1667" s="170"/>
      <c r="K1667" s="170"/>
      <c r="L1667" s="170"/>
      <c r="M1667" s="170"/>
      <c r="N1667" s="170" t="s">
        <v>765</v>
      </c>
      <c r="O1667" s="170" t="s">
        <v>765</v>
      </c>
      <c r="P1667" s="76"/>
      <c r="Q1667" s="70"/>
      <c r="R1667" s="92"/>
      <c r="S1667" s="76"/>
      <c r="T1667" s="76"/>
      <c r="U1667" s="76"/>
      <c r="V1667" s="70"/>
      <c r="W1667" s="92"/>
      <c r="X1667" s="70"/>
      <c r="Y1667" s="92"/>
      <c r="Z1667" s="76">
        <v>20</v>
      </c>
      <c r="AA1667" s="76"/>
      <c r="AB1667" s="76"/>
      <c r="AC1667" s="76"/>
      <c r="AD1667" s="146">
        <v>45962</v>
      </c>
      <c r="AE1667" s="166" t="s">
        <v>10848</v>
      </c>
    </row>
    <row r="1668" spans="1:31" s="218" customFormat="1" ht="27" customHeight="1" x14ac:dyDescent="0.15">
      <c r="A1668" s="76">
        <v>1116518315</v>
      </c>
      <c r="B1668" s="406" t="s">
        <v>11967</v>
      </c>
      <c r="C1668" s="434" t="s">
        <v>10849</v>
      </c>
      <c r="D1668" s="434" t="s">
        <v>4813</v>
      </c>
      <c r="E1668" s="406" t="s">
        <v>11172</v>
      </c>
      <c r="F1668" s="168" t="s">
        <v>6805</v>
      </c>
      <c r="G1668" s="76" t="s">
        <v>8841</v>
      </c>
      <c r="H1668" s="76" t="s">
        <v>8842</v>
      </c>
      <c r="I1668" s="178"/>
      <c r="J1668" s="170"/>
      <c r="K1668" s="170"/>
      <c r="L1668" s="170"/>
      <c r="M1668" s="170" t="s">
        <v>765</v>
      </c>
      <c r="N1668" s="170" t="s">
        <v>765</v>
      </c>
      <c r="O1668" s="170"/>
      <c r="P1668" s="76"/>
      <c r="Q1668" s="70"/>
      <c r="R1668" s="92"/>
      <c r="S1668" s="76"/>
      <c r="T1668" s="76"/>
      <c r="U1668" s="76"/>
      <c r="V1668" s="70"/>
      <c r="W1668" s="92"/>
      <c r="X1668" s="70"/>
      <c r="Y1668" s="92"/>
      <c r="Z1668" s="76"/>
      <c r="AA1668" s="76"/>
      <c r="AB1668" s="76"/>
      <c r="AC1668" s="76">
        <v>15</v>
      </c>
      <c r="AD1668" s="146">
        <v>45962</v>
      </c>
      <c r="AE1668" s="166" t="s">
        <v>10852</v>
      </c>
    </row>
    <row r="1669" spans="1:31" s="218" customFormat="1" ht="27" customHeight="1" x14ac:dyDescent="0.15">
      <c r="A1669" s="76">
        <v>1116518349</v>
      </c>
      <c r="B1669" s="406" t="s">
        <v>11673</v>
      </c>
      <c r="C1669" s="434" t="s">
        <v>10853</v>
      </c>
      <c r="D1669" s="434" t="s">
        <v>4813</v>
      </c>
      <c r="E1669" s="406" t="s">
        <v>9729</v>
      </c>
      <c r="F1669" s="168" t="s">
        <v>9730</v>
      </c>
      <c r="G1669" s="76" t="s">
        <v>9731</v>
      </c>
      <c r="H1669" s="76" t="s">
        <v>9732</v>
      </c>
      <c r="I1669" s="178"/>
      <c r="J1669" s="170"/>
      <c r="K1669" s="170"/>
      <c r="L1669" s="170"/>
      <c r="M1669" s="170" t="s">
        <v>765</v>
      </c>
      <c r="N1669" s="170" t="s">
        <v>765</v>
      </c>
      <c r="O1669" s="170" t="s">
        <v>765</v>
      </c>
      <c r="P1669" s="76"/>
      <c r="Q1669" s="70"/>
      <c r="R1669" s="92"/>
      <c r="S1669" s="76"/>
      <c r="T1669" s="76"/>
      <c r="U1669" s="76"/>
      <c r="V1669" s="70"/>
      <c r="W1669" s="92"/>
      <c r="X1669" s="70"/>
      <c r="Y1669" s="92"/>
      <c r="Z1669" s="76"/>
      <c r="AA1669" s="76"/>
      <c r="AB1669" s="76" t="s">
        <v>765</v>
      </c>
      <c r="AC1669" s="76"/>
      <c r="AD1669" s="146">
        <v>45962</v>
      </c>
      <c r="AE1669" s="166" t="s">
        <v>10854</v>
      </c>
    </row>
    <row r="1670" spans="1:31" s="218" customFormat="1" ht="27" customHeight="1" x14ac:dyDescent="0.15">
      <c r="A1670" s="76">
        <v>1116518372</v>
      </c>
      <c r="B1670" s="406" t="s">
        <v>11826</v>
      </c>
      <c r="C1670" s="434" t="s">
        <v>10855</v>
      </c>
      <c r="D1670" s="434" t="s">
        <v>4813</v>
      </c>
      <c r="E1670" s="406" t="s">
        <v>10856</v>
      </c>
      <c r="F1670" s="168" t="s">
        <v>4899</v>
      </c>
      <c r="G1670" s="76" t="s">
        <v>8273</v>
      </c>
      <c r="H1670" s="76" t="s">
        <v>10857</v>
      </c>
      <c r="I1670" s="178" t="s">
        <v>765</v>
      </c>
      <c r="J1670" s="170" t="s">
        <v>765</v>
      </c>
      <c r="K1670" s="170" t="s">
        <v>765</v>
      </c>
      <c r="L1670" s="170" t="s">
        <v>765</v>
      </c>
      <c r="M1670" s="170" t="s">
        <v>765</v>
      </c>
      <c r="N1670" s="170" t="s">
        <v>765</v>
      </c>
      <c r="O1670" s="170" t="s">
        <v>765</v>
      </c>
      <c r="P1670" s="76"/>
      <c r="Q1670" s="70"/>
      <c r="R1670" s="92"/>
      <c r="S1670" s="76"/>
      <c r="T1670" s="76"/>
      <c r="U1670" s="76"/>
      <c r="V1670" s="70"/>
      <c r="W1670" s="92"/>
      <c r="X1670" s="70"/>
      <c r="Y1670" s="92"/>
      <c r="Z1670" s="76"/>
      <c r="AA1670" s="76"/>
      <c r="AB1670" s="76" t="s">
        <v>765</v>
      </c>
      <c r="AC1670" s="76"/>
      <c r="AD1670" s="146">
        <v>45962</v>
      </c>
      <c r="AE1670" s="166" t="s">
        <v>10858</v>
      </c>
    </row>
    <row r="1671" spans="1:31" s="218" customFormat="1" ht="27" customHeight="1" x14ac:dyDescent="0.15">
      <c r="A1671" s="76">
        <v>1116518430</v>
      </c>
      <c r="B1671" s="406" t="s">
        <v>11883</v>
      </c>
      <c r="C1671" s="434" t="s">
        <v>10910</v>
      </c>
      <c r="D1671" s="434" t="s">
        <v>8077</v>
      </c>
      <c r="E1671" s="406" t="s">
        <v>10911</v>
      </c>
      <c r="F1671" s="168" t="s">
        <v>10913</v>
      </c>
      <c r="G1671" s="76" t="s">
        <v>10628</v>
      </c>
      <c r="H1671" s="76"/>
      <c r="I1671" s="178"/>
      <c r="J1671" s="170"/>
      <c r="K1671" s="170"/>
      <c r="L1671" s="170"/>
      <c r="M1671" s="170" t="s">
        <v>765</v>
      </c>
      <c r="N1671" s="170" t="s">
        <v>765</v>
      </c>
      <c r="O1671" s="170" t="s">
        <v>765</v>
      </c>
      <c r="P1671" s="76"/>
      <c r="Q1671" s="70"/>
      <c r="R1671" s="92"/>
      <c r="S1671" s="76"/>
      <c r="T1671" s="76"/>
      <c r="U1671" s="76"/>
      <c r="V1671" s="70"/>
      <c r="W1671" s="92"/>
      <c r="X1671" s="70"/>
      <c r="Y1671" s="92"/>
      <c r="Z1671" s="76"/>
      <c r="AA1671" s="76">
        <v>20</v>
      </c>
      <c r="AB1671" s="76"/>
      <c r="AC1671" s="76"/>
      <c r="AD1671" s="146">
        <v>45992</v>
      </c>
      <c r="AE1671" s="166" t="s">
        <v>10912</v>
      </c>
    </row>
    <row r="1672" spans="1:31" s="218" customFormat="1" ht="27" customHeight="1" x14ac:dyDescent="0.15">
      <c r="A1672" s="76">
        <v>1116518445</v>
      </c>
      <c r="B1672" s="406" t="s">
        <v>11995</v>
      </c>
      <c r="C1672" s="434" t="s">
        <v>10914</v>
      </c>
      <c r="D1672" s="434" t="s">
        <v>8077</v>
      </c>
      <c r="E1672" s="406" t="s">
        <v>10915</v>
      </c>
      <c r="F1672" s="168" t="s">
        <v>4566</v>
      </c>
      <c r="G1672" s="76" t="s">
        <v>10916</v>
      </c>
      <c r="H1672" s="76" t="s">
        <v>10917</v>
      </c>
      <c r="I1672" s="178"/>
      <c r="J1672" s="170"/>
      <c r="K1672" s="170"/>
      <c r="L1672" s="170"/>
      <c r="M1672" s="170" t="s">
        <v>765</v>
      </c>
      <c r="N1672" s="170" t="s">
        <v>765</v>
      </c>
      <c r="O1672" s="170"/>
      <c r="P1672" s="76"/>
      <c r="Q1672" s="70"/>
      <c r="R1672" s="92"/>
      <c r="S1672" s="76"/>
      <c r="T1672" s="76"/>
      <c r="U1672" s="76"/>
      <c r="V1672" s="70"/>
      <c r="W1672" s="92"/>
      <c r="X1672" s="70"/>
      <c r="Y1672" s="92"/>
      <c r="Z1672" s="76"/>
      <c r="AA1672" s="76">
        <v>20</v>
      </c>
      <c r="AB1672" s="76"/>
      <c r="AC1672" s="76"/>
      <c r="AD1672" s="146">
        <v>45992</v>
      </c>
      <c r="AE1672" s="166" t="s">
        <v>10918</v>
      </c>
    </row>
    <row r="1673" spans="1:31" s="218" customFormat="1" ht="27" customHeight="1" x14ac:dyDescent="0.15">
      <c r="A1673" s="76">
        <v>1116518448</v>
      </c>
      <c r="B1673" s="406" t="s">
        <v>11884</v>
      </c>
      <c r="C1673" s="434" t="s">
        <v>10919</v>
      </c>
      <c r="D1673" s="434" t="s">
        <v>8077</v>
      </c>
      <c r="E1673" s="406" t="s">
        <v>10920</v>
      </c>
      <c r="F1673" s="168" t="s">
        <v>5916</v>
      </c>
      <c r="G1673" s="76" t="s">
        <v>10498</v>
      </c>
      <c r="H1673" s="76" t="s">
        <v>8898</v>
      </c>
      <c r="I1673" s="178"/>
      <c r="J1673" s="170"/>
      <c r="K1673" s="170"/>
      <c r="L1673" s="170"/>
      <c r="M1673" s="170" t="s">
        <v>765</v>
      </c>
      <c r="N1673" s="170" t="s">
        <v>765</v>
      </c>
      <c r="O1673" s="170"/>
      <c r="P1673" s="76"/>
      <c r="Q1673" s="70"/>
      <c r="R1673" s="92"/>
      <c r="S1673" s="76"/>
      <c r="T1673" s="76"/>
      <c r="U1673" s="76"/>
      <c r="V1673" s="70"/>
      <c r="W1673" s="92"/>
      <c r="X1673" s="70"/>
      <c r="Y1673" s="92"/>
      <c r="Z1673" s="76"/>
      <c r="AA1673" s="76">
        <v>20</v>
      </c>
      <c r="AB1673" s="76"/>
      <c r="AC1673" s="76"/>
      <c r="AD1673" s="146">
        <v>45992</v>
      </c>
      <c r="AE1673" s="166" t="s">
        <v>10921</v>
      </c>
    </row>
    <row r="1674" spans="1:31" s="218" customFormat="1" ht="27" customHeight="1" x14ac:dyDescent="0.15">
      <c r="A1674" s="76">
        <v>1116518463</v>
      </c>
      <c r="B1674" s="406" t="s">
        <v>11885</v>
      </c>
      <c r="C1674" s="434" t="s">
        <v>10922</v>
      </c>
      <c r="D1674" s="434" t="s">
        <v>8077</v>
      </c>
      <c r="E1674" s="406" t="s">
        <v>10923</v>
      </c>
      <c r="F1674" s="168" t="s">
        <v>6828</v>
      </c>
      <c r="G1674" s="76" t="s">
        <v>10924</v>
      </c>
      <c r="H1674" s="76"/>
      <c r="I1674" s="178"/>
      <c r="J1674" s="170"/>
      <c r="K1674" s="170"/>
      <c r="L1674" s="170"/>
      <c r="M1674" s="170" t="s">
        <v>765</v>
      </c>
      <c r="N1674" s="170" t="s">
        <v>765</v>
      </c>
      <c r="O1674" s="170"/>
      <c r="P1674" s="76"/>
      <c r="Q1674" s="70"/>
      <c r="R1674" s="92"/>
      <c r="S1674" s="76"/>
      <c r="T1674" s="76"/>
      <c r="U1674" s="76"/>
      <c r="V1674" s="70"/>
      <c r="W1674" s="92"/>
      <c r="X1674" s="70"/>
      <c r="Y1674" s="92"/>
      <c r="Z1674" s="76"/>
      <c r="AA1674" s="76">
        <v>20</v>
      </c>
      <c r="AB1674" s="76"/>
      <c r="AC1674" s="76"/>
      <c r="AD1674" s="146">
        <v>45992</v>
      </c>
      <c r="AE1674" s="166" t="s">
        <v>10925</v>
      </c>
    </row>
    <row r="1675" spans="1:31" s="218" customFormat="1" ht="27" customHeight="1" x14ac:dyDescent="0.15">
      <c r="A1675" s="76">
        <v>1116518497</v>
      </c>
      <c r="B1675" s="406" t="s">
        <v>11886</v>
      </c>
      <c r="C1675" s="434" t="s">
        <v>10979</v>
      </c>
      <c r="D1675" s="434" t="s">
        <v>8077</v>
      </c>
      <c r="E1675" s="406" t="s">
        <v>10980</v>
      </c>
      <c r="F1675" s="168" t="s">
        <v>5916</v>
      </c>
      <c r="G1675" s="76" t="s">
        <v>10981</v>
      </c>
      <c r="H1675" s="76"/>
      <c r="I1675" s="178"/>
      <c r="J1675" s="170"/>
      <c r="K1675" s="170"/>
      <c r="L1675" s="170"/>
      <c r="M1675" s="170" t="s">
        <v>10982</v>
      </c>
      <c r="N1675" s="170" t="s">
        <v>10982</v>
      </c>
      <c r="O1675" s="170" t="s">
        <v>10982</v>
      </c>
      <c r="P1675" s="76"/>
      <c r="Q1675" s="70"/>
      <c r="R1675" s="92"/>
      <c r="S1675" s="76"/>
      <c r="T1675" s="76"/>
      <c r="U1675" s="76"/>
      <c r="V1675" s="70"/>
      <c r="W1675" s="92"/>
      <c r="X1675" s="70"/>
      <c r="Y1675" s="92"/>
      <c r="Z1675" s="76"/>
      <c r="AA1675" s="76">
        <v>20</v>
      </c>
      <c r="AB1675" s="76"/>
      <c r="AC1675" s="76"/>
      <c r="AD1675" s="146">
        <v>46023</v>
      </c>
      <c r="AE1675" s="166" t="s">
        <v>10983</v>
      </c>
    </row>
    <row r="1676" spans="1:31" s="218" customFormat="1" ht="27" customHeight="1" x14ac:dyDescent="0.15">
      <c r="A1676" s="76">
        <v>1116518505</v>
      </c>
      <c r="B1676" s="406" t="s">
        <v>11887</v>
      </c>
      <c r="C1676" s="434" t="s">
        <v>10984</v>
      </c>
      <c r="D1676" s="434" t="s">
        <v>8077</v>
      </c>
      <c r="E1676" s="406" t="s">
        <v>10985</v>
      </c>
      <c r="F1676" s="168" t="s">
        <v>9014</v>
      </c>
      <c r="G1676" s="76" t="s">
        <v>10986</v>
      </c>
      <c r="H1676" s="76" t="s">
        <v>10987</v>
      </c>
      <c r="I1676" s="178"/>
      <c r="J1676" s="170" t="s">
        <v>10982</v>
      </c>
      <c r="K1676" s="170" t="s">
        <v>10982</v>
      </c>
      <c r="L1676" s="170" t="s">
        <v>10982</v>
      </c>
      <c r="M1676" s="170" t="s">
        <v>10982</v>
      </c>
      <c r="N1676" s="170" t="s">
        <v>10982</v>
      </c>
      <c r="O1676" s="170" t="s">
        <v>10982</v>
      </c>
      <c r="P1676" s="76"/>
      <c r="Q1676" s="70"/>
      <c r="R1676" s="92"/>
      <c r="S1676" s="76"/>
      <c r="T1676" s="76"/>
      <c r="U1676" s="76"/>
      <c r="V1676" s="70"/>
      <c r="W1676" s="92"/>
      <c r="X1676" s="70"/>
      <c r="Y1676" s="92"/>
      <c r="Z1676" s="76"/>
      <c r="AA1676" s="76">
        <v>20</v>
      </c>
      <c r="AB1676" s="76"/>
      <c r="AC1676" s="76"/>
      <c r="AD1676" s="146">
        <v>46023</v>
      </c>
      <c r="AE1676" s="166" t="s">
        <v>10988</v>
      </c>
    </row>
    <row r="1677" spans="1:31" s="218" customFormat="1" ht="27" customHeight="1" x14ac:dyDescent="0.15">
      <c r="A1677" s="76">
        <v>1116518513</v>
      </c>
      <c r="B1677" s="406" t="s">
        <v>12028</v>
      </c>
      <c r="C1677" s="434" t="s">
        <v>10989</v>
      </c>
      <c r="D1677" s="434" t="s">
        <v>8077</v>
      </c>
      <c r="E1677" s="406" t="s">
        <v>10990</v>
      </c>
      <c r="F1677" s="168" t="s">
        <v>4425</v>
      </c>
      <c r="G1677" s="76" t="s">
        <v>10991</v>
      </c>
      <c r="H1677" s="76" t="s">
        <v>4427</v>
      </c>
      <c r="I1677" s="178"/>
      <c r="J1677" s="170"/>
      <c r="K1677" s="170"/>
      <c r="L1677" s="170"/>
      <c r="M1677" s="170" t="s">
        <v>10982</v>
      </c>
      <c r="N1677" s="170" t="s">
        <v>10982</v>
      </c>
      <c r="O1677" s="170" t="s">
        <v>10982</v>
      </c>
      <c r="P1677" s="76"/>
      <c r="Q1677" s="70"/>
      <c r="R1677" s="92"/>
      <c r="S1677" s="76"/>
      <c r="T1677" s="76"/>
      <c r="U1677" s="76"/>
      <c r="V1677" s="70"/>
      <c r="W1677" s="92"/>
      <c r="X1677" s="70"/>
      <c r="Y1677" s="92"/>
      <c r="Z1677" s="76"/>
      <c r="AA1677" s="76"/>
      <c r="AB1677" s="76"/>
      <c r="AC1677" s="76">
        <v>10</v>
      </c>
      <c r="AD1677" s="146">
        <v>46023</v>
      </c>
      <c r="AE1677" s="166" t="s">
        <v>10992</v>
      </c>
    </row>
    <row r="1678" spans="1:31" s="218" customFormat="1" ht="27" customHeight="1" x14ac:dyDescent="0.15">
      <c r="A1678" s="76">
        <v>1116518521</v>
      </c>
      <c r="B1678" s="406" t="s">
        <v>12060</v>
      </c>
      <c r="C1678" s="434" t="s">
        <v>10993</v>
      </c>
      <c r="D1678" s="434" t="s">
        <v>8077</v>
      </c>
      <c r="E1678" s="406" t="s">
        <v>10994</v>
      </c>
      <c r="F1678" s="168" t="s">
        <v>5916</v>
      </c>
      <c r="G1678" s="76" t="s">
        <v>10995</v>
      </c>
      <c r="H1678" s="76" t="s">
        <v>10996</v>
      </c>
      <c r="I1678" s="178"/>
      <c r="J1678" s="170"/>
      <c r="K1678" s="170"/>
      <c r="L1678" s="170"/>
      <c r="M1678" s="170" t="s">
        <v>10982</v>
      </c>
      <c r="N1678" s="170" t="s">
        <v>10982</v>
      </c>
      <c r="O1678" s="170"/>
      <c r="P1678" s="76"/>
      <c r="Q1678" s="70"/>
      <c r="R1678" s="92"/>
      <c r="S1678" s="76"/>
      <c r="T1678" s="76"/>
      <c r="U1678" s="76"/>
      <c r="V1678" s="70"/>
      <c r="W1678" s="92"/>
      <c r="X1678" s="70"/>
      <c r="Y1678" s="92"/>
      <c r="Z1678" s="76"/>
      <c r="AA1678" s="76">
        <v>20</v>
      </c>
      <c r="AB1678" s="76"/>
      <c r="AC1678" s="76"/>
      <c r="AD1678" s="146">
        <v>46023</v>
      </c>
      <c r="AE1678" s="166" t="s">
        <v>10997</v>
      </c>
    </row>
    <row r="1679" spans="1:31" s="218" customFormat="1" ht="27" customHeight="1" x14ac:dyDescent="0.15">
      <c r="A1679" s="76">
        <v>1116518562</v>
      </c>
      <c r="B1679" s="406" t="s">
        <v>11972</v>
      </c>
      <c r="C1679" s="434" t="s">
        <v>10998</v>
      </c>
      <c r="D1679" s="434" t="s">
        <v>8077</v>
      </c>
      <c r="E1679" s="406" t="s">
        <v>10999</v>
      </c>
      <c r="F1679" s="168" t="s">
        <v>11000</v>
      </c>
      <c r="G1679" s="76" t="s">
        <v>11001</v>
      </c>
      <c r="H1679" s="76"/>
      <c r="I1679" s="178"/>
      <c r="J1679" s="170"/>
      <c r="K1679" s="170"/>
      <c r="L1679" s="170"/>
      <c r="M1679" s="170" t="s">
        <v>10982</v>
      </c>
      <c r="N1679" s="170" t="s">
        <v>10982</v>
      </c>
      <c r="O1679" s="170" t="s">
        <v>10982</v>
      </c>
      <c r="P1679" s="76"/>
      <c r="Q1679" s="70"/>
      <c r="R1679" s="92"/>
      <c r="S1679" s="76"/>
      <c r="T1679" s="76"/>
      <c r="U1679" s="76"/>
      <c r="V1679" s="70"/>
      <c r="W1679" s="92"/>
      <c r="X1679" s="70"/>
      <c r="Y1679" s="92"/>
      <c r="Z1679" s="76"/>
      <c r="AA1679" s="76">
        <v>20</v>
      </c>
      <c r="AB1679" s="76"/>
      <c r="AC1679" s="76"/>
      <c r="AD1679" s="146">
        <v>46023</v>
      </c>
      <c r="AE1679" s="166" t="s">
        <v>11002</v>
      </c>
    </row>
    <row r="1680" spans="1:31" s="218" customFormat="1" ht="27" customHeight="1" x14ac:dyDescent="0.15">
      <c r="A1680" s="76">
        <v>1116518570</v>
      </c>
      <c r="B1680" s="406" t="s">
        <v>11888</v>
      </c>
      <c r="C1680" s="458" t="s">
        <v>11088</v>
      </c>
      <c r="D1680" s="434" t="s">
        <v>8077</v>
      </c>
      <c r="E1680" s="406" t="s">
        <v>11003</v>
      </c>
      <c r="F1680" s="168" t="s">
        <v>8089</v>
      </c>
      <c r="G1680" s="76" t="s">
        <v>4734</v>
      </c>
      <c r="H1680" s="76" t="s">
        <v>4735</v>
      </c>
      <c r="I1680" s="178"/>
      <c r="J1680" s="170"/>
      <c r="K1680" s="170"/>
      <c r="L1680" s="170"/>
      <c r="M1680" s="170" t="s">
        <v>10982</v>
      </c>
      <c r="N1680" s="170" t="s">
        <v>10982</v>
      </c>
      <c r="O1680" s="170" t="s">
        <v>10982</v>
      </c>
      <c r="P1680" s="76"/>
      <c r="Q1680" s="70"/>
      <c r="R1680" s="92"/>
      <c r="S1680" s="76"/>
      <c r="T1680" s="76"/>
      <c r="U1680" s="76"/>
      <c r="V1680" s="70"/>
      <c r="W1680" s="92"/>
      <c r="X1680" s="70"/>
      <c r="Y1680" s="92"/>
      <c r="Z1680" s="76"/>
      <c r="AA1680" s="76">
        <v>20</v>
      </c>
      <c r="AB1680" s="76"/>
      <c r="AC1680" s="76"/>
      <c r="AD1680" s="146">
        <v>46023</v>
      </c>
      <c r="AE1680" s="166" t="s">
        <v>11004</v>
      </c>
    </row>
    <row r="1681" spans="1:31" s="218" customFormat="1" ht="27" customHeight="1" x14ac:dyDescent="0.15">
      <c r="A1681" s="76">
        <v>1116518646</v>
      </c>
      <c r="B1681" s="406" t="s">
        <v>11889</v>
      </c>
      <c r="C1681" s="434" t="s">
        <v>11069</v>
      </c>
      <c r="D1681" s="434" t="s">
        <v>8077</v>
      </c>
      <c r="E1681" s="406" t="s">
        <v>11074</v>
      </c>
      <c r="F1681" s="168" t="s">
        <v>11070</v>
      </c>
      <c r="G1681" s="76" t="s">
        <v>11071</v>
      </c>
      <c r="H1681" s="76" t="s">
        <v>11072</v>
      </c>
      <c r="I1681" s="178"/>
      <c r="J1681" s="170"/>
      <c r="K1681" s="170"/>
      <c r="L1681" s="170"/>
      <c r="M1681" s="170" t="s">
        <v>10982</v>
      </c>
      <c r="N1681" s="170" t="s">
        <v>10982</v>
      </c>
      <c r="O1681" s="170"/>
      <c r="P1681" s="76"/>
      <c r="Q1681" s="70"/>
      <c r="R1681" s="92"/>
      <c r="S1681" s="76"/>
      <c r="T1681" s="76"/>
      <c r="U1681" s="76"/>
      <c r="V1681" s="70"/>
      <c r="W1681" s="92"/>
      <c r="X1681" s="70"/>
      <c r="Y1681" s="92"/>
      <c r="Z1681" s="76">
        <v>20</v>
      </c>
      <c r="AA1681" s="76"/>
      <c r="AB1681" s="76"/>
      <c r="AC1681" s="76"/>
      <c r="AD1681" s="146">
        <v>46054</v>
      </c>
      <c r="AE1681" s="166" t="s">
        <v>11073</v>
      </c>
    </row>
    <row r="1682" spans="1:31" s="218" customFormat="1" ht="27" customHeight="1" x14ac:dyDescent="0.15">
      <c r="A1682" s="76">
        <v>1116518729</v>
      </c>
      <c r="B1682" s="406" t="s">
        <v>12029</v>
      </c>
      <c r="C1682" s="434" t="s">
        <v>11075</v>
      </c>
      <c r="D1682" s="434" t="s">
        <v>8077</v>
      </c>
      <c r="E1682" s="406" t="s">
        <v>11076</v>
      </c>
      <c r="F1682" s="168" t="s">
        <v>11077</v>
      </c>
      <c r="G1682" s="76" t="s">
        <v>11078</v>
      </c>
      <c r="H1682" s="76" t="s">
        <v>11079</v>
      </c>
      <c r="I1682" s="178"/>
      <c r="J1682" s="170"/>
      <c r="K1682" s="170"/>
      <c r="L1682" s="170"/>
      <c r="M1682" s="170" t="s">
        <v>10982</v>
      </c>
      <c r="N1682" s="170" t="s">
        <v>10982</v>
      </c>
      <c r="O1682" s="170"/>
      <c r="P1682" s="76"/>
      <c r="Q1682" s="70"/>
      <c r="R1682" s="92"/>
      <c r="S1682" s="76"/>
      <c r="T1682" s="76">
        <v>20</v>
      </c>
      <c r="U1682" s="76"/>
      <c r="V1682" s="70"/>
      <c r="W1682" s="92"/>
      <c r="X1682" s="70"/>
      <c r="Y1682" s="92"/>
      <c r="Z1682" s="76"/>
      <c r="AA1682" s="76"/>
      <c r="AB1682" s="76"/>
      <c r="AC1682" s="76"/>
      <c r="AD1682" s="146">
        <v>46054</v>
      </c>
      <c r="AE1682" s="166" t="s">
        <v>11080</v>
      </c>
    </row>
    <row r="1683" spans="1:31" s="218" customFormat="1" ht="27" customHeight="1" x14ac:dyDescent="0.15">
      <c r="A1683" s="76">
        <v>1116518786</v>
      </c>
      <c r="B1683" s="406" t="s">
        <v>11890</v>
      </c>
      <c r="C1683" s="434" t="s">
        <v>11081</v>
      </c>
      <c r="D1683" s="434" t="s">
        <v>8077</v>
      </c>
      <c r="E1683" s="406" t="s">
        <v>11082</v>
      </c>
      <c r="F1683" s="168" t="s">
        <v>5912</v>
      </c>
      <c r="G1683" s="76" t="s">
        <v>11083</v>
      </c>
      <c r="H1683" s="76"/>
      <c r="I1683" s="178"/>
      <c r="J1683" s="170"/>
      <c r="K1683" s="170"/>
      <c r="L1683" s="170"/>
      <c r="M1683" s="170" t="s">
        <v>10982</v>
      </c>
      <c r="N1683" s="170" t="s">
        <v>10982</v>
      </c>
      <c r="O1683" s="170"/>
      <c r="P1683" s="76"/>
      <c r="Q1683" s="70"/>
      <c r="R1683" s="92"/>
      <c r="S1683" s="76"/>
      <c r="T1683" s="76"/>
      <c r="U1683" s="76"/>
      <c r="V1683" s="70"/>
      <c r="W1683" s="92"/>
      <c r="X1683" s="70"/>
      <c r="Y1683" s="92"/>
      <c r="Z1683" s="76">
        <v>20</v>
      </c>
      <c r="AA1683" s="76"/>
      <c r="AB1683" s="76"/>
      <c r="AC1683" s="76"/>
      <c r="AD1683" s="146">
        <v>46054</v>
      </c>
      <c r="AE1683" s="166" t="s">
        <v>11084</v>
      </c>
    </row>
    <row r="1684" spans="1:31" s="218" customFormat="1" ht="27" customHeight="1" x14ac:dyDescent="0.15">
      <c r="A1684" s="76">
        <v>1116518851</v>
      </c>
      <c r="B1684" s="406" t="s">
        <v>11973</v>
      </c>
      <c r="C1684" s="434" t="s">
        <v>11146</v>
      </c>
      <c r="D1684" s="434" t="s">
        <v>8077</v>
      </c>
      <c r="E1684" s="406" t="s">
        <v>11147</v>
      </c>
      <c r="F1684" s="168" t="s">
        <v>7790</v>
      </c>
      <c r="G1684" s="76" t="s">
        <v>10850</v>
      </c>
      <c r="H1684" s="76" t="s">
        <v>10851</v>
      </c>
      <c r="I1684" s="178"/>
      <c r="J1684" s="170"/>
      <c r="K1684" s="170"/>
      <c r="L1684" s="170"/>
      <c r="M1684" s="170" t="s">
        <v>10982</v>
      </c>
      <c r="N1684" s="170" t="s">
        <v>10982</v>
      </c>
      <c r="O1684" s="170"/>
      <c r="P1684" s="76"/>
      <c r="Q1684" s="70"/>
      <c r="R1684" s="92"/>
      <c r="S1684" s="76"/>
      <c r="T1684" s="76"/>
      <c r="U1684" s="76"/>
      <c r="V1684" s="70"/>
      <c r="W1684" s="92"/>
      <c r="X1684" s="70"/>
      <c r="Y1684" s="92"/>
      <c r="Z1684" s="76"/>
      <c r="AA1684" s="76">
        <v>20</v>
      </c>
      <c r="AB1684" s="76"/>
      <c r="AC1684" s="76"/>
      <c r="AD1684" s="146">
        <v>46082</v>
      </c>
      <c r="AE1684" s="166" t="s">
        <v>11148</v>
      </c>
    </row>
    <row r="1685" spans="1:31" s="218" customFormat="1" ht="27" customHeight="1" x14ac:dyDescent="0.15">
      <c r="A1685" s="76">
        <v>1116518877</v>
      </c>
      <c r="B1685" s="406" t="s">
        <v>11891</v>
      </c>
      <c r="C1685" s="434" t="s">
        <v>11149</v>
      </c>
      <c r="D1685" s="434" t="s">
        <v>8077</v>
      </c>
      <c r="E1685" s="406" t="s">
        <v>11150</v>
      </c>
      <c r="F1685" s="168" t="s">
        <v>11151</v>
      </c>
      <c r="G1685" s="76" t="s">
        <v>11152</v>
      </c>
      <c r="H1685" s="76" t="s">
        <v>11153</v>
      </c>
      <c r="I1685" s="178"/>
      <c r="J1685" s="170"/>
      <c r="K1685" s="170"/>
      <c r="L1685" s="170"/>
      <c r="M1685" s="170"/>
      <c r="N1685" s="170" t="s">
        <v>10982</v>
      </c>
      <c r="O1685" s="170" t="s">
        <v>10982</v>
      </c>
      <c r="P1685" s="76"/>
      <c r="Q1685" s="70"/>
      <c r="R1685" s="92"/>
      <c r="S1685" s="76"/>
      <c r="T1685" s="76"/>
      <c r="U1685" s="76"/>
      <c r="V1685" s="70"/>
      <c r="W1685" s="92"/>
      <c r="X1685" s="70">
        <v>20</v>
      </c>
      <c r="Y1685" s="92"/>
      <c r="Z1685" s="76"/>
      <c r="AA1685" s="76"/>
      <c r="AB1685" s="76"/>
      <c r="AC1685" s="76"/>
      <c r="AD1685" s="146">
        <v>46082</v>
      </c>
      <c r="AE1685" s="166" t="s">
        <v>11154</v>
      </c>
    </row>
    <row r="1686" spans="1:31" s="218" customFormat="1" ht="27" customHeight="1" x14ac:dyDescent="0.15">
      <c r="A1686" s="76">
        <v>1116518885</v>
      </c>
      <c r="B1686" s="406" t="s">
        <v>11892</v>
      </c>
      <c r="C1686" s="434" t="s">
        <v>11155</v>
      </c>
      <c r="D1686" s="434" t="s">
        <v>8077</v>
      </c>
      <c r="E1686" s="406" t="s">
        <v>11156</v>
      </c>
      <c r="F1686" s="168" t="s">
        <v>7181</v>
      </c>
      <c r="G1686" s="76" t="s">
        <v>7786</v>
      </c>
      <c r="H1686" s="76" t="s">
        <v>7787</v>
      </c>
      <c r="I1686" s="178"/>
      <c r="J1686" s="170"/>
      <c r="K1686" s="170"/>
      <c r="L1686" s="170"/>
      <c r="M1686" s="170" t="s">
        <v>10982</v>
      </c>
      <c r="N1686" s="170" t="s">
        <v>10982</v>
      </c>
      <c r="O1686" s="170" t="s">
        <v>10982</v>
      </c>
      <c r="P1686" s="76"/>
      <c r="Q1686" s="70"/>
      <c r="R1686" s="92"/>
      <c r="S1686" s="76"/>
      <c r="T1686" s="76"/>
      <c r="U1686" s="76"/>
      <c r="V1686" s="70"/>
      <c r="W1686" s="92"/>
      <c r="X1686" s="70"/>
      <c r="Y1686" s="92"/>
      <c r="Z1686" s="76"/>
      <c r="AA1686" s="76">
        <v>20</v>
      </c>
      <c r="AB1686" s="76"/>
      <c r="AC1686" s="76"/>
      <c r="AD1686" s="146">
        <v>46082</v>
      </c>
      <c r="AE1686" s="166" t="s">
        <v>11157</v>
      </c>
    </row>
    <row r="1687" spans="1:31" s="218" customFormat="1" ht="27" customHeight="1" x14ac:dyDescent="0.15">
      <c r="A1687" s="76">
        <v>1116519024</v>
      </c>
      <c r="B1687" s="406" t="s">
        <v>11267</v>
      </c>
      <c r="C1687" s="434" t="s">
        <v>11258</v>
      </c>
      <c r="D1687" s="434" t="s">
        <v>8077</v>
      </c>
      <c r="E1687" s="406" t="s">
        <v>11268</v>
      </c>
      <c r="F1687" s="168" t="s">
        <v>6992</v>
      </c>
      <c r="G1687" s="76" t="s">
        <v>11259</v>
      </c>
      <c r="H1687" s="76"/>
      <c r="I1687" s="178"/>
      <c r="J1687" s="170"/>
      <c r="K1687" s="170"/>
      <c r="L1687" s="170"/>
      <c r="M1687" s="170" t="s">
        <v>10982</v>
      </c>
      <c r="N1687" s="170" t="s">
        <v>10982</v>
      </c>
      <c r="O1687" s="170"/>
      <c r="P1687" s="76"/>
      <c r="Q1687" s="70"/>
      <c r="R1687" s="92"/>
      <c r="S1687" s="76"/>
      <c r="T1687" s="76"/>
      <c r="U1687" s="76"/>
      <c r="V1687" s="70"/>
      <c r="W1687" s="92"/>
      <c r="X1687" s="70"/>
      <c r="Y1687" s="92"/>
      <c r="Z1687" s="76"/>
      <c r="AA1687" s="76">
        <v>20</v>
      </c>
      <c r="AB1687" s="76"/>
      <c r="AC1687" s="76"/>
      <c r="AD1687" s="146">
        <v>46113</v>
      </c>
      <c r="AE1687" s="166" t="s">
        <v>11260</v>
      </c>
    </row>
    <row r="1688" spans="1:31" s="218" customFormat="1" ht="27" customHeight="1" x14ac:dyDescent="0.15">
      <c r="A1688" s="76">
        <v>1116519032</v>
      </c>
      <c r="B1688" s="406" t="s">
        <v>11757</v>
      </c>
      <c r="C1688" s="434" t="s">
        <v>11261</v>
      </c>
      <c r="D1688" s="434" t="s">
        <v>8077</v>
      </c>
      <c r="E1688" s="406" t="s">
        <v>11269</v>
      </c>
      <c r="F1688" s="168" t="s">
        <v>4722</v>
      </c>
      <c r="G1688" s="76" t="s">
        <v>11262</v>
      </c>
      <c r="H1688" s="76" t="s">
        <v>11263</v>
      </c>
      <c r="I1688" s="178"/>
      <c r="J1688" s="170"/>
      <c r="K1688" s="170"/>
      <c r="L1688" s="170"/>
      <c r="M1688" s="170" t="s">
        <v>10982</v>
      </c>
      <c r="N1688" s="170" t="s">
        <v>10982</v>
      </c>
      <c r="O1688" s="170" t="s">
        <v>10982</v>
      </c>
      <c r="P1688" s="76"/>
      <c r="Q1688" s="70"/>
      <c r="R1688" s="92"/>
      <c r="S1688" s="76"/>
      <c r="T1688" s="76"/>
      <c r="U1688" s="76"/>
      <c r="V1688" s="70"/>
      <c r="W1688" s="92"/>
      <c r="X1688" s="70"/>
      <c r="Y1688" s="92"/>
      <c r="Z1688" s="76"/>
      <c r="AA1688" s="76">
        <v>20</v>
      </c>
      <c r="AB1688" s="76"/>
      <c r="AC1688" s="76"/>
      <c r="AD1688" s="146">
        <v>46113</v>
      </c>
      <c r="AE1688" s="166" t="s">
        <v>11264</v>
      </c>
    </row>
    <row r="1689" spans="1:31" s="218" customFormat="1" ht="27" customHeight="1" x14ac:dyDescent="0.15">
      <c r="A1689" s="76">
        <v>1116519040</v>
      </c>
      <c r="B1689" s="406" t="s">
        <v>11746</v>
      </c>
      <c r="C1689" s="434" t="s">
        <v>11265</v>
      </c>
      <c r="D1689" s="434" t="s">
        <v>8077</v>
      </c>
      <c r="E1689" s="406" t="s">
        <v>11270</v>
      </c>
      <c r="F1689" s="168" t="s">
        <v>5912</v>
      </c>
      <c r="G1689" s="76" t="s">
        <v>9253</v>
      </c>
      <c r="H1689" s="76" t="s">
        <v>9254</v>
      </c>
      <c r="I1689" s="178"/>
      <c r="J1689" s="170"/>
      <c r="K1689" s="170"/>
      <c r="L1689" s="170"/>
      <c r="M1689" s="170" t="s">
        <v>10982</v>
      </c>
      <c r="N1689" s="170" t="s">
        <v>10982</v>
      </c>
      <c r="O1689" s="170" t="s">
        <v>10982</v>
      </c>
      <c r="P1689" s="76"/>
      <c r="Q1689" s="70"/>
      <c r="R1689" s="92"/>
      <c r="S1689" s="76"/>
      <c r="T1689" s="76"/>
      <c r="U1689" s="76"/>
      <c r="V1689" s="70"/>
      <c r="W1689" s="92"/>
      <c r="X1689" s="70"/>
      <c r="Y1689" s="92"/>
      <c r="Z1689" s="76"/>
      <c r="AA1689" s="76">
        <v>20</v>
      </c>
      <c r="AB1689" s="76"/>
      <c r="AC1689" s="76"/>
      <c r="AD1689" s="146">
        <v>46113</v>
      </c>
      <c r="AE1689" s="166" t="s">
        <v>11266</v>
      </c>
    </row>
    <row r="1690" spans="1:31" s="218" customFormat="1" ht="27" customHeight="1" x14ac:dyDescent="0.15">
      <c r="A1690" s="76">
        <v>1116519123</v>
      </c>
      <c r="B1690" s="406" t="s">
        <v>11895</v>
      </c>
      <c r="C1690" s="434" t="s">
        <v>11283</v>
      </c>
      <c r="D1690" s="434" t="s">
        <v>8077</v>
      </c>
      <c r="E1690" s="406" t="s">
        <v>11271</v>
      </c>
      <c r="F1690" s="168" t="s">
        <v>9243</v>
      </c>
      <c r="G1690" s="76" t="s">
        <v>11272</v>
      </c>
      <c r="H1690" s="76" t="s">
        <v>11272</v>
      </c>
      <c r="I1690" s="178"/>
      <c r="J1690" s="170"/>
      <c r="K1690" s="170"/>
      <c r="L1690" s="170"/>
      <c r="M1690" s="170" t="s">
        <v>10982</v>
      </c>
      <c r="N1690" s="170" t="s">
        <v>10982</v>
      </c>
      <c r="O1690" s="170" t="s">
        <v>10982</v>
      </c>
      <c r="P1690" s="76"/>
      <c r="Q1690" s="70"/>
      <c r="R1690" s="92"/>
      <c r="S1690" s="76"/>
      <c r="T1690" s="76"/>
      <c r="U1690" s="76"/>
      <c r="V1690" s="70"/>
      <c r="W1690" s="92"/>
      <c r="X1690" s="70"/>
      <c r="Y1690" s="92"/>
      <c r="Z1690" s="76"/>
      <c r="AA1690" s="76">
        <v>20</v>
      </c>
      <c r="AB1690" s="76"/>
      <c r="AC1690" s="76"/>
      <c r="AD1690" s="146">
        <v>46113</v>
      </c>
      <c r="AE1690" s="166" t="s">
        <v>11273</v>
      </c>
    </row>
    <row r="1691" spans="1:31" s="218" customFormat="1" ht="27" customHeight="1" x14ac:dyDescent="0.15">
      <c r="A1691" s="76">
        <v>1116519131</v>
      </c>
      <c r="B1691" s="406" t="s">
        <v>11896</v>
      </c>
      <c r="C1691" s="434" t="s">
        <v>11284</v>
      </c>
      <c r="D1691" s="434" t="s">
        <v>8077</v>
      </c>
      <c r="E1691" s="406" t="s">
        <v>11274</v>
      </c>
      <c r="F1691" s="168" t="s">
        <v>6828</v>
      </c>
      <c r="G1691" s="76" t="s">
        <v>11275</v>
      </c>
      <c r="H1691" s="76" t="s">
        <v>11276</v>
      </c>
      <c r="I1691" s="178"/>
      <c r="J1691" s="170"/>
      <c r="K1691" s="170"/>
      <c r="L1691" s="170"/>
      <c r="M1691" s="170" t="s">
        <v>10982</v>
      </c>
      <c r="N1691" s="170" t="s">
        <v>10982</v>
      </c>
      <c r="O1691" s="170"/>
      <c r="P1691" s="76"/>
      <c r="Q1691" s="70"/>
      <c r="R1691" s="92"/>
      <c r="S1691" s="76"/>
      <c r="T1691" s="76"/>
      <c r="U1691" s="76"/>
      <c r="V1691" s="70"/>
      <c r="W1691" s="92"/>
      <c r="X1691" s="70"/>
      <c r="Y1691" s="92"/>
      <c r="Z1691" s="76"/>
      <c r="AA1691" s="76">
        <v>20</v>
      </c>
      <c r="AB1691" s="76"/>
      <c r="AC1691" s="76"/>
      <c r="AD1691" s="146">
        <v>46113</v>
      </c>
      <c r="AE1691" s="166" t="s">
        <v>11277</v>
      </c>
    </row>
    <row r="1692" spans="1:31" s="218" customFormat="1" ht="27" customHeight="1" x14ac:dyDescent="0.15">
      <c r="A1692" s="76">
        <v>1116519149</v>
      </c>
      <c r="B1692" s="406" t="s">
        <v>11897</v>
      </c>
      <c r="C1692" s="434" t="s">
        <v>11294</v>
      </c>
      <c r="D1692" s="434" t="s">
        <v>8077</v>
      </c>
      <c r="E1692" s="406" t="s">
        <v>11289</v>
      </c>
      <c r="F1692" s="168" t="s">
        <v>11290</v>
      </c>
      <c r="G1692" s="76" t="s">
        <v>11291</v>
      </c>
      <c r="H1692" s="76" t="s">
        <v>11292</v>
      </c>
      <c r="I1692" s="178"/>
      <c r="J1692" s="170"/>
      <c r="K1692" s="170"/>
      <c r="L1692" s="170"/>
      <c r="M1692" s="170" t="s">
        <v>10982</v>
      </c>
      <c r="N1692" s="170" t="s">
        <v>10982</v>
      </c>
      <c r="O1692" s="170"/>
      <c r="P1692" s="76"/>
      <c r="Q1692" s="70"/>
      <c r="R1692" s="92"/>
      <c r="S1692" s="76"/>
      <c r="T1692" s="76"/>
      <c r="U1692" s="76"/>
      <c r="V1692" s="70">
        <v>12</v>
      </c>
      <c r="W1692" s="92"/>
      <c r="X1692" s="70">
        <v>2</v>
      </c>
      <c r="Y1692" s="92"/>
      <c r="Z1692" s="76"/>
      <c r="AA1692" s="76"/>
      <c r="AB1692" s="76"/>
      <c r="AC1692" s="76"/>
      <c r="AD1692" s="146">
        <v>46113</v>
      </c>
      <c r="AE1692" s="166" t="s">
        <v>11293</v>
      </c>
    </row>
    <row r="1693" spans="1:31" s="218" customFormat="1" ht="27" customHeight="1" x14ac:dyDescent="0.15">
      <c r="A1693" s="76">
        <v>1116519156</v>
      </c>
      <c r="B1693" s="406" t="s">
        <v>12030</v>
      </c>
      <c r="C1693" s="434" t="s">
        <v>11285</v>
      </c>
      <c r="D1693" s="434" t="s">
        <v>8077</v>
      </c>
      <c r="E1693" s="406" t="s">
        <v>11286</v>
      </c>
      <c r="F1693" s="168" t="s">
        <v>4387</v>
      </c>
      <c r="G1693" s="76" t="s">
        <v>4388</v>
      </c>
      <c r="H1693" s="76" t="s">
        <v>5994</v>
      </c>
      <c r="I1693" s="178" t="s">
        <v>10982</v>
      </c>
      <c r="J1693" s="170"/>
      <c r="K1693" s="170"/>
      <c r="L1693" s="170"/>
      <c r="M1693" s="170" t="s">
        <v>10982</v>
      </c>
      <c r="N1693" s="170"/>
      <c r="O1693" s="170"/>
      <c r="P1693" s="76"/>
      <c r="Q1693" s="70"/>
      <c r="R1693" s="92"/>
      <c r="S1693" s="76"/>
      <c r="T1693" s="76">
        <v>40</v>
      </c>
      <c r="U1693" s="76"/>
      <c r="V1693" s="70"/>
      <c r="W1693" s="92"/>
      <c r="X1693" s="70"/>
      <c r="Y1693" s="92"/>
      <c r="Z1693" s="76"/>
      <c r="AA1693" s="76"/>
      <c r="AB1693" s="76"/>
      <c r="AC1693" s="76"/>
      <c r="AD1693" s="146">
        <v>46113</v>
      </c>
      <c r="AE1693" s="166" t="s">
        <v>11278</v>
      </c>
    </row>
    <row r="1694" spans="1:31" s="218" customFormat="1" ht="27" customHeight="1" x14ac:dyDescent="0.15">
      <c r="A1694" s="76">
        <v>1116519180</v>
      </c>
      <c r="B1694" s="406" t="s">
        <v>11898</v>
      </c>
      <c r="C1694" s="434" t="s">
        <v>11287</v>
      </c>
      <c r="D1694" s="434" t="s">
        <v>8077</v>
      </c>
      <c r="E1694" s="406" t="s">
        <v>12107</v>
      </c>
      <c r="F1694" s="168" t="s">
        <v>7030</v>
      </c>
      <c r="G1694" s="76" t="s">
        <v>11279</v>
      </c>
      <c r="H1694" s="76"/>
      <c r="I1694" s="178"/>
      <c r="J1694" s="170"/>
      <c r="K1694" s="170"/>
      <c r="L1694" s="170"/>
      <c r="M1694" s="170" t="s">
        <v>10982</v>
      </c>
      <c r="N1694" s="170" t="s">
        <v>10982</v>
      </c>
      <c r="O1694" s="170"/>
      <c r="P1694" s="76"/>
      <c r="Q1694" s="70"/>
      <c r="R1694" s="92"/>
      <c r="S1694" s="76"/>
      <c r="T1694" s="76"/>
      <c r="U1694" s="76"/>
      <c r="V1694" s="70"/>
      <c r="W1694" s="92"/>
      <c r="X1694" s="70"/>
      <c r="Y1694" s="92"/>
      <c r="Z1694" s="76"/>
      <c r="AA1694" s="76">
        <v>20</v>
      </c>
      <c r="AB1694" s="76"/>
      <c r="AC1694" s="76"/>
      <c r="AD1694" s="146">
        <v>46113</v>
      </c>
      <c r="AE1694" s="166" t="s">
        <v>11280</v>
      </c>
    </row>
    <row r="1695" spans="1:31" s="218" customFormat="1" ht="27" customHeight="1" x14ac:dyDescent="0.15">
      <c r="A1695" s="76">
        <v>1116519198</v>
      </c>
      <c r="B1695" s="406" t="s">
        <v>11899</v>
      </c>
      <c r="C1695" s="434" t="s">
        <v>11288</v>
      </c>
      <c r="D1695" s="434" t="s">
        <v>8077</v>
      </c>
      <c r="E1695" s="406" t="s">
        <v>12108</v>
      </c>
      <c r="F1695" s="168" t="s">
        <v>4607</v>
      </c>
      <c r="G1695" s="76" t="s">
        <v>11281</v>
      </c>
      <c r="H1695" s="76"/>
      <c r="I1695" s="178"/>
      <c r="J1695" s="170"/>
      <c r="K1695" s="170"/>
      <c r="L1695" s="170"/>
      <c r="M1695" s="170" t="s">
        <v>10982</v>
      </c>
      <c r="N1695" s="170" t="s">
        <v>10982</v>
      </c>
      <c r="O1695" s="170"/>
      <c r="P1695" s="76"/>
      <c r="Q1695" s="70"/>
      <c r="R1695" s="92"/>
      <c r="S1695" s="76"/>
      <c r="T1695" s="76"/>
      <c r="U1695" s="76"/>
      <c r="V1695" s="70"/>
      <c r="W1695" s="92"/>
      <c r="X1695" s="70"/>
      <c r="Y1695" s="92"/>
      <c r="Z1695" s="76"/>
      <c r="AA1695" s="76">
        <v>20</v>
      </c>
      <c r="AB1695" s="76"/>
      <c r="AC1695" s="76"/>
      <c r="AD1695" s="146">
        <v>46113</v>
      </c>
      <c r="AE1695" s="166" t="s">
        <v>11282</v>
      </c>
    </row>
    <row r="1696" spans="1:31" s="218" customFormat="1" ht="27" customHeight="1" x14ac:dyDescent="0.15">
      <c r="A1696" s="76">
        <v>1116519297</v>
      </c>
      <c r="B1696" s="406" t="s">
        <v>11897</v>
      </c>
      <c r="C1696" s="434" t="s">
        <v>11539</v>
      </c>
      <c r="D1696" s="434" t="s">
        <v>105</v>
      </c>
      <c r="E1696" s="406" t="s">
        <v>11289</v>
      </c>
      <c r="F1696" s="168" t="s">
        <v>11290</v>
      </c>
      <c r="G1696" s="76" t="s">
        <v>11291</v>
      </c>
      <c r="H1696" s="76" t="s">
        <v>11292</v>
      </c>
      <c r="I1696" s="178"/>
      <c r="J1696" s="170"/>
      <c r="K1696" s="170"/>
      <c r="L1696" s="170"/>
      <c r="M1696" s="170" t="s">
        <v>10982</v>
      </c>
      <c r="N1696" s="170" t="s">
        <v>10982</v>
      </c>
      <c r="O1696" s="170"/>
      <c r="P1696" s="76"/>
      <c r="Q1696" s="70"/>
      <c r="R1696" s="92"/>
      <c r="S1696" s="76"/>
      <c r="T1696" s="76"/>
      <c r="U1696" s="76"/>
      <c r="V1696" s="70">
        <v>12</v>
      </c>
      <c r="W1696" s="92"/>
      <c r="X1696" s="70">
        <v>8</v>
      </c>
      <c r="Y1696" s="92"/>
      <c r="Z1696" s="76"/>
      <c r="AA1696" s="76"/>
      <c r="AB1696" s="76"/>
      <c r="AC1696" s="76"/>
      <c r="AD1696" s="146">
        <v>46143</v>
      </c>
      <c r="AE1696" s="166" t="s">
        <v>11538</v>
      </c>
    </row>
    <row r="1697" spans="1:31" s="218" customFormat="1" ht="27" customHeight="1" x14ac:dyDescent="0.15">
      <c r="A1697" s="76">
        <v>1116519305</v>
      </c>
      <c r="B1697" s="406" t="s">
        <v>11901</v>
      </c>
      <c r="C1697" s="434" t="s">
        <v>11542</v>
      </c>
      <c r="D1697" s="434" t="s">
        <v>105</v>
      </c>
      <c r="E1697" s="406" t="s">
        <v>11543</v>
      </c>
      <c r="F1697" s="168" t="s">
        <v>11540</v>
      </c>
      <c r="G1697" s="76" t="s">
        <v>10205</v>
      </c>
      <c r="H1697" s="76" t="s">
        <v>10206</v>
      </c>
      <c r="I1697" s="178"/>
      <c r="J1697" s="170"/>
      <c r="K1697" s="170"/>
      <c r="L1697" s="170"/>
      <c r="M1697" s="170" t="s">
        <v>10982</v>
      </c>
      <c r="N1697" s="170" t="s">
        <v>10982</v>
      </c>
      <c r="O1697" s="170" t="s">
        <v>10982</v>
      </c>
      <c r="P1697" s="76"/>
      <c r="Q1697" s="70"/>
      <c r="R1697" s="92"/>
      <c r="S1697" s="76"/>
      <c r="T1697" s="76"/>
      <c r="U1697" s="76"/>
      <c r="V1697" s="70"/>
      <c r="W1697" s="92"/>
      <c r="X1697" s="70"/>
      <c r="Y1697" s="92"/>
      <c r="Z1697" s="76"/>
      <c r="AA1697" s="76">
        <v>20</v>
      </c>
      <c r="AB1697" s="76"/>
      <c r="AC1697" s="76"/>
      <c r="AD1697" s="146">
        <v>46143</v>
      </c>
      <c r="AE1697" s="166" t="s">
        <v>11541</v>
      </c>
    </row>
    <row r="1698" spans="1:31" s="218" customFormat="1" ht="27" customHeight="1" x14ac:dyDescent="0.15">
      <c r="A1698" s="76">
        <v>1116519362</v>
      </c>
      <c r="B1698" s="406" t="s">
        <v>12061</v>
      </c>
      <c r="C1698" s="434" t="s">
        <v>11583</v>
      </c>
      <c r="D1698" s="434" t="s">
        <v>105</v>
      </c>
      <c r="E1698" s="406" t="s">
        <v>11584</v>
      </c>
      <c r="F1698" s="168" t="s">
        <v>11554</v>
      </c>
      <c r="G1698" s="76" t="s">
        <v>11555</v>
      </c>
      <c r="H1698" s="76" t="s">
        <v>11556</v>
      </c>
      <c r="I1698" s="178"/>
      <c r="J1698" s="170"/>
      <c r="K1698" s="170"/>
      <c r="L1698" s="170"/>
      <c r="M1698" s="170" t="s">
        <v>10982</v>
      </c>
      <c r="N1698" s="170" t="s">
        <v>10982</v>
      </c>
      <c r="O1698" s="170" t="s">
        <v>10982</v>
      </c>
      <c r="P1698" s="76"/>
      <c r="Q1698" s="70"/>
      <c r="R1698" s="92"/>
      <c r="S1698" s="76"/>
      <c r="T1698" s="76"/>
      <c r="U1698" s="76"/>
      <c r="V1698" s="70"/>
      <c r="W1698" s="92"/>
      <c r="X1698" s="70"/>
      <c r="Y1698" s="92"/>
      <c r="Z1698" s="76"/>
      <c r="AA1698" s="76">
        <v>20</v>
      </c>
      <c r="AB1698" s="76"/>
      <c r="AC1698" s="76"/>
      <c r="AD1698" s="146">
        <v>46143</v>
      </c>
      <c r="AE1698" s="166" t="s">
        <v>11557</v>
      </c>
    </row>
    <row r="1699" spans="1:31" s="218" customFormat="1" ht="27" customHeight="1" x14ac:dyDescent="0.15">
      <c r="A1699" s="76">
        <v>1116519370</v>
      </c>
      <c r="B1699" s="406" t="s">
        <v>11902</v>
      </c>
      <c r="C1699" s="434" t="s">
        <v>11585</v>
      </c>
      <c r="D1699" s="434" t="s">
        <v>105</v>
      </c>
      <c r="E1699" s="406" t="s">
        <v>11558</v>
      </c>
      <c r="F1699" s="168" t="s">
        <v>11559</v>
      </c>
      <c r="G1699" s="76" t="s">
        <v>11560</v>
      </c>
      <c r="H1699" s="76"/>
      <c r="I1699" s="178"/>
      <c r="J1699" s="170"/>
      <c r="K1699" s="170"/>
      <c r="L1699" s="170"/>
      <c r="M1699" s="170" t="s">
        <v>10982</v>
      </c>
      <c r="N1699" s="170" t="s">
        <v>10982</v>
      </c>
      <c r="O1699" s="170"/>
      <c r="P1699" s="76"/>
      <c r="Q1699" s="70"/>
      <c r="R1699" s="92"/>
      <c r="S1699" s="76"/>
      <c r="T1699" s="76"/>
      <c r="U1699" s="76"/>
      <c r="V1699" s="70"/>
      <c r="W1699" s="92"/>
      <c r="X1699" s="70"/>
      <c r="Y1699" s="92"/>
      <c r="Z1699" s="76">
        <v>15</v>
      </c>
      <c r="AA1699" s="76"/>
      <c r="AB1699" s="76"/>
      <c r="AC1699" s="76"/>
      <c r="AD1699" s="146">
        <v>46143</v>
      </c>
      <c r="AE1699" s="166" t="s">
        <v>11561</v>
      </c>
    </row>
    <row r="1700" spans="1:31" s="218" customFormat="1" ht="27" customHeight="1" x14ac:dyDescent="0.15">
      <c r="A1700" s="76">
        <v>1116519420</v>
      </c>
      <c r="B1700" s="406" t="s">
        <v>12031</v>
      </c>
      <c r="C1700" s="434" t="s">
        <v>11586</v>
      </c>
      <c r="D1700" s="434" t="s">
        <v>8077</v>
      </c>
      <c r="E1700" s="406" t="s">
        <v>12075</v>
      </c>
      <c r="F1700" s="168" t="s">
        <v>7276</v>
      </c>
      <c r="G1700" s="76" t="s">
        <v>11566</v>
      </c>
      <c r="H1700" s="76" t="s">
        <v>11567</v>
      </c>
      <c r="I1700" s="178"/>
      <c r="J1700" s="170"/>
      <c r="K1700" s="170"/>
      <c r="L1700" s="170"/>
      <c r="M1700" s="170" t="s">
        <v>10982</v>
      </c>
      <c r="N1700" s="170" t="s">
        <v>10982</v>
      </c>
      <c r="O1700" s="170"/>
      <c r="P1700" s="76"/>
      <c r="Q1700" s="70"/>
      <c r="R1700" s="92"/>
      <c r="S1700" s="76"/>
      <c r="T1700" s="76">
        <v>10</v>
      </c>
      <c r="U1700" s="76"/>
      <c r="V1700" s="70"/>
      <c r="W1700" s="92"/>
      <c r="X1700" s="70"/>
      <c r="Y1700" s="92"/>
      <c r="Z1700" s="76"/>
      <c r="AA1700" s="76"/>
      <c r="AB1700" s="76"/>
      <c r="AC1700" s="76"/>
      <c r="AD1700" s="146">
        <v>46143</v>
      </c>
      <c r="AE1700" s="166" t="s">
        <v>11568</v>
      </c>
    </row>
    <row r="1701" spans="1:31" s="218" customFormat="1" ht="27" customHeight="1" x14ac:dyDescent="0.15">
      <c r="A1701" s="76">
        <v>1116519495</v>
      </c>
      <c r="B1701" s="406" t="s">
        <v>11903</v>
      </c>
      <c r="C1701" s="434" t="s">
        <v>11590</v>
      </c>
      <c r="D1701" s="434" t="s">
        <v>8077</v>
      </c>
      <c r="E1701" s="406" t="s">
        <v>11591</v>
      </c>
      <c r="F1701" s="168" t="s">
        <v>11572</v>
      </c>
      <c r="G1701" s="76" t="s">
        <v>11573</v>
      </c>
      <c r="H1701" s="76" t="s">
        <v>11574</v>
      </c>
      <c r="I1701" s="178"/>
      <c r="J1701" s="170"/>
      <c r="K1701" s="170"/>
      <c r="L1701" s="170"/>
      <c r="M1701" s="170"/>
      <c r="N1701" s="170" t="s">
        <v>10982</v>
      </c>
      <c r="O1701" s="170"/>
      <c r="P1701" s="76"/>
      <c r="Q1701" s="70"/>
      <c r="R1701" s="92"/>
      <c r="S1701" s="76"/>
      <c r="T1701" s="76"/>
      <c r="U1701" s="76"/>
      <c r="V1701" s="70"/>
      <c r="W1701" s="92"/>
      <c r="X1701" s="70"/>
      <c r="Y1701" s="92"/>
      <c r="Z1701" s="76"/>
      <c r="AA1701" s="76">
        <v>20</v>
      </c>
      <c r="AB1701" s="76"/>
      <c r="AC1701" s="76"/>
      <c r="AD1701" s="146">
        <v>46143</v>
      </c>
      <c r="AE1701" s="166" t="s">
        <v>11575</v>
      </c>
    </row>
    <row r="1702" spans="1:31" s="218" customFormat="1" ht="27" customHeight="1" x14ac:dyDescent="0.15">
      <c r="A1702" s="76">
        <v>1116519503</v>
      </c>
      <c r="B1702" s="406" t="s">
        <v>379</v>
      </c>
      <c r="C1702" s="434" t="s">
        <v>11592</v>
      </c>
      <c r="D1702" s="434" t="s">
        <v>8077</v>
      </c>
      <c r="E1702" s="406" t="s">
        <v>11593</v>
      </c>
      <c r="F1702" s="168" t="s">
        <v>11576</v>
      </c>
      <c r="G1702" s="76" t="s">
        <v>380</v>
      </c>
      <c r="H1702" s="76" t="s">
        <v>2635</v>
      </c>
      <c r="I1702" s="178"/>
      <c r="J1702" s="170"/>
      <c r="K1702" s="170"/>
      <c r="L1702" s="170"/>
      <c r="M1702" s="170" t="s">
        <v>10982</v>
      </c>
      <c r="N1702" s="170" t="s">
        <v>10982</v>
      </c>
      <c r="O1702" s="170" t="s">
        <v>10982</v>
      </c>
      <c r="P1702" s="76"/>
      <c r="Q1702" s="70"/>
      <c r="R1702" s="92"/>
      <c r="S1702" s="76"/>
      <c r="T1702" s="76"/>
      <c r="U1702" s="76"/>
      <c r="V1702" s="70"/>
      <c r="W1702" s="92"/>
      <c r="X1702" s="70"/>
      <c r="Y1702" s="92"/>
      <c r="Z1702" s="76"/>
      <c r="AA1702" s="76">
        <v>20</v>
      </c>
      <c r="AB1702" s="76"/>
      <c r="AC1702" s="76"/>
      <c r="AD1702" s="146">
        <v>46143</v>
      </c>
      <c r="AE1702" s="166" t="s">
        <v>11577</v>
      </c>
    </row>
    <row r="1703" spans="1:31" s="218" customFormat="1" ht="27" customHeight="1" x14ac:dyDescent="0.15">
      <c r="A1703" s="76">
        <v>1116519511</v>
      </c>
      <c r="B1703" s="406" t="s">
        <v>11973</v>
      </c>
      <c r="C1703" s="434" t="s">
        <v>11594</v>
      </c>
      <c r="D1703" s="434" t="s">
        <v>8077</v>
      </c>
      <c r="E1703" s="406" t="s">
        <v>11595</v>
      </c>
      <c r="F1703" s="168" t="s">
        <v>8164</v>
      </c>
      <c r="G1703" s="76" t="s">
        <v>11578</v>
      </c>
      <c r="H1703" s="76"/>
      <c r="I1703" s="178"/>
      <c r="J1703" s="170"/>
      <c r="K1703" s="170"/>
      <c r="L1703" s="170"/>
      <c r="M1703" s="170" t="s">
        <v>10982</v>
      </c>
      <c r="N1703" s="170" t="s">
        <v>10982</v>
      </c>
      <c r="O1703" s="170"/>
      <c r="P1703" s="76"/>
      <c r="Q1703" s="70"/>
      <c r="R1703" s="92"/>
      <c r="S1703" s="76"/>
      <c r="T1703" s="76"/>
      <c r="U1703" s="76"/>
      <c r="V1703" s="70"/>
      <c r="W1703" s="92"/>
      <c r="X1703" s="70"/>
      <c r="Y1703" s="92"/>
      <c r="Z1703" s="76"/>
      <c r="AA1703" s="76">
        <v>20</v>
      </c>
      <c r="AB1703" s="76"/>
      <c r="AC1703" s="76"/>
      <c r="AD1703" s="146">
        <v>46143</v>
      </c>
      <c r="AE1703" s="166" t="s">
        <v>11579</v>
      </c>
    </row>
    <row r="1704" spans="1:31" s="218" customFormat="1" ht="27" customHeight="1" x14ac:dyDescent="0.15">
      <c r="A1704" s="76">
        <v>1116519529</v>
      </c>
      <c r="B1704" s="406" t="s">
        <v>11858</v>
      </c>
      <c r="C1704" s="434" t="s">
        <v>11596</v>
      </c>
      <c r="D1704" s="434" t="s">
        <v>8077</v>
      </c>
      <c r="E1704" s="406" t="s">
        <v>11597</v>
      </c>
      <c r="F1704" s="168" t="s">
        <v>5912</v>
      </c>
      <c r="G1704" s="76" t="s">
        <v>10498</v>
      </c>
      <c r="H1704" s="76"/>
      <c r="I1704" s="178"/>
      <c r="J1704" s="170"/>
      <c r="K1704" s="170"/>
      <c r="L1704" s="170"/>
      <c r="M1704" s="170" t="s">
        <v>10982</v>
      </c>
      <c r="N1704" s="170" t="s">
        <v>10982</v>
      </c>
      <c r="O1704" s="170"/>
      <c r="P1704" s="76"/>
      <c r="Q1704" s="70"/>
      <c r="R1704" s="92"/>
      <c r="S1704" s="76"/>
      <c r="T1704" s="76"/>
      <c r="U1704" s="76"/>
      <c r="V1704" s="70"/>
      <c r="W1704" s="92"/>
      <c r="X1704" s="70"/>
      <c r="Y1704" s="92"/>
      <c r="Z1704" s="76"/>
      <c r="AA1704" s="76">
        <v>20</v>
      </c>
      <c r="AB1704" s="76"/>
      <c r="AC1704" s="76"/>
      <c r="AD1704" s="146">
        <v>46143</v>
      </c>
      <c r="AE1704" s="166" t="s">
        <v>11084</v>
      </c>
    </row>
    <row r="1705" spans="1:31" s="218" customFormat="1" ht="27" customHeight="1" x14ac:dyDescent="0.15">
      <c r="A1705" s="76">
        <v>1116519537</v>
      </c>
      <c r="B1705" s="406" t="s">
        <v>11858</v>
      </c>
      <c r="C1705" s="434" t="s">
        <v>11598</v>
      </c>
      <c r="D1705" s="434" t="s">
        <v>8077</v>
      </c>
      <c r="E1705" s="406" t="s">
        <v>11599</v>
      </c>
      <c r="F1705" s="168" t="s">
        <v>5912</v>
      </c>
      <c r="G1705" s="76" t="s">
        <v>10498</v>
      </c>
      <c r="H1705" s="76"/>
      <c r="I1705" s="178"/>
      <c r="J1705" s="170"/>
      <c r="K1705" s="170"/>
      <c r="L1705" s="170"/>
      <c r="M1705" s="170" t="s">
        <v>10982</v>
      </c>
      <c r="N1705" s="170" t="s">
        <v>10982</v>
      </c>
      <c r="O1705" s="170"/>
      <c r="P1705" s="76"/>
      <c r="Q1705" s="70"/>
      <c r="R1705" s="92"/>
      <c r="S1705" s="76"/>
      <c r="T1705" s="76"/>
      <c r="U1705" s="76"/>
      <c r="V1705" s="70"/>
      <c r="W1705" s="92"/>
      <c r="X1705" s="70"/>
      <c r="Y1705" s="92"/>
      <c r="Z1705" s="76"/>
      <c r="AA1705" s="76">
        <v>20</v>
      </c>
      <c r="AB1705" s="76"/>
      <c r="AC1705" s="76"/>
      <c r="AD1705" s="146">
        <v>46143</v>
      </c>
      <c r="AE1705" s="166" t="s">
        <v>11580</v>
      </c>
    </row>
    <row r="1706" spans="1:31" s="218" customFormat="1" ht="27" customHeight="1" x14ac:dyDescent="0.15">
      <c r="A1706" s="76">
        <v>1116519545</v>
      </c>
      <c r="B1706" s="406" t="s">
        <v>11858</v>
      </c>
      <c r="C1706" s="434" t="s">
        <v>11600</v>
      </c>
      <c r="D1706" s="434" t="s">
        <v>8077</v>
      </c>
      <c r="E1706" s="406" t="s">
        <v>11601</v>
      </c>
      <c r="F1706" s="168" t="s">
        <v>4467</v>
      </c>
      <c r="G1706" s="76" t="s">
        <v>10498</v>
      </c>
      <c r="H1706" s="76"/>
      <c r="I1706" s="178"/>
      <c r="J1706" s="170"/>
      <c r="K1706" s="170"/>
      <c r="L1706" s="170"/>
      <c r="M1706" s="170" t="s">
        <v>10982</v>
      </c>
      <c r="N1706" s="170" t="s">
        <v>10982</v>
      </c>
      <c r="O1706" s="170"/>
      <c r="P1706" s="76"/>
      <c r="Q1706" s="70"/>
      <c r="R1706" s="92"/>
      <c r="S1706" s="76"/>
      <c r="T1706" s="76"/>
      <c r="U1706" s="76"/>
      <c r="V1706" s="70"/>
      <c r="W1706" s="92"/>
      <c r="X1706" s="70"/>
      <c r="Y1706" s="92"/>
      <c r="Z1706" s="76"/>
      <c r="AA1706" s="76">
        <v>20</v>
      </c>
      <c r="AB1706" s="76"/>
      <c r="AC1706" s="76"/>
      <c r="AD1706" s="146">
        <v>46143</v>
      </c>
      <c r="AE1706" s="166" t="s">
        <v>11581</v>
      </c>
    </row>
    <row r="1707" spans="1:31" s="218" customFormat="1" ht="27" customHeight="1" x14ac:dyDescent="0.15">
      <c r="A1707" s="76">
        <v>1116519552</v>
      </c>
      <c r="B1707" s="406" t="s">
        <v>11858</v>
      </c>
      <c r="C1707" s="434" t="s">
        <v>11602</v>
      </c>
      <c r="D1707" s="434" t="s">
        <v>8077</v>
      </c>
      <c r="E1707" s="406" t="s">
        <v>11603</v>
      </c>
      <c r="F1707" s="168" t="s">
        <v>4611</v>
      </c>
      <c r="G1707" s="76" t="s">
        <v>10498</v>
      </c>
      <c r="H1707" s="76"/>
      <c r="I1707" s="178"/>
      <c r="J1707" s="170"/>
      <c r="K1707" s="170"/>
      <c r="L1707" s="170"/>
      <c r="M1707" s="170" t="s">
        <v>10982</v>
      </c>
      <c r="N1707" s="170" t="s">
        <v>10982</v>
      </c>
      <c r="O1707" s="170"/>
      <c r="P1707" s="76"/>
      <c r="Q1707" s="70"/>
      <c r="R1707" s="92"/>
      <c r="S1707" s="76"/>
      <c r="T1707" s="76"/>
      <c r="U1707" s="76"/>
      <c r="V1707" s="70"/>
      <c r="W1707" s="92"/>
      <c r="X1707" s="70"/>
      <c r="Y1707" s="92"/>
      <c r="Z1707" s="76"/>
      <c r="AA1707" s="76">
        <v>20</v>
      </c>
      <c r="AB1707" s="76"/>
      <c r="AC1707" s="76"/>
      <c r="AD1707" s="146">
        <v>46143</v>
      </c>
      <c r="AE1707" s="166" t="s">
        <v>11582</v>
      </c>
    </row>
    <row r="1708" spans="1:31" s="218" customFormat="1" ht="27" customHeight="1" x14ac:dyDescent="0.15">
      <c r="A1708" s="76">
        <v>1116519693</v>
      </c>
      <c r="B1708" s="406" t="s">
        <v>12093</v>
      </c>
      <c r="C1708" s="434" t="s">
        <v>12094</v>
      </c>
      <c r="D1708" s="434" t="s">
        <v>8077</v>
      </c>
      <c r="E1708" s="406" t="s">
        <v>12095</v>
      </c>
      <c r="F1708" s="168" t="s">
        <v>5602</v>
      </c>
      <c r="G1708" s="76" t="s">
        <v>12076</v>
      </c>
      <c r="H1708" s="76" t="s">
        <v>12077</v>
      </c>
      <c r="I1708" s="178"/>
      <c r="J1708" s="170"/>
      <c r="K1708" s="170"/>
      <c r="L1708" s="170"/>
      <c r="M1708" s="170" t="s">
        <v>10982</v>
      </c>
      <c r="N1708" s="170" t="s">
        <v>10982</v>
      </c>
      <c r="O1708" s="170"/>
      <c r="P1708" s="76"/>
      <c r="Q1708" s="70"/>
      <c r="R1708" s="92"/>
      <c r="S1708" s="76"/>
      <c r="T1708" s="76"/>
      <c r="U1708" s="76"/>
      <c r="V1708" s="70"/>
      <c r="W1708" s="92"/>
      <c r="X1708" s="70"/>
      <c r="Y1708" s="92"/>
      <c r="Z1708" s="76"/>
      <c r="AA1708" s="76">
        <v>20</v>
      </c>
      <c r="AB1708" s="76"/>
      <c r="AC1708" s="76"/>
      <c r="AD1708" s="146">
        <v>46174</v>
      </c>
      <c r="AE1708" s="166" t="s">
        <v>12078</v>
      </c>
    </row>
    <row r="1709" spans="1:31" s="218" customFormat="1" ht="27" customHeight="1" x14ac:dyDescent="0.15">
      <c r="A1709" s="76">
        <v>1116519701</v>
      </c>
      <c r="B1709" s="406" t="s">
        <v>12096</v>
      </c>
      <c r="C1709" s="434" t="s">
        <v>12097</v>
      </c>
      <c r="D1709" s="434" t="s">
        <v>8077</v>
      </c>
      <c r="E1709" s="406" t="s">
        <v>12098</v>
      </c>
      <c r="F1709" s="168" t="s">
        <v>12079</v>
      </c>
      <c r="G1709" s="76" t="s">
        <v>12080</v>
      </c>
      <c r="H1709" s="76" t="s">
        <v>12081</v>
      </c>
      <c r="I1709" s="178"/>
      <c r="J1709" s="170"/>
      <c r="K1709" s="170"/>
      <c r="L1709" s="170"/>
      <c r="M1709" s="170" t="s">
        <v>10982</v>
      </c>
      <c r="N1709" s="170"/>
      <c r="O1709" s="170"/>
      <c r="P1709" s="76"/>
      <c r="Q1709" s="70"/>
      <c r="R1709" s="92"/>
      <c r="S1709" s="76"/>
      <c r="T1709" s="76"/>
      <c r="U1709" s="76"/>
      <c r="V1709" s="70"/>
      <c r="W1709" s="92"/>
      <c r="X1709" s="70"/>
      <c r="Y1709" s="92"/>
      <c r="Z1709" s="76"/>
      <c r="AA1709" s="76">
        <v>20</v>
      </c>
      <c r="AB1709" s="76"/>
      <c r="AC1709" s="76"/>
      <c r="AD1709" s="146">
        <v>46174</v>
      </c>
      <c r="AE1709" s="166" t="s">
        <v>12082</v>
      </c>
    </row>
    <row r="1710" spans="1:31" s="218" customFormat="1" ht="27" customHeight="1" x14ac:dyDescent="0.15">
      <c r="A1710" s="76">
        <v>1116519719</v>
      </c>
      <c r="B1710" s="406" t="s">
        <v>12099</v>
      </c>
      <c r="C1710" s="434" t="s">
        <v>12100</v>
      </c>
      <c r="D1710" s="434" t="s">
        <v>8077</v>
      </c>
      <c r="E1710" s="406" t="s">
        <v>12083</v>
      </c>
      <c r="F1710" s="168" t="s">
        <v>5912</v>
      </c>
      <c r="G1710" s="76" t="s">
        <v>12084</v>
      </c>
      <c r="H1710" s="76"/>
      <c r="I1710" s="178"/>
      <c r="J1710" s="170"/>
      <c r="K1710" s="170"/>
      <c r="L1710" s="170"/>
      <c r="M1710" s="170" t="s">
        <v>10982</v>
      </c>
      <c r="N1710" s="170" t="s">
        <v>10982</v>
      </c>
      <c r="O1710" s="170" t="s">
        <v>10982</v>
      </c>
      <c r="P1710" s="76"/>
      <c r="Q1710" s="70"/>
      <c r="R1710" s="92"/>
      <c r="S1710" s="76"/>
      <c r="T1710" s="76"/>
      <c r="U1710" s="76"/>
      <c r="V1710" s="70"/>
      <c r="W1710" s="92"/>
      <c r="X1710" s="70">
        <v>20</v>
      </c>
      <c r="Y1710" s="92"/>
      <c r="Z1710" s="76"/>
      <c r="AA1710" s="76"/>
      <c r="AB1710" s="76"/>
      <c r="AC1710" s="76"/>
      <c r="AD1710" s="146">
        <v>46174</v>
      </c>
      <c r="AE1710" s="166" t="s">
        <v>12085</v>
      </c>
    </row>
    <row r="1711" spans="1:31" s="218" customFormat="1" ht="27" customHeight="1" x14ac:dyDescent="0.15">
      <c r="A1711" s="76">
        <v>1116519727</v>
      </c>
      <c r="B1711" s="406" t="s">
        <v>12101</v>
      </c>
      <c r="C1711" s="434" t="s">
        <v>12102</v>
      </c>
      <c r="D1711" s="434" t="s">
        <v>8077</v>
      </c>
      <c r="E1711" s="406" t="s">
        <v>12103</v>
      </c>
      <c r="F1711" s="168" t="s">
        <v>12086</v>
      </c>
      <c r="G1711" s="76" t="s">
        <v>12087</v>
      </c>
      <c r="H1711" s="76" t="s">
        <v>12088</v>
      </c>
      <c r="I1711" s="178"/>
      <c r="J1711" s="170"/>
      <c r="K1711" s="170"/>
      <c r="L1711" s="170"/>
      <c r="M1711" s="170" t="s">
        <v>10982</v>
      </c>
      <c r="N1711" s="170" t="s">
        <v>10982</v>
      </c>
      <c r="O1711" s="170" t="s">
        <v>10982</v>
      </c>
      <c r="P1711" s="76"/>
      <c r="Q1711" s="70"/>
      <c r="R1711" s="92"/>
      <c r="S1711" s="76"/>
      <c r="T1711" s="76"/>
      <c r="U1711" s="76"/>
      <c r="V1711" s="70">
        <v>20</v>
      </c>
      <c r="W1711" s="92"/>
      <c r="X1711" s="70"/>
      <c r="Y1711" s="92"/>
      <c r="Z1711" s="76"/>
      <c r="AA1711" s="76"/>
      <c r="AB1711" s="76"/>
      <c r="AC1711" s="76"/>
      <c r="AD1711" s="146">
        <v>46174</v>
      </c>
      <c r="AE1711" s="166" t="s">
        <v>12089</v>
      </c>
    </row>
    <row r="1712" spans="1:31" s="218" customFormat="1" ht="27.95" customHeight="1" x14ac:dyDescent="0.15">
      <c r="A1712" s="76">
        <v>1116519735</v>
      </c>
      <c r="B1712" s="406" t="s">
        <v>12104</v>
      </c>
      <c r="C1712" s="434" t="s">
        <v>12105</v>
      </c>
      <c r="D1712" s="434" t="s">
        <v>8077</v>
      </c>
      <c r="E1712" s="406" t="s">
        <v>12106</v>
      </c>
      <c r="F1712" s="168" t="s">
        <v>8164</v>
      </c>
      <c r="G1712" s="76" t="s">
        <v>12090</v>
      </c>
      <c r="H1712" s="76" t="s">
        <v>12091</v>
      </c>
      <c r="I1712" s="178"/>
      <c r="J1712" s="170"/>
      <c r="K1712" s="170"/>
      <c r="L1712" s="170"/>
      <c r="M1712" s="170" t="s">
        <v>10982</v>
      </c>
      <c r="N1712" s="170" t="s">
        <v>10982</v>
      </c>
      <c r="O1712" s="170"/>
      <c r="P1712" s="76"/>
      <c r="Q1712" s="70"/>
      <c r="R1712" s="92"/>
      <c r="S1712" s="76"/>
      <c r="T1712" s="76"/>
      <c r="U1712" s="76"/>
      <c r="V1712" s="70"/>
      <c r="W1712" s="92"/>
      <c r="X1712" s="70"/>
      <c r="Y1712" s="92"/>
      <c r="Z1712" s="76"/>
      <c r="AA1712" s="76">
        <v>20</v>
      </c>
      <c r="AB1712" s="76"/>
      <c r="AC1712" s="76"/>
      <c r="AD1712" s="146">
        <v>46174</v>
      </c>
      <c r="AE1712" s="166" t="s">
        <v>12092</v>
      </c>
    </row>
    <row r="1713" spans="1:31" s="218" customFormat="1" ht="27" customHeight="1" x14ac:dyDescent="0.15">
      <c r="A1713" s="76">
        <v>1116519768</v>
      </c>
      <c r="B1713" s="406" t="s">
        <v>12190</v>
      </c>
      <c r="C1713" s="434" t="s">
        <v>12195</v>
      </c>
      <c r="D1713" s="434" t="s">
        <v>8077</v>
      </c>
      <c r="E1713" s="406" t="s">
        <v>12196</v>
      </c>
      <c r="F1713" s="168" t="s">
        <v>12191</v>
      </c>
      <c r="G1713" s="76" t="s">
        <v>12192</v>
      </c>
      <c r="H1713" s="76" t="s">
        <v>12193</v>
      </c>
      <c r="I1713" s="178"/>
      <c r="J1713" s="170"/>
      <c r="K1713" s="170"/>
      <c r="L1713" s="170"/>
      <c r="M1713" s="170" t="s">
        <v>10982</v>
      </c>
      <c r="N1713" s="170" t="s">
        <v>10982</v>
      </c>
      <c r="O1713" s="170"/>
      <c r="P1713" s="76"/>
      <c r="Q1713" s="70"/>
      <c r="R1713" s="92"/>
      <c r="S1713" s="76"/>
      <c r="T1713" s="76"/>
      <c r="U1713" s="76"/>
      <c r="V1713" s="70"/>
      <c r="W1713" s="92"/>
      <c r="X1713" s="70">
        <v>12</v>
      </c>
      <c r="Y1713" s="92"/>
      <c r="Z1713" s="76"/>
      <c r="AA1713" s="76"/>
      <c r="AB1713" s="76"/>
      <c r="AC1713" s="76"/>
      <c r="AD1713" s="146">
        <v>46204</v>
      </c>
      <c r="AE1713" s="166" t="s">
        <v>12194</v>
      </c>
    </row>
    <row r="1714" spans="1:31" s="218" customFormat="1" ht="27" customHeight="1" x14ac:dyDescent="0.15">
      <c r="A1714" s="76">
        <v>1116519776</v>
      </c>
      <c r="B1714" s="406" t="s">
        <v>12199</v>
      </c>
      <c r="C1714" s="434" t="s">
        <v>12200</v>
      </c>
      <c r="D1714" s="434" t="s">
        <v>8077</v>
      </c>
      <c r="E1714" s="406" t="s">
        <v>12197</v>
      </c>
      <c r="F1714" s="168" t="s">
        <v>12201</v>
      </c>
      <c r="G1714" s="76" t="s">
        <v>12202</v>
      </c>
      <c r="H1714" s="76"/>
      <c r="I1714" s="178"/>
      <c r="J1714" s="170"/>
      <c r="K1714" s="170"/>
      <c r="L1714" s="170"/>
      <c r="M1714" s="170" t="s">
        <v>10982</v>
      </c>
      <c r="N1714" s="170" t="s">
        <v>10982</v>
      </c>
      <c r="O1714" s="170"/>
      <c r="P1714" s="76"/>
      <c r="Q1714" s="70"/>
      <c r="R1714" s="92"/>
      <c r="S1714" s="76"/>
      <c r="T1714" s="76"/>
      <c r="U1714" s="76"/>
      <c r="V1714" s="70"/>
      <c r="W1714" s="92"/>
      <c r="X1714" s="70">
        <v>10</v>
      </c>
      <c r="Y1714" s="92"/>
      <c r="Z1714" s="76"/>
      <c r="AA1714" s="76"/>
      <c r="AB1714" s="76"/>
      <c r="AC1714" s="76"/>
      <c r="AD1714" s="146">
        <v>46204</v>
      </c>
      <c r="AE1714" s="166" t="s">
        <v>12198</v>
      </c>
    </row>
    <row r="1715" spans="1:31" s="218" customFormat="1" ht="27" customHeight="1" x14ac:dyDescent="0.15">
      <c r="A1715" s="76">
        <v>1116519891</v>
      </c>
      <c r="B1715" s="406" t="s">
        <v>12214</v>
      </c>
      <c r="C1715" s="434" t="s">
        <v>12215</v>
      </c>
      <c r="D1715" s="434" t="s">
        <v>8077</v>
      </c>
      <c r="E1715" s="406" t="s">
        <v>12211</v>
      </c>
      <c r="F1715" s="168" t="s">
        <v>12216</v>
      </c>
      <c r="G1715" s="76" t="s">
        <v>12217</v>
      </c>
      <c r="H1715" s="76" t="s">
        <v>12212</v>
      </c>
      <c r="I1715" s="178"/>
      <c r="J1715" s="170"/>
      <c r="K1715" s="170"/>
      <c r="L1715" s="170"/>
      <c r="M1715" s="170" t="s">
        <v>10982</v>
      </c>
      <c r="N1715" s="170" t="s">
        <v>10982</v>
      </c>
      <c r="O1715" s="170"/>
      <c r="P1715" s="76"/>
      <c r="Q1715" s="70"/>
      <c r="R1715" s="92"/>
      <c r="S1715" s="76"/>
      <c r="T1715" s="76"/>
      <c r="U1715" s="76"/>
      <c r="V1715" s="70"/>
      <c r="W1715" s="92"/>
      <c r="X1715" s="70"/>
      <c r="Y1715" s="92"/>
      <c r="Z1715" s="76"/>
      <c r="AA1715" s="76">
        <v>20</v>
      </c>
      <c r="AB1715" s="76"/>
      <c r="AC1715" s="76"/>
      <c r="AD1715" s="146">
        <v>46204</v>
      </c>
      <c r="AE1715" s="166" t="s">
        <v>12213</v>
      </c>
    </row>
    <row r="1716" spans="1:31" s="218" customFormat="1" ht="36" customHeight="1" x14ac:dyDescent="0.15">
      <c r="A1716" s="76">
        <v>1116519909</v>
      </c>
      <c r="B1716" s="406" t="s">
        <v>12220</v>
      </c>
      <c r="C1716" s="434" t="s">
        <v>12221</v>
      </c>
      <c r="D1716" s="434" t="s">
        <v>8077</v>
      </c>
      <c r="E1716" s="406" t="s">
        <v>12218</v>
      </c>
      <c r="F1716" s="168" t="s">
        <v>8848</v>
      </c>
      <c r="G1716" s="76" t="s">
        <v>12222</v>
      </c>
      <c r="H1716" s="76"/>
      <c r="I1716" s="178"/>
      <c r="J1716" s="170"/>
      <c r="K1716" s="170"/>
      <c r="L1716" s="170" t="s">
        <v>10982</v>
      </c>
      <c r="M1716" s="170" t="s">
        <v>10982</v>
      </c>
      <c r="N1716" s="170" t="s">
        <v>10982</v>
      </c>
      <c r="O1716" s="170" t="s">
        <v>10982</v>
      </c>
      <c r="P1716" s="76"/>
      <c r="Q1716" s="70"/>
      <c r="R1716" s="92"/>
      <c r="S1716" s="76"/>
      <c r="T1716" s="76"/>
      <c r="U1716" s="76"/>
      <c r="V1716" s="70"/>
      <c r="W1716" s="92"/>
      <c r="X1716" s="70"/>
      <c r="Y1716" s="92"/>
      <c r="Z1716" s="76"/>
      <c r="AA1716" s="76">
        <v>20</v>
      </c>
      <c r="AB1716" s="76"/>
      <c r="AC1716" s="76"/>
      <c r="AD1716" s="146">
        <v>46204</v>
      </c>
      <c r="AE1716" s="166" t="s">
        <v>12219</v>
      </c>
    </row>
    <row r="1717" spans="1:31" s="563" customFormat="1" ht="27" customHeight="1" x14ac:dyDescent="0.15">
      <c r="A1717" s="591">
        <v>1116519941</v>
      </c>
      <c r="B1717" s="646" t="s">
        <v>12332</v>
      </c>
      <c r="C1717" s="647" t="s">
        <v>12333</v>
      </c>
      <c r="D1717" s="647" t="s">
        <v>8077</v>
      </c>
      <c r="E1717" s="646" t="s">
        <v>12317</v>
      </c>
      <c r="F1717" s="648" t="s">
        <v>12334</v>
      </c>
      <c r="G1717" s="591" t="s">
        <v>12318</v>
      </c>
      <c r="H1717" s="591" t="s">
        <v>12319</v>
      </c>
      <c r="I1717" s="649"/>
      <c r="J1717" s="650"/>
      <c r="K1717" s="650"/>
      <c r="L1717" s="650"/>
      <c r="M1717" s="650"/>
      <c r="N1717" s="650" t="s">
        <v>10982</v>
      </c>
      <c r="O1717" s="650"/>
      <c r="P1717" s="591"/>
      <c r="Q1717" s="592"/>
      <c r="R1717" s="593"/>
      <c r="S1717" s="591"/>
      <c r="T1717" s="591"/>
      <c r="U1717" s="591"/>
      <c r="V1717" s="592"/>
      <c r="W1717" s="593"/>
      <c r="X1717" s="592"/>
      <c r="Y1717" s="593"/>
      <c r="Z1717" s="591"/>
      <c r="AA1717" s="591">
        <v>20</v>
      </c>
      <c r="AB1717" s="591"/>
      <c r="AC1717" s="591"/>
      <c r="AD1717" s="625">
        <v>46235</v>
      </c>
      <c r="AE1717" s="638" t="s">
        <v>12320</v>
      </c>
    </row>
    <row r="1718" spans="1:31" s="563" customFormat="1" ht="27" customHeight="1" x14ac:dyDescent="0.15">
      <c r="A1718" s="591">
        <v>1116520030</v>
      </c>
      <c r="B1718" s="646" t="s">
        <v>12335</v>
      </c>
      <c r="C1718" s="647" t="s">
        <v>12336</v>
      </c>
      <c r="D1718" s="647" t="s">
        <v>8077</v>
      </c>
      <c r="E1718" s="646" t="s">
        <v>12321</v>
      </c>
      <c r="F1718" s="648" t="s">
        <v>12337</v>
      </c>
      <c r="G1718" s="591" t="s">
        <v>12338</v>
      </c>
      <c r="H1718" s="591"/>
      <c r="I1718" s="649" t="s">
        <v>10982</v>
      </c>
      <c r="J1718" s="650" t="s">
        <v>10982</v>
      </c>
      <c r="K1718" s="650" t="s">
        <v>10982</v>
      </c>
      <c r="L1718" s="650" t="s">
        <v>10982</v>
      </c>
      <c r="M1718" s="650"/>
      <c r="N1718" s="650"/>
      <c r="O1718" s="650"/>
      <c r="P1718" s="591"/>
      <c r="Q1718" s="592"/>
      <c r="R1718" s="593"/>
      <c r="S1718" s="591"/>
      <c r="T1718" s="591">
        <v>20</v>
      </c>
      <c r="U1718" s="591"/>
      <c r="V1718" s="592"/>
      <c r="W1718" s="593"/>
      <c r="X1718" s="592"/>
      <c r="Y1718" s="593"/>
      <c r="Z1718" s="591"/>
      <c r="AA1718" s="591"/>
      <c r="AB1718" s="591"/>
      <c r="AC1718" s="591"/>
      <c r="AD1718" s="625">
        <v>46235</v>
      </c>
      <c r="AE1718" s="638" t="s">
        <v>12322</v>
      </c>
    </row>
    <row r="1719" spans="1:31" s="563" customFormat="1" ht="27" customHeight="1" x14ac:dyDescent="0.15">
      <c r="A1719" s="591">
        <v>1116520055</v>
      </c>
      <c r="B1719" s="646" t="s">
        <v>12339</v>
      </c>
      <c r="C1719" s="647" t="s">
        <v>12340</v>
      </c>
      <c r="D1719" s="647" t="s">
        <v>8077</v>
      </c>
      <c r="E1719" s="646" t="s">
        <v>12341</v>
      </c>
      <c r="F1719" s="648" t="s">
        <v>12209</v>
      </c>
      <c r="G1719" s="591" t="s">
        <v>12342</v>
      </c>
      <c r="H1719" s="591"/>
      <c r="I1719" s="649"/>
      <c r="J1719" s="650"/>
      <c r="K1719" s="650"/>
      <c r="L1719" s="650"/>
      <c r="M1719" s="650"/>
      <c r="N1719" s="650" t="s">
        <v>10982</v>
      </c>
      <c r="O1719" s="650"/>
      <c r="P1719" s="591"/>
      <c r="Q1719" s="592"/>
      <c r="R1719" s="593"/>
      <c r="S1719" s="591"/>
      <c r="T1719" s="591"/>
      <c r="U1719" s="591"/>
      <c r="V1719" s="592"/>
      <c r="W1719" s="593"/>
      <c r="X1719" s="592"/>
      <c r="Y1719" s="593"/>
      <c r="Z1719" s="591"/>
      <c r="AA1719" s="591">
        <v>20</v>
      </c>
      <c r="AB1719" s="591"/>
      <c r="AC1719" s="591"/>
      <c r="AD1719" s="625">
        <v>46235</v>
      </c>
      <c r="AE1719" s="638" t="s">
        <v>12323</v>
      </c>
    </row>
    <row r="1720" spans="1:31" s="563" customFormat="1" ht="27" customHeight="1" x14ac:dyDescent="0.15">
      <c r="A1720" s="591">
        <v>1116520071</v>
      </c>
      <c r="B1720" s="646" t="s">
        <v>12343</v>
      </c>
      <c r="C1720" s="647" t="s">
        <v>12344</v>
      </c>
      <c r="D1720" s="647" t="s">
        <v>8077</v>
      </c>
      <c r="E1720" s="646" t="s">
        <v>12324</v>
      </c>
      <c r="F1720" s="648" t="s">
        <v>8848</v>
      </c>
      <c r="G1720" s="591" t="s">
        <v>12345</v>
      </c>
      <c r="H1720" s="591"/>
      <c r="I1720" s="649"/>
      <c r="J1720" s="650"/>
      <c r="K1720" s="650"/>
      <c r="L1720" s="650" t="s">
        <v>10982</v>
      </c>
      <c r="M1720" s="650" t="s">
        <v>10982</v>
      </c>
      <c r="N1720" s="650" t="s">
        <v>10982</v>
      </c>
      <c r="O1720" s="650" t="s">
        <v>10982</v>
      </c>
      <c r="P1720" s="591"/>
      <c r="Q1720" s="592"/>
      <c r="R1720" s="593"/>
      <c r="S1720" s="591"/>
      <c r="T1720" s="591"/>
      <c r="U1720" s="591"/>
      <c r="V1720" s="592"/>
      <c r="W1720" s="593"/>
      <c r="X1720" s="592"/>
      <c r="Y1720" s="593"/>
      <c r="Z1720" s="591"/>
      <c r="AA1720" s="591">
        <v>20</v>
      </c>
      <c r="AB1720" s="591"/>
      <c r="AC1720" s="591"/>
      <c r="AD1720" s="625">
        <v>46235</v>
      </c>
      <c r="AE1720" s="638" t="s">
        <v>12325</v>
      </c>
    </row>
    <row r="1721" spans="1:31" s="563" customFormat="1" ht="27" customHeight="1" x14ac:dyDescent="0.15">
      <c r="A1721" s="591">
        <v>1116520089</v>
      </c>
      <c r="B1721" s="646" t="s">
        <v>12346</v>
      </c>
      <c r="C1721" s="647" t="s">
        <v>12347</v>
      </c>
      <c r="D1721" s="647" t="s">
        <v>8077</v>
      </c>
      <c r="E1721" s="646" t="s">
        <v>12326</v>
      </c>
      <c r="F1721" s="648" t="s">
        <v>8848</v>
      </c>
      <c r="G1721" s="591" t="s">
        <v>12348</v>
      </c>
      <c r="H1721" s="591" t="s">
        <v>12327</v>
      </c>
      <c r="I1721" s="649"/>
      <c r="J1721" s="650"/>
      <c r="K1721" s="650"/>
      <c r="L1721" s="650"/>
      <c r="M1721" s="650" t="s">
        <v>10982</v>
      </c>
      <c r="N1721" s="650" t="s">
        <v>10982</v>
      </c>
      <c r="O1721" s="650"/>
      <c r="P1721" s="591"/>
      <c r="Q1721" s="592"/>
      <c r="R1721" s="593"/>
      <c r="S1721" s="591"/>
      <c r="T1721" s="591"/>
      <c r="U1721" s="591"/>
      <c r="V1721" s="592"/>
      <c r="W1721" s="593"/>
      <c r="X1721" s="592"/>
      <c r="Y1721" s="593"/>
      <c r="Z1721" s="591"/>
      <c r="AA1721" s="591">
        <v>20</v>
      </c>
      <c r="AB1721" s="591"/>
      <c r="AC1721" s="591"/>
      <c r="AD1721" s="625">
        <v>46235</v>
      </c>
      <c r="AE1721" s="638" t="s">
        <v>12328</v>
      </c>
    </row>
    <row r="1722" spans="1:31" s="563" customFormat="1" ht="27" customHeight="1" x14ac:dyDescent="0.15">
      <c r="A1722" s="591">
        <v>1116520097</v>
      </c>
      <c r="B1722" s="646" t="s">
        <v>12349</v>
      </c>
      <c r="C1722" s="647" t="s">
        <v>12350</v>
      </c>
      <c r="D1722" s="647" t="s">
        <v>8077</v>
      </c>
      <c r="E1722" s="646" t="s">
        <v>12329</v>
      </c>
      <c r="F1722" s="648" t="s">
        <v>12351</v>
      </c>
      <c r="G1722" s="591" t="s">
        <v>12330</v>
      </c>
      <c r="H1722" s="591"/>
      <c r="I1722" s="649"/>
      <c r="J1722" s="650"/>
      <c r="K1722" s="650"/>
      <c r="L1722" s="650"/>
      <c r="M1722" s="650" t="s">
        <v>10982</v>
      </c>
      <c r="N1722" s="650" t="s">
        <v>10982</v>
      </c>
      <c r="O1722" s="650" t="s">
        <v>10982</v>
      </c>
      <c r="P1722" s="591"/>
      <c r="Q1722" s="592"/>
      <c r="R1722" s="593"/>
      <c r="S1722" s="591"/>
      <c r="T1722" s="591"/>
      <c r="U1722" s="591"/>
      <c r="V1722" s="592"/>
      <c r="W1722" s="593"/>
      <c r="X1722" s="592"/>
      <c r="Y1722" s="593"/>
      <c r="Z1722" s="591"/>
      <c r="AA1722" s="591">
        <v>20</v>
      </c>
      <c r="AB1722" s="591"/>
      <c r="AC1722" s="591"/>
      <c r="AD1722" s="625">
        <v>46235</v>
      </c>
      <c r="AE1722" s="638" t="s">
        <v>12331</v>
      </c>
    </row>
    <row r="1723" spans="1:31" s="218" customFormat="1" ht="27" customHeight="1" x14ac:dyDescent="0.15">
      <c r="A1723" s="76">
        <v>1116519917</v>
      </c>
      <c r="B1723" s="406" t="s">
        <v>12207</v>
      </c>
      <c r="C1723" s="434" t="s">
        <v>12208</v>
      </c>
      <c r="D1723" s="434" t="s">
        <v>8077</v>
      </c>
      <c r="E1723" s="406" t="s">
        <v>12204</v>
      </c>
      <c r="F1723" s="168" t="s">
        <v>12209</v>
      </c>
      <c r="G1723" s="76" t="s">
        <v>12210</v>
      </c>
      <c r="H1723" s="76" t="s">
        <v>12205</v>
      </c>
      <c r="I1723" s="178"/>
      <c r="J1723" s="170"/>
      <c r="K1723" s="170"/>
      <c r="L1723" s="170" t="s">
        <v>10982</v>
      </c>
      <c r="M1723" s="170" t="s">
        <v>10982</v>
      </c>
      <c r="N1723" s="170" t="s">
        <v>10982</v>
      </c>
      <c r="O1723" s="170" t="s">
        <v>10982</v>
      </c>
      <c r="P1723" s="76"/>
      <c r="Q1723" s="70"/>
      <c r="R1723" s="92"/>
      <c r="S1723" s="76"/>
      <c r="T1723" s="76"/>
      <c r="U1723" s="76"/>
      <c r="V1723" s="70"/>
      <c r="W1723" s="92"/>
      <c r="X1723" s="70">
        <v>10</v>
      </c>
      <c r="Y1723" s="92"/>
      <c r="Z1723" s="76"/>
      <c r="AA1723" s="76"/>
      <c r="AB1723" s="76"/>
      <c r="AC1723" s="76"/>
      <c r="AD1723" s="146">
        <v>46204</v>
      </c>
      <c r="AE1723" s="166" t="s">
        <v>12206</v>
      </c>
    </row>
    <row r="1724" spans="1:31" s="65" customFormat="1" ht="27" customHeight="1" x14ac:dyDescent="0.15">
      <c r="A1724" s="105">
        <v>1116600139</v>
      </c>
      <c r="B1724" s="130" t="s">
        <v>9499</v>
      </c>
      <c r="C1724" s="108" t="s">
        <v>9500</v>
      </c>
      <c r="D1724" s="108" t="s">
        <v>6300</v>
      </c>
      <c r="E1724" s="166" t="s">
        <v>9501</v>
      </c>
      <c r="F1724" s="131" t="s">
        <v>9502</v>
      </c>
      <c r="G1724" s="132" t="s">
        <v>9503</v>
      </c>
      <c r="H1724" s="132" t="s">
        <v>9504</v>
      </c>
      <c r="I1724" s="133"/>
      <c r="J1724" s="134"/>
      <c r="K1724" s="134"/>
      <c r="L1724" s="134"/>
      <c r="M1724" s="134" t="s">
        <v>765</v>
      </c>
      <c r="N1724" s="134"/>
      <c r="O1724" s="134"/>
      <c r="P1724" s="105"/>
      <c r="Q1724" s="137"/>
      <c r="R1724" s="138"/>
      <c r="S1724" s="105"/>
      <c r="T1724" s="105">
        <v>6</v>
      </c>
      <c r="U1724" s="105"/>
      <c r="V1724" s="137"/>
      <c r="W1724" s="138"/>
      <c r="X1724" s="137"/>
      <c r="Y1724" s="138"/>
      <c r="Z1724" s="105"/>
      <c r="AA1724" s="105">
        <v>14</v>
      </c>
      <c r="AB1724" s="105"/>
      <c r="AC1724" s="105"/>
      <c r="AD1724" s="118">
        <v>45536</v>
      </c>
      <c r="AE1724" s="108" t="s">
        <v>9505</v>
      </c>
    </row>
    <row r="1725" spans="1:31" s="302" customFormat="1" ht="27" customHeight="1" x14ac:dyDescent="0.15">
      <c r="A1725" s="105">
        <v>1116600170</v>
      </c>
      <c r="B1725" s="130" t="s">
        <v>11677</v>
      </c>
      <c r="C1725" s="108" t="s">
        <v>10524</v>
      </c>
      <c r="D1725" s="108" t="s">
        <v>6300</v>
      </c>
      <c r="E1725" s="166" t="s">
        <v>10525</v>
      </c>
      <c r="F1725" s="131" t="s">
        <v>10526</v>
      </c>
      <c r="G1725" s="132" t="s">
        <v>10527</v>
      </c>
      <c r="H1725" s="132"/>
      <c r="I1725" s="133"/>
      <c r="J1725" s="134"/>
      <c r="K1725" s="134"/>
      <c r="L1725" s="134"/>
      <c r="M1725" s="134" t="s">
        <v>765</v>
      </c>
      <c r="N1725" s="134" t="s">
        <v>765</v>
      </c>
      <c r="O1725" s="134"/>
      <c r="P1725" s="105"/>
      <c r="Q1725" s="137"/>
      <c r="R1725" s="138"/>
      <c r="S1725" s="105"/>
      <c r="T1725" s="105"/>
      <c r="U1725" s="105"/>
      <c r="V1725" s="137"/>
      <c r="W1725" s="138"/>
      <c r="X1725" s="137"/>
      <c r="Y1725" s="138"/>
      <c r="Z1725" s="105"/>
      <c r="AA1725" s="105">
        <v>20</v>
      </c>
      <c r="AB1725" s="105"/>
      <c r="AC1725" s="105"/>
      <c r="AD1725" s="144">
        <v>45870</v>
      </c>
      <c r="AE1725" s="108" t="s">
        <v>10528</v>
      </c>
    </row>
    <row r="1726" spans="1:31" s="302" customFormat="1" ht="27" customHeight="1" x14ac:dyDescent="0.15">
      <c r="A1726" s="472">
        <v>1110200837</v>
      </c>
      <c r="B1726" s="213" t="s">
        <v>766</v>
      </c>
      <c r="C1726" s="213" t="s">
        <v>455</v>
      </c>
      <c r="D1726" s="214" t="s">
        <v>68</v>
      </c>
      <c r="E1726" s="130" t="s">
        <v>2586</v>
      </c>
      <c r="F1726" s="283">
        <v>3328558</v>
      </c>
      <c r="G1726" s="285" t="s">
        <v>2587</v>
      </c>
      <c r="H1726" s="285" t="s">
        <v>2588</v>
      </c>
      <c r="I1726" s="473"/>
      <c r="J1726" s="287"/>
      <c r="K1726" s="287" t="s">
        <v>456</v>
      </c>
      <c r="L1726" s="287"/>
      <c r="M1726" s="287"/>
      <c r="N1726" s="474"/>
      <c r="O1726" s="397"/>
      <c r="P1726" s="285"/>
      <c r="Q1726" s="475" t="s">
        <v>765</v>
      </c>
      <c r="R1726" s="476"/>
      <c r="S1726" s="285"/>
      <c r="T1726" s="285"/>
      <c r="U1726" s="285"/>
      <c r="V1726" s="284"/>
      <c r="W1726" s="476"/>
      <c r="X1726" s="284"/>
      <c r="Y1726" s="397"/>
      <c r="Z1726" s="285"/>
      <c r="AA1726" s="285"/>
      <c r="AB1726" s="285"/>
      <c r="AC1726" s="285"/>
      <c r="AD1726" s="477">
        <v>40087</v>
      </c>
      <c r="AE1726" s="478" t="s">
        <v>6157</v>
      </c>
    </row>
    <row r="1727" spans="1:31" s="302" customFormat="1" ht="27" customHeight="1" x14ac:dyDescent="0.15">
      <c r="A1727" s="380">
        <v>1110202205</v>
      </c>
      <c r="B1727" s="106" t="s">
        <v>3310</v>
      </c>
      <c r="C1727" s="107" t="s">
        <v>3311</v>
      </c>
      <c r="D1727" s="108" t="s">
        <v>68</v>
      </c>
      <c r="E1727" s="108" t="s">
        <v>3312</v>
      </c>
      <c r="F1727" s="131" t="s">
        <v>3313</v>
      </c>
      <c r="G1727" s="132" t="s">
        <v>3314</v>
      </c>
      <c r="H1727" s="132" t="s">
        <v>3315</v>
      </c>
      <c r="I1727" s="116"/>
      <c r="J1727" s="154"/>
      <c r="K1727" s="134" t="s">
        <v>456</v>
      </c>
      <c r="L1727" s="134" t="s">
        <v>477</v>
      </c>
      <c r="M1727" s="134" t="s">
        <v>395</v>
      </c>
      <c r="N1727" s="135" t="s">
        <v>396</v>
      </c>
      <c r="O1727" s="136" t="s">
        <v>2178</v>
      </c>
      <c r="P1727" s="132"/>
      <c r="Q1727" s="133"/>
      <c r="R1727" s="242">
        <v>10</v>
      </c>
      <c r="S1727" s="132"/>
      <c r="T1727" s="132"/>
      <c r="U1727" s="132"/>
      <c r="V1727" s="479"/>
      <c r="W1727" s="271"/>
      <c r="X1727" s="152"/>
      <c r="Y1727" s="136"/>
      <c r="Z1727" s="132"/>
      <c r="AA1727" s="380"/>
      <c r="AB1727" s="380"/>
      <c r="AC1727" s="380"/>
      <c r="AD1727" s="144">
        <v>42461</v>
      </c>
      <c r="AE1727" s="108" t="s">
        <v>3316</v>
      </c>
    </row>
    <row r="1728" spans="1:31" ht="27" customHeight="1" x14ac:dyDescent="0.15">
      <c r="A1728" s="228">
        <v>1110202445</v>
      </c>
      <c r="B1728" s="130" t="s">
        <v>4157</v>
      </c>
      <c r="C1728" s="130" t="s">
        <v>4158</v>
      </c>
      <c r="D1728" s="108" t="s">
        <v>68</v>
      </c>
      <c r="E1728" s="130" t="s">
        <v>4159</v>
      </c>
      <c r="F1728" s="131" t="s">
        <v>4160</v>
      </c>
      <c r="G1728" s="132" t="s">
        <v>4161</v>
      </c>
      <c r="H1728" s="132" t="s">
        <v>4161</v>
      </c>
      <c r="I1728" s="133"/>
      <c r="J1728" s="134"/>
      <c r="K1728" s="154" t="s">
        <v>456</v>
      </c>
      <c r="L1728" s="142"/>
      <c r="M1728" s="142" t="s">
        <v>395</v>
      </c>
      <c r="N1728" s="143"/>
      <c r="O1728" s="138"/>
      <c r="P1728" s="132"/>
      <c r="Q1728" s="480" t="s">
        <v>4162</v>
      </c>
      <c r="R1728" s="481"/>
      <c r="S1728" s="132"/>
      <c r="T1728" s="132"/>
      <c r="U1728" s="132"/>
      <c r="V1728" s="152"/>
      <c r="W1728" s="248"/>
      <c r="X1728" s="152"/>
      <c r="Y1728" s="136"/>
      <c r="Z1728" s="132"/>
      <c r="AA1728" s="132"/>
      <c r="AB1728" s="132"/>
      <c r="AC1728" s="132"/>
      <c r="AD1728" s="239">
        <v>43070</v>
      </c>
      <c r="AE1728" s="273" t="s">
        <v>4163</v>
      </c>
    </row>
    <row r="1729" spans="1:31" ht="27" customHeight="1" x14ac:dyDescent="0.15">
      <c r="A1729" s="105">
        <v>1110202312</v>
      </c>
      <c r="B1729" s="130" t="s">
        <v>4177</v>
      </c>
      <c r="C1729" s="108" t="s">
        <v>4178</v>
      </c>
      <c r="D1729" s="108" t="s">
        <v>68</v>
      </c>
      <c r="E1729" s="108" t="s">
        <v>4183</v>
      </c>
      <c r="F1729" s="131" t="s">
        <v>4179</v>
      </c>
      <c r="G1729" s="132" t="s">
        <v>4180</v>
      </c>
      <c r="H1729" s="132" t="s">
        <v>4181</v>
      </c>
      <c r="I1729" s="133" t="s">
        <v>391</v>
      </c>
      <c r="J1729" s="134" t="s">
        <v>392</v>
      </c>
      <c r="K1729" s="134" t="s">
        <v>393</v>
      </c>
      <c r="L1729" s="134" t="s">
        <v>394</v>
      </c>
      <c r="M1729" s="134" t="s">
        <v>395</v>
      </c>
      <c r="N1729" s="135" t="s">
        <v>396</v>
      </c>
      <c r="O1729" s="136" t="s">
        <v>2178</v>
      </c>
      <c r="P1729" s="105"/>
      <c r="Q1729" s="152"/>
      <c r="R1729" s="138">
        <v>2</v>
      </c>
      <c r="S1729" s="105"/>
      <c r="T1729" s="105"/>
      <c r="U1729" s="105"/>
      <c r="V1729" s="137"/>
      <c r="W1729" s="138"/>
      <c r="X1729" s="137"/>
      <c r="Y1729" s="138"/>
      <c r="Z1729" s="105"/>
      <c r="AA1729" s="105"/>
      <c r="AB1729" s="105"/>
      <c r="AC1729" s="105"/>
      <c r="AD1729" s="118">
        <v>42736</v>
      </c>
      <c r="AE1729" s="108" t="s">
        <v>4182</v>
      </c>
    </row>
    <row r="1730" spans="1:31" s="302" customFormat="1" ht="27" customHeight="1" x14ac:dyDescent="0.15">
      <c r="A1730" s="105">
        <v>1110202650</v>
      </c>
      <c r="B1730" s="106" t="s">
        <v>4666</v>
      </c>
      <c r="C1730" s="107" t="s">
        <v>4667</v>
      </c>
      <c r="D1730" s="108" t="s">
        <v>4643</v>
      </c>
      <c r="E1730" s="108" t="s">
        <v>4668</v>
      </c>
      <c r="F1730" s="139" t="s">
        <v>4669</v>
      </c>
      <c r="G1730" s="140" t="s">
        <v>4670</v>
      </c>
      <c r="H1730" s="140" t="s">
        <v>4670</v>
      </c>
      <c r="I1730" s="141"/>
      <c r="J1730" s="142"/>
      <c r="K1730" s="142"/>
      <c r="L1730" s="142"/>
      <c r="M1730" s="142" t="s">
        <v>4672</v>
      </c>
      <c r="N1730" s="143"/>
      <c r="O1730" s="138"/>
      <c r="P1730" s="105"/>
      <c r="Q1730" s="137"/>
      <c r="R1730" s="138">
        <v>3</v>
      </c>
      <c r="S1730" s="105"/>
      <c r="T1730" s="105"/>
      <c r="U1730" s="105"/>
      <c r="V1730" s="137"/>
      <c r="W1730" s="138"/>
      <c r="X1730" s="137"/>
      <c r="Y1730" s="138"/>
      <c r="Z1730" s="105"/>
      <c r="AA1730" s="105"/>
      <c r="AB1730" s="105"/>
      <c r="AC1730" s="105"/>
      <c r="AD1730" s="144">
        <v>43374</v>
      </c>
      <c r="AE1730" s="108" t="s">
        <v>4671</v>
      </c>
    </row>
    <row r="1731" spans="1:31" ht="27" customHeight="1" x14ac:dyDescent="0.15">
      <c r="A1731" s="105">
        <v>1110202866</v>
      </c>
      <c r="B1731" s="106" t="s">
        <v>11997</v>
      </c>
      <c r="C1731" s="107" t="s">
        <v>6280</v>
      </c>
      <c r="D1731" s="108" t="s">
        <v>5197</v>
      </c>
      <c r="E1731" s="108" t="s">
        <v>9768</v>
      </c>
      <c r="F1731" s="139" t="s">
        <v>5462</v>
      </c>
      <c r="G1731" s="140" t="s">
        <v>6282</v>
      </c>
      <c r="H1731" s="140" t="s">
        <v>6283</v>
      </c>
      <c r="I1731" s="141"/>
      <c r="J1731" s="142"/>
      <c r="K1731" s="142"/>
      <c r="L1731" s="142"/>
      <c r="M1731" s="142" t="s">
        <v>765</v>
      </c>
      <c r="N1731" s="143" t="s">
        <v>765</v>
      </c>
      <c r="O1731" s="138"/>
      <c r="P1731" s="105"/>
      <c r="Q1731" s="137"/>
      <c r="R1731" s="138">
        <v>2</v>
      </c>
      <c r="S1731" s="105"/>
      <c r="T1731" s="105"/>
      <c r="U1731" s="105"/>
      <c r="V1731" s="137"/>
      <c r="W1731" s="138"/>
      <c r="X1731" s="137"/>
      <c r="Y1731" s="138"/>
      <c r="Z1731" s="105"/>
      <c r="AA1731" s="105"/>
      <c r="AB1731" s="105"/>
      <c r="AC1731" s="105"/>
      <c r="AD1731" s="144">
        <v>44044</v>
      </c>
      <c r="AE1731" s="108" t="s">
        <v>6281</v>
      </c>
    </row>
    <row r="1732" spans="1:31" ht="27" customHeight="1" x14ac:dyDescent="0.15">
      <c r="A1732" s="105">
        <v>1110203278</v>
      </c>
      <c r="B1732" s="106" t="s">
        <v>12002</v>
      </c>
      <c r="C1732" s="107" t="s">
        <v>8263</v>
      </c>
      <c r="D1732" s="108" t="s">
        <v>4643</v>
      </c>
      <c r="E1732" s="108" t="s">
        <v>9769</v>
      </c>
      <c r="F1732" s="139" t="s">
        <v>8264</v>
      </c>
      <c r="G1732" s="140" t="s">
        <v>8265</v>
      </c>
      <c r="H1732" s="140" t="s">
        <v>8266</v>
      </c>
      <c r="I1732" s="141"/>
      <c r="J1732" s="142"/>
      <c r="K1732" s="142"/>
      <c r="L1732" s="142"/>
      <c r="M1732" s="142" t="s">
        <v>765</v>
      </c>
      <c r="N1732" s="143"/>
      <c r="O1732" s="138"/>
      <c r="P1732" s="105"/>
      <c r="Q1732" s="137"/>
      <c r="R1732" s="138">
        <v>1</v>
      </c>
      <c r="S1732" s="105"/>
      <c r="T1732" s="105"/>
      <c r="U1732" s="105"/>
      <c r="V1732" s="137"/>
      <c r="W1732" s="138"/>
      <c r="X1732" s="137"/>
      <c r="Y1732" s="138"/>
      <c r="Z1732" s="105"/>
      <c r="AA1732" s="105"/>
      <c r="AB1732" s="105"/>
      <c r="AC1732" s="105"/>
      <c r="AD1732" s="144">
        <v>45047</v>
      </c>
      <c r="AE1732" s="108" t="s">
        <v>8267</v>
      </c>
    </row>
    <row r="1733" spans="1:31" ht="27" customHeight="1" x14ac:dyDescent="0.15">
      <c r="A1733" s="105">
        <v>1110203286</v>
      </c>
      <c r="B1733" s="163" t="s">
        <v>11697</v>
      </c>
      <c r="C1733" s="107" t="s">
        <v>8592</v>
      </c>
      <c r="D1733" s="108" t="s">
        <v>4643</v>
      </c>
      <c r="E1733" s="108" t="s">
        <v>9770</v>
      </c>
      <c r="F1733" s="139" t="s">
        <v>8593</v>
      </c>
      <c r="G1733" s="140" t="s">
        <v>8594</v>
      </c>
      <c r="H1733" s="140" t="s">
        <v>8595</v>
      </c>
      <c r="I1733" s="160"/>
      <c r="J1733" s="142"/>
      <c r="K1733" s="142"/>
      <c r="L1733" s="142"/>
      <c r="M1733" s="142" t="s">
        <v>765</v>
      </c>
      <c r="N1733" s="143" t="s">
        <v>765</v>
      </c>
      <c r="O1733" s="143"/>
      <c r="P1733" s="105"/>
      <c r="Q1733" s="137"/>
      <c r="R1733" s="138">
        <v>2</v>
      </c>
      <c r="S1733" s="105"/>
      <c r="T1733" s="105"/>
      <c r="U1733" s="105"/>
      <c r="V1733" s="137"/>
      <c r="W1733" s="138"/>
      <c r="X1733" s="137"/>
      <c r="Y1733" s="138"/>
      <c r="Z1733" s="105"/>
      <c r="AA1733" s="105"/>
      <c r="AB1733" s="105"/>
      <c r="AC1733" s="105"/>
      <c r="AD1733" s="144">
        <v>45170</v>
      </c>
      <c r="AE1733" s="108" t="s">
        <v>8596</v>
      </c>
    </row>
    <row r="1734" spans="1:31" ht="27" customHeight="1" x14ac:dyDescent="0.15">
      <c r="A1734" s="76">
        <v>1110203336</v>
      </c>
      <c r="B1734" s="147" t="s">
        <v>11692</v>
      </c>
      <c r="C1734" s="147" t="s">
        <v>8712</v>
      </c>
      <c r="D1734" s="147" t="s">
        <v>8711</v>
      </c>
      <c r="E1734" s="166" t="s">
        <v>9771</v>
      </c>
      <c r="F1734" s="76" t="s">
        <v>8713</v>
      </c>
      <c r="G1734" s="76" t="s">
        <v>8714</v>
      </c>
      <c r="H1734" s="76" t="s">
        <v>8715</v>
      </c>
      <c r="I1734" s="103" t="s">
        <v>765</v>
      </c>
      <c r="J1734" s="260"/>
      <c r="K1734" s="260" t="s">
        <v>765</v>
      </c>
      <c r="L1734" s="260" t="s">
        <v>765</v>
      </c>
      <c r="M1734" s="260" t="s">
        <v>765</v>
      </c>
      <c r="N1734" s="260" t="s">
        <v>765</v>
      </c>
      <c r="O1734" s="92" t="s">
        <v>765</v>
      </c>
      <c r="P1734" s="147"/>
      <c r="Q1734" s="212"/>
      <c r="R1734" s="92">
        <v>2</v>
      </c>
      <c r="S1734" s="147"/>
      <c r="T1734" s="147"/>
      <c r="U1734" s="147"/>
      <c r="V1734" s="212"/>
      <c r="W1734" s="265"/>
      <c r="X1734" s="212"/>
      <c r="Y1734" s="265"/>
      <c r="Z1734" s="147"/>
      <c r="AA1734" s="147"/>
      <c r="AB1734" s="147"/>
      <c r="AC1734" s="147"/>
      <c r="AD1734" s="145">
        <v>45200</v>
      </c>
      <c r="AE1734" s="166" t="s">
        <v>8716</v>
      </c>
    </row>
    <row r="1735" spans="1:31" ht="27" customHeight="1" x14ac:dyDescent="0.15">
      <c r="A1735" s="76">
        <v>1110203427</v>
      </c>
      <c r="B1735" s="163" t="s">
        <v>11904</v>
      </c>
      <c r="C1735" s="164" t="s">
        <v>9080</v>
      </c>
      <c r="D1735" s="165" t="s">
        <v>9081</v>
      </c>
      <c r="E1735" s="166" t="s">
        <v>9772</v>
      </c>
      <c r="F1735" s="167" t="s">
        <v>9082</v>
      </c>
      <c r="G1735" s="168" t="s">
        <v>9083</v>
      </c>
      <c r="H1735" s="168" t="s">
        <v>9084</v>
      </c>
      <c r="I1735" s="169"/>
      <c r="J1735" s="170"/>
      <c r="K1735" s="170"/>
      <c r="L1735" s="170"/>
      <c r="M1735" s="170" t="s">
        <v>765</v>
      </c>
      <c r="N1735" s="148"/>
      <c r="O1735" s="148"/>
      <c r="P1735" s="76"/>
      <c r="Q1735" s="70"/>
      <c r="R1735" s="92">
        <v>18</v>
      </c>
      <c r="S1735" s="76"/>
      <c r="T1735" s="76"/>
      <c r="U1735" s="76"/>
      <c r="V1735" s="70"/>
      <c r="W1735" s="92"/>
      <c r="X1735" s="70"/>
      <c r="Y1735" s="92"/>
      <c r="Z1735" s="76"/>
      <c r="AA1735" s="76"/>
      <c r="AB1735" s="76"/>
      <c r="AC1735" s="76"/>
      <c r="AD1735" s="145">
        <v>45383</v>
      </c>
      <c r="AE1735" s="166" t="s">
        <v>9085</v>
      </c>
    </row>
    <row r="1736" spans="1:31" ht="27" customHeight="1" x14ac:dyDescent="0.15">
      <c r="A1736" s="76">
        <v>1110203484</v>
      </c>
      <c r="B1736" s="163" t="s">
        <v>11905</v>
      </c>
      <c r="C1736" s="164" t="s">
        <v>9347</v>
      </c>
      <c r="D1736" s="165" t="s">
        <v>9338</v>
      </c>
      <c r="E1736" s="166" t="s">
        <v>9773</v>
      </c>
      <c r="F1736" s="167" t="s">
        <v>9348</v>
      </c>
      <c r="G1736" s="168" t="s">
        <v>9349</v>
      </c>
      <c r="H1736" s="168"/>
      <c r="I1736" s="169"/>
      <c r="J1736" s="170"/>
      <c r="K1736" s="170" t="s">
        <v>765</v>
      </c>
      <c r="L1736" s="170" t="s">
        <v>765</v>
      </c>
      <c r="M1736" s="170" t="s">
        <v>765</v>
      </c>
      <c r="N1736" s="148" t="s">
        <v>765</v>
      </c>
      <c r="O1736" s="148"/>
      <c r="P1736" s="76"/>
      <c r="Q1736" s="70"/>
      <c r="R1736" s="92">
        <v>2</v>
      </c>
      <c r="S1736" s="76"/>
      <c r="T1736" s="76"/>
      <c r="U1736" s="76"/>
      <c r="V1736" s="70"/>
      <c r="W1736" s="92"/>
      <c r="X1736" s="70"/>
      <c r="Y1736" s="92"/>
      <c r="Z1736" s="76"/>
      <c r="AA1736" s="76"/>
      <c r="AB1736" s="76"/>
      <c r="AC1736" s="76"/>
      <c r="AD1736" s="145">
        <v>45474</v>
      </c>
      <c r="AE1736" s="166" t="s">
        <v>9350</v>
      </c>
    </row>
    <row r="1737" spans="1:31" s="302" customFormat="1" ht="27" customHeight="1" x14ac:dyDescent="0.15">
      <c r="A1737" s="105">
        <v>1110203542</v>
      </c>
      <c r="B1737" s="106" t="s">
        <v>11907</v>
      </c>
      <c r="C1737" s="107" t="s">
        <v>9766</v>
      </c>
      <c r="D1737" s="108" t="s">
        <v>4643</v>
      </c>
      <c r="E1737" s="108" t="s">
        <v>9798</v>
      </c>
      <c r="F1737" s="139" t="s">
        <v>4617</v>
      </c>
      <c r="G1737" s="140" t="s">
        <v>4618</v>
      </c>
      <c r="H1737" s="140" t="s">
        <v>4619</v>
      </c>
      <c r="I1737" s="141" t="s">
        <v>765</v>
      </c>
      <c r="J1737" s="142" t="s">
        <v>765</v>
      </c>
      <c r="K1737" s="142" t="s">
        <v>765</v>
      </c>
      <c r="L1737" s="142" t="s">
        <v>765</v>
      </c>
      <c r="M1737" s="142" t="s">
        <v>765</v>
      </c>
      <c r="N1737" s="143" t="s">
        <v>765</v>
      </c>
      <c r="O1737" s="138"/>
      <c r="P1737" s="105"/>
      <c r="Q1737" s="137"/>
      <c r="R1737" s="138">
        <v>1</v>
      </c>
      <c r="S1737" s="105"/>
      <c r="T1737" s="105"/>
      <c r="U1737" s="105"/>
      <c r="V1737" s="137"/>
      <c r="W1737" s="138"/>
      <c r="X1737" s="137"/>
      <c r="Y1737" s="138"/>
      <c r="Z1737" s="105"/>
      <c r="AA1737" s="105"/>
      <c r="AB1737" s="105"/>
      <c r="AC1737" s="105"/>
      <c r="AD1737" s="144">
        <v>45627</v>
      </c>
      <c r="AE1737" s="108" t="s">
        <v>9767</v>
      </c>
    </row>
    <row r="1738" spans="1:31" s="302" customFormat="1" ht="27" customHeight="1" x14ac:dyDescent="0.15">
      <c r="A1738" s="105">
        <v>1110203609</v>
      </c>
      <c r="B1738" s="106" t="s">
        <v>11908</v>
      </c>
      <c r="C1738" s="107" t="s">
        <v>9774</v>
      </c>
      <c r="D1738" s="108" t="s">
        <v>9267</v>
      </c>
      <c r="E1738" s="108" t="s">
        <v>9799</v>
      </c>
      <c r="F1738" s="139" t="s">
        <v>9921</v>
      </c>
      <c r="G1738" s="140" t="s">
        <v>9922</v>
      </c>
      <c r="H1738" s="140" t="s">
        <v>9923</v>
      </c>
      <c r="I1738" s="141" t="s">
        <v>765</v>
      </c>
      <c r="J1738" s="142" t="s">
        <v>765</v>
      </c>
      <c r="K1738" s="142" t="s">
        <v>765</v>
      </c>
      <c r="L1738" s="142" t="s">
        <v>765</v>
      </c>
      <c r="M1738" s="142" t="s">
        <v>765</v>
      </c>
      <c r="N1738" s="143" t="s">
        <v>765</v>
      </c>
      <c r="O1738" s="138"/>
      <c r="P1738" s="105"/>
      <c r="Q1738" s="137"/>
      <c r="R1738" s="138">
        <v>2</v>
      </c>
      <c r="S1738" s="105"/>
      <c r="T1738" s="105"/>
      <c r="U1738" s="105"/>
      <c r="V1738" s="137"/>
      <c r="W1738" s="138"/>
      <c r="X1738" s="137"/>
      <c r="Y1738" s="138"/>
      <c r="Z1738" s="105"/>
      <c r="AA1738" s="105"/>
      <c r="AB1738" s="105"/>
      <c r="AC1738" s="105"/>
      <c r="AD1738" s="144">
        <v>45717</v>
      </c>
      <c r="AE1738" s="108" t="s">
        <v>9775</v>
      </c>
    </row>
    <row r="1739" spans="1:31" ht="27" customHeight="1" x14ac:dyDescent="0.15">
      <c r="A1739" s="105">
        <v>1110203799</v>
      </c>
      <c r="B1739" s="106" t="s">
        <v>11909</v>
      </c>
      <c r="C1739" s="107" t="s">
        <v>10783</v>
      </c>
      <c r="D1739" s="108" t="s">
        <v>10761</v>
      </c>
      <c r="E1739" s="108" t="s">
        <v>10784</v>
      </c>
      <c r="F1739" s="139" t="s">
        <v>10785</v>
      </c>
      <c r="G1739" s="140" t="s">
        <v>10786</v>
      </c>
      <c r="H1739" s="140" t="s">
        <v>10787</v>
      </c>
      <c r="I1739" s="141" t="s">
        <v>765</v>
      </c>
      <c r="J1739" s="142" t="s">
        <v>765</v>
      </c>
      <c r="K1739" s="142" t="s">
        <v>765</v>
      </c>
      <c r="L1739" s="142" t="s">
        <v>765</v>
      </c>
      <c r="M1739" s="142" t="s">
        <v>765</v>
      </c>
      <c r="N1739" s="143" t="s">
        <v>765</v>
      </c>
      <c r="O1739" s="138" t="s">
        <v>765</v>
      </c>
      <c r="P1739" s="105"/>
      <c r="Q1739" s="137"/>
      <c r="R1739" s="138">
        <v>2</v>
      </c>
      <c r="S1739" s="105"/>
      <c r="T1739" s="105"/>
      <c r="U1739" s="105"/>
      <c r="V1739" s="137"/>
      <c r="W1739" s="138"/>
      <c r="X1739" s="137"/>
      <c r="Y1739" s="138"/>
      <c r="Z1739" s="105"/>
      <c r="AA1739" s="105"/>
      <c r="AB1739" s="105"/>
      <c r="AC1739" s="105"/>
      <c r="AD1739" s="144">
        <v>45931</v>
      </c>
      <c r="AE1739" s="108" t="s">
        <v>10788</v>
      </c>
    </row>
    <row r="1740" spans="1:31" ht="26.25" customHeight="1" x14ac:dyDescent="0.15">
      <c r="A1740" s="105">
        <v>1110203849</v>
      </c>
      <c r="B1740" s="106" t="s">
        <v>12033</v>
      </c>
      <c r="C1740" s="107" t="s">
        <v>11065</v>
      </c>
      <c r="D1740" s="108" t="s">
        <v>11048</v>
      </c>
      <c r="E1740" s="108" t="s">
        <v>11620</v>
      </c>
      <c r="F1740" s="139" t="s">
        <v>11067</v>
      </c>
      <c r="G1740" s="140" t="s">
        <v>11068</v>
      </c>
      <c r="H1740" s="140"/>
      <c r="I1740" s="141" t="s">
        <v>10982</v>
      </c>
      <c r="J1740" s="142" t="s">
        <v>11063</v>
      </c>
      <c r="K1740" s="142" t="s">
        <v>10982</v>
      </c>
      <c r="L1740" s="142" t="s">
        <v>11063</v>
      </c>
      <c r="M1740" s="142" t="s">
        <v>10982</v>
      </c>
      <c r="N1740" s="143" t="s">
        <v>10982</v>
      </c>
      <c r="O1740" s="138" t="s">
        <v>10982</v>
      </c>
      <c r="P1740" s="105"/>
      <c r="Q1740" s="137"/>
      <c r="R1740" s="138">
        <v>19</v>
      </c>
      <c r="S1740" s="105"/>
      <c r="T1740" s="105"/>
      <c r="U1740" s="105"/>
      <c r="V1740" s="137"/>
      <c r="W1740" s="138"/>
      <c r="X1740" s="137"/>
      <c r="Y1740" s="138"/>
      <c r="Z1740" s="105"/>
      <c r="AA1740" s="105"/>
      <c r="AB1740" s="105"/>
      <c r="AC1740" s="105"/>
      <c r="AD1740" s="144">
        <v>46054</v>
      </c>
      <c r="AE1740" s="108" t="s">
        <v>11066</v>
      </c>
    </row>
    <row r="1741" spans="1:31" ht="26.25" customHeight="1" x14ac:dyDescent="0.15">
      <c r="A1741" s="105">
        <v>1110203948</v>
      </c>
      <c r="B1741" s="106" t="s">
        <v>12125</v>
      </c>
      <c r="C1741" s="107" t="s">
        <v>12126</v>
      </c>
      <c r="D1741" s="108" t="s">
        <v>9267</v>
      </c>
      <c r="E1741" s="108" t="s">
        <v>12128</v>
      </c>
      <c r="F1741" s="139" t="s">
        <v>12122</v>
      </c>
      <c r="G1741" s="140" t="s">
        <v>12123</v>
      </c>
      <c r="H1741" s="140" t="s">
        <v>12124</v>
      </c>
      <c r="I1741" s="141"/>
      <c r="J1741" s="142"/>
      <c r="K1741" s="142"/>
      <c r="L1741" s="142"/>
      <c r="M1741" s="142" t="s">
        <v>10982</v>
      </c>
      <c r="N1741" s="143"/>
      <c r="O1741" s="138"/>
      <c r="P1741" s="105"/>
      <c r="Q1741" s="137"/>
      <c r="R1741" s="138">
        <v>18</v>
      </c>
      <c r="S1741" s="105"/>
      <c r="T1741" s="105"/>
      <c r="U1741" s="105"/>
      <c r="V1741" s="137"/>
      <c r="W1741" s="138"/>
      <c r="X1741" s="137"/>
      <c r="Y1741" s="138"/>
      <c r="Z1741" s="105"/>
      <c r="AA1741" s="105"/>
      <c r="AB1741" s="105"/>
      <c r="AC1741" s="105"/>
      <c r="AD1741" s="144">
        <v>46174</v>
      </c>
      <c r="AE1741" s="108" t="s">
        <v>12127</v>
      </c>
    </row>
    <row r="1742" spans="1:31" ht="27" customHeight="1" x14ac:dyDescent="0.15">
      <c r="A1742" s="228">
        <v>1110400924</v>
      </c>
      <c r="B1742" s="130" t="s">
        <v>2619</v>
      </c>
      <c r="C1742" s="130" t="s">
        <v>2620</v>
      </c>
      <c r="D1742" s="108" t="s">
        <v>69</v>
      </c>
      <c r="E1742" s="130" t="s">
        <v>2657</v>
      </c>
      <c r="F1742" s="131" t="s">
        <v>2658</v>
      </c>
      <c r="G1742" s="132" t="s">
        <v>2659</v>
      </c>
      <c r="H1742" s="132" t="s">
        <v>2660</v>
      </c>
      <c r="I1742" s="133"/>
      <c r="J1742" s="134"/>
      <c r="K1742" s="134" t="s">
        <v>456</v>
      </c>
      <c r="L1742" s="134"/>
      <c r="M1742" s="134"/>
      <c r="N1742" s="135"/>
      <c r="O1742" s="136"/>
      <c r="P1742" s="132"/>
      <c r="Q1742" s="152" t="s">
        <v>49</v>
      </c>
      <c r="R1742" s="248">
        <v>3</v>
      </c>
      <c r="S1742" s="132"/>
      <c r="T1742" s="132"/>
      <c r="U1742" s="132"/>
      <c r="V1742" s="152"/>
      <c r="W1742" s="248"/>
      <c r="X1742" s="152"/>
      <c r="Y1742" s="136"/>
      <c r="Z1742" s="132"/>
      <c r="AA1742" s="132"/>
      <c r="AB1742" s="132"/>
      <c r="AC1742" s="132"/>
      <c r="AD1742" s="239">
        <v>41365</v>
      </c>
      <c r="AE1742" s="273" t="s">
        <v>6158</v>
      </c>
    </row>
    <row r="1743" spans="1:31" ht="27" customHeight="1" x14ac:dyDescent="0.15">
      <c r="A1743" s="228">
        <v>1110401112</v>
      </c>
      <c r="B1743" s="130" t="s">
        <v>2739</v>
      </c>
      <c r="C1743" s="130" t="s">
        <v>2735</v>
      </c>
      <c r="D1743" s="108" t="s">
        <v>69</v>
      </c>
      <c r="E1743" s="130" t="s">
        <v>2740</v>
      </c>
      <c r="F1743" s="131" t="s">
        <v>2736</v>
      </c>
      <c r="G1743" s="132" t="s">
        <v>2737</v>
      </c>
      <c r="H1743" s="132" t="s">
        <v>2737</v>
      </c>
      <c r="I1743" s="133" t="s">
        <v>6100</v>
      </c>
      <c r="J1743" s="134" t="s">
        <v>6101</v>
      </c>
      <c r="K1743" s="134" t="s">
        <v>6102</v>
      </c>
      <c r="L1743" s="134" t="s">
        <v>6103</v>
      </c>
      <c r="M1743" s="134" t="s">
        <v>6104</v>
      </c>
      <c r="N1743" s="135" t="s">
        <v>6105</v>
      </c>
      <c r="O1743" s="136" t="s">
        <v>6106</v>
      </c>
      <c r="P1743" s="132"/>
      <c r="Q1743" s="307"/>
      <c r="R1743" s="248">
        <v>1</v>
      </c>
      <c r="S1743" s="132"/>
      <c r="T1743" s="132"/>
      <c r="U1743" s="132"/>
      <c r="V1743" s="152"/>
      <c r="W1743" s="248"/>
      <c r="X1743" s="152"/>
      <c r="Y1743" s="136"/>
      <c r="Z1743" s="132"/>
      <c r="AA1743" s="132"/>
      <c r="AB1743" s="132"/>
      <c r="AC1743" s="132"/>
      <c r="AD1743" s="239">
        <v>41974</v>
      </c>
      <c r="AE1743" s="273" t="s">
        <v>2738</v>
      </c>
    </row>
    <row r="1744" spans="1:31" ht="27" customHeight="1" x14ac:dyDescent="0.15">
      <c r="A1744" s="105">
        <v>1110401575</v>
      </c>
      <c r="B1744" s="106" t="s">
        <v>6266</v>
      </c>
      <c r="C1744" s="107" t="s">
        <v>6267</v>
      </c>
      <c r="D1744" s="108" t="s">
        <v>3847</v>
      </c>
      <c r="E1744" s="108" t="s">
        <v>9814</v>
      </c>
      <c r="F1744" s="139" t="s">
        <v>6110</v>
      </c>
      <c r="G1744" s="140" t="s">
        <v>6268</v>
      </c>
      <c r="H1744" s="140" t="s">
        <v>6269</v>
      </c>
      <c r="I1744" s="116" t="s">
        <v>6123</v>
      </c>
      <c r="J1744" s="154" t="s">
        <v>6101</v>
      </c>
      <c r="K1744" s="154" t="s">
        <v>6124</v>
      </c>
      <c r="L1744" s="154" t="s">
        <v>6125</v>
      </c>
      <c r="M1744" s="154" t="s">
        <v>6104</v>
      </c>
      <c r="N1744" s="143" t="s">
        <v>6105</v>
      </c>
      <c r="O1744" s="138" t="s">
        <v>6106</v>
      </c>
      <c r="P1744" s="132"/>
      <c r="Q1744" s="137" t="s">
        <v>765</v>
      </c>
      <c r="R1744" s="248">
        <v>1</v>
      </c>
      <c r="S1744" s="132"/>
      <c r="T1744" s="132"/>
      <c r="U1744" s="132"/>
      <c r="V1744" s="152"/>
      <c r="W1744" s="248"/>
      <c r="X1744" s="152"/>
      <c r="Y1744" s="136"/>
      <c r="Z1744" s="132"/>
      <c r="AA1744" s="132"/>
      <c r="AB1744" s="157"/>
      <c r="AC1744" s="157"/>
      <c r="AD1744" s="144">
        <v>43405</v>
      </c>
      <c r="AE1744" s="108" t="s">
        <v>6270</v>
      </c>
    </row>
    <row r="1745" spans="1:31" ht="27" customHeight="1" x14ac:dyDescent="0.15">
      <c r="A1745" s="105">
        <v>1110401591</v>
      </c>
      <c r="B1745" s="106" t="s">
        <v>5320</v>
      </c>
      <c r="C1745" s="107" t="s">
        <v>4837</v>
      </c>
      <c r="D1745" s="108" t="s">
        <v>3847</v>
      </c>
      <c r="E1745" s="108" t="s">
        <v>9815</v>
      </c>
      <c r="F1745" s="139" t="s">
        <v>4838</v>
      </c>
      <c r="G1745" s="140" t="s">
        <v>4872</v>
      </c>
      <c r="H1745" s="140" t="s">
        <v>4874</v>
      </c>
      <c r="I1745" s="141"/>
      <c r="J1745" s="142"/>
      <c r="K1745" s="142"/>
      <c r="L1745" s="142"/>
      <c r="M1745" s="142" t="s">
        <v>49</v>
      </c>
      <c r="N1745" s="143"/>
      <c r="O1745" s="138"/>
      <c r="P1745" s="105"/>
      <c r="Q1745" s="141" t="s">
        <v>4839</v>
      </c>
      <c r="R1745" s="248">
        <v>1</v>
      </c>
      <c r="S1745" s="105"/>
      <c r="T1745" s="105"/>
      <c r="U1745" s="105"/>
      <c r="V1745" s="137"/>
      <c r="W1745" s="138"/>
      <c r="X1745" s="137"/>
      <c r="Y1745" s="138"/>
      <c r="Z1745" s="105"/>
      <c r="AA1745" s="105"/>
      <c r="AB1745" s="144"/>
      <c r="AC1745" s="144"/>
      <c r="AD1745" s="144">
        <v>43466</v>
      </c>
      <c r="AE1745" s="108" t="s">
        <v>4840</v>
      </c>
    </row>
    <row r="1746" spans="1:31" ht="27" customHeight="1" x14ac:dyDescent="0.15">
      <c r="A1746" s="105">
        <v>1110401724</v>
      </c>
      <c r="B1746" s="106" t="s">
        <v>11998</v>
      </c>
      <c r="C1746" s="107" t="s">
        <v>11102</v>
      </c>
      <c r="D1746" s="108" t="s">
        <v>11090</v>
      </c>
      <c r="E1746" s="108" t="s">
        <v>11103</v>
      </c>
      <c r="F1746" s="139" t="s">
        <v>8694</v>
      </c>
      <c r="G1746" s="140" t="s">
        <v>11104</v>
      </c>
      <c r="H1746" s="140" t="s">
        <v>11104</v>
      </c>
      <c r="I1746" s="141"/>
      <c r="J1746" s="142"/>
      <c r="K1746" s="142"/>
      <c r="L1746" s="142"/>
      <c r="M1746" s="142" t="s">
        <v>10982</v>
      </c>
      <c r="N1746" s="143"/>
      <c r="O1746" s="138"/>
      <c r="P1746" s="105"/>
      <c r="Q1746" s="159"/>
      <c r="R1746" s="248">
        <v>4</v>
      </c>
      <c r="S1746" s="105"/>
      <c r="T1746" s="105"/>
      <c r="U1746" s="105"/>
      <c r="V1746" s="137"/>
      <c r="W1746" s="117"/>
      <c r="X1746" s="137"/>
      <c r="Y1746" s="138"/>
      <c r="Z1746" s="105"/>
      <c r="AA1746" s="105"/>
      <c r="AB1746" s="144"/>
      <c r="AC1746" s="144"/>
      <c r="AD1746" s="144">
        <v>46054</v>
      </c>
      <c r="AE1746" s="108" t="s">
        <v>11105</v>
      </c>
    </row>
    <row r="1747" spans="1:31" ht="27" customHeight="1" x14ac:dyDescent="0.15">
      <c r="A1747" s="105">
        <v>1110401856</v>
      </c>
      <c r="B1747" s="106" t="s">
        <v>6666</v>
      </c>
      <c r="C1747" s="107" t="s">
        <v>6667</v>
      </c>
      <c r="D1747" s="157" t="s">
        <v>3847</v>
      </c>
      <c r="E1747" s="108" t="s">
        <v>6668</v>
      </c>
      <c r="F1747" s="139" t="s">
        <v>2916</v>
      </c>
      <c r="G1747" s="140" t="s">
        <v>6669</v>
      </c>
      <c r="H1747" s="140" t="s">
        <v>6670</v>
      </c>
      <c r="I1747" s="141"/>
      <c r="J1747" s="142"/>
      <c r="K1747" s="142"/>
      <c r="L1747" s="142"/>
      <c r="M1747" s="142" t="s">
        <v>765</v>
      </c>
      <c r="N1747" s="143" t="s">
        <v>765</v>
      </c>
      <c r="O1747" s="138"/>
      <c r="P1747" s="105"/>
      <c r="Q1747" s="137"/>
      <c r="R1747" s="138">
        <v>2</v>
      </c>
      <c r="S1747" s="105"/>
      <c r="T1747" s="105"/>
      <c r="U1747" s="105"/>
      <c r="V1747" s="116"/>
      <c r="W1747" s="117"/>
      <c r="X1747" s="116"/>
      <c r="Y1747" s="138"/>
      <c r="Z1747" s="105"/>
      <c r="AA1747" s="105"/>
      <c r="AB1747" s="105"/>
      <c r="AC1747" s="105"/>
      <c r="AD1747" s="144">
        <v>44287</v>
      </c>
      <c r="AE1747" s="108" t="s">
        <v>6671</v>
      </c>
    </row>
    <row r="1748" spans="1:31" ht="27" customHeight="1" x14ac:dyDescent="0.15">
      <c r="A1748" s="105">
        <v>1110401898</v>
      </c>
      <c r="B1748" s="106" t="s">
        <v>11939</v>
      </c>
      <c r="C1748" s="107" t="s">
        <v>6673</v>
      </c>
      <c r="D1748" s="157" t="s">
        <v>3847</v>
      </c>
      <c r="E1748" s="108" t="s">
        <v>6674</v>
      </c>
      <c r="F1748" s="139" t="s">
        <v>6675</v>
      </c>
      <c r="G1748" s="140" t="s">
        <v>6676</v>
      </c>
      <c r="H1748" s="140" t="s">
        <v>6677</v>
      </c>
      <c r="I1748" s="141" t="s">
        <v>765</v>
      </c>
      <c r="J1748" s="142" t="s">
        <v>765</v>
      </c>
      <c r="K1748" s="142" t="s">
        <v>765</v>
      </c>
      <c r="L1748" s="142" t="s">
        <v>765</v>
      </c>
      <c r="M1748" s="142" t="s">
        <v>765</v>
      </c>
      <c r="N1748" s="143" t="s">
        <v>765</v>
      </c>
      <c r="O1748" s="138" t="s">
        <v>765</v>
      </c>
      <c r="P1748" s="105"/>
      <c r="Q1748" s="137"/>
      <c r="R1748" s="138">
        <v>7</v>
      </c>
      <c r="S1748" s="105"/>
      <c r="T1748" s="105"/>
      <c r="U1748" s="105"/>
      <c r="V1748" s="116"/>
      <c r="W1748" s="117"/>
      <c r="X1748" s="137"/>
      <c r="Y1748" s="138"/>
      <c r="Z1748" s="105"/>
      <c r="AA1748" s="105"/>
      <c r="AB1748" s="105"/>
      <c r="AC1748" s="105"/>
      <c r="AD1748" s="144">
        <v>44287</v>
      </c>
      <c r="AE1748" s="108" t="s">
        <v>6678</v>
      </c>
    </row>
    <row r="1749" spans="1:31" s="65" customFormat="1" ht="27" customHeight="1" x14ac:dyDescent="0.15">
      <c r="A1749" s="105">
        <v>1110401914</v>
      </c>
      <c r="B1749" s="106" t="s">
        <v>440</v>
      </c>
      <c r="C1749" s="107" t="s">
        <v>6685</v>
      </c>
      <c r="D1749" s="108" t="s">
        <v>3847</v>
      </c>
      <c r="E1749" s="108" t="s">
        <v>6680</v>
      </c>
      <c r="F1749" s="139" t="s">
        <v>6681</v>
      </c>
      <c r="G1749" s="140" t="s">
        <v>6682</v>
      </c>
      <c r="H1749" s="140" t="s">
        <v>6683</v>
      </c>
      <c r="I1749" s="141" t="s">
        <v>765</v>
      </c>
      <c r="J1749" s="142" t="s">
        <v>765</v>
      </c>
      <c r="K1749" s="142" t="s">
        <v>765</v>
      </c>
      <c r="L1749" s="142" t="s">
        <v>765</v>
      </c>
      <c r="M1749" s="142" t="s">
        <v>765</v>
      </c>
      <c r="N1749" s="143" t="s">
        <v>765</v>
      </c>
      <c r="O1749" s="138" t="s">
        <v>765</v>
      </c>
      <c r="P1749" s="105"/>
      <c r="Q1749" s="137"/>
      <c r="R1749" s="138">
        <v>6</v>
      </c>
      <c r="S1749" s="105"/>
      <c r="T1749" s="105"/>
      <c r="U1749" s="105"/>
      <c r="V1749" s="137"/>
      <c r="W1749" s="138"/>
      <c r="X1749" s="137"/>
      <c r="Y1749" s="138"/>
      <c r="Z1749" s="105"/>
      <c r="AA1749" s="105"/>
      <c r="AB1749" s="105"/>
      <c r="AC1749" s="105"/>
      <c r="AD1749" s="144">
        <v>44287</v>
      </c>
      <c r="AE1749" s="108" t="s">
        <v>6684</v>
      </c>
    </row>
    <row r="1750" spans="1:31" s="482" customFormat="1" ht="26.1" customHeight="1" x14ac:dyDescent="0.15">
      <c r="A1750" s="105">
        <v>1110401971</v>
      </c>
      <c r="B1750" s="106" t="s">
        <v>11910</v>
      </c>
      <c r="C1750" s="188" t="s">
        <v>8347</v>
      </c>
      <c r="D1750" s="108" t="s">
        <v>8175</v>
      </c>
      <c r="E1750" s="189" t="s">
        <v>8348</v>
      </c>
      <c r="F1750" s="139" t="s">
        <v>8349</v>
      </c>
      <c r="G1750" s="140" t="s">
        <v>8350</v>
      </c>
      <c r="H1750" s="140" t="s">
        <v>8351</v>
      </c>
      <c r="I1750" s="141" t="s">
        <v>765</v>
      </c>
      <c r="J1750" s="142" t="s">
        <v>765</v>
      </c>
      <c r="K1750" s="142" t="s">
        <v>765</v>
      </c>
      <c r="L1750" s="142" t="s">
        <v>765</v>
      </c>
      <c r="M1750" s="142" t="s">
        <v>765</v>
      </c>
      <c r="N1750" s="143" t="s">
        <v>765</v>
      </c>
      <c r="O1750" s="138" t="s">
        <v>765</v>
      </c>
      <c r="P1750" s="105"/>
      <c r="Q1750" s="137"/>
      <c r="R1750" s="138">
        <v>3</v>
      </c>
      <c r="S1750" s="105"/>
      <c r="T1750" s="105"/>
      <c r="U1750" s="105"/>
      <c r="V1750" s="137"/>
      <c r="W1750" s="138"/>
      <c r="X1750" s="137"/>
      <c r="Y1750" s="138"/>
      <c r="Z1750" s="105"/>
      <c r="AA1750" s="105"/>
      <c r="AB1750" s="105"/>
      <c r="AC1750" s="105"/>
      <c r="AD1750" s="155">
        <v>44470</v>
      </c>
      <c r="AE1750" s="108" t="s">
        <v>8352</v>
      </c>
    </row>
    <row r="1751" spans="1:31" customFormat="1" ht="26.1" customHeight="1" x14ac:dyDescent="0.15">
      <c r="A1751" s="105">
        <v>1110402102</v>
      </c>
      <c r="B1751" s="130" t="s">
        <v>11910</v>
      </c>
      <c r="C1751" s="188" t="s">
        <v>8353</v>
      </c>
      <c r="D1751" s="108" t="s">
        <v>8175</v>
      </c>
      <c r="E1751" s="189" t="s">
        <v>8354</v>
      </c>
      <c r="F1751" s="139" t="s">
        <v>6672</v>
      </c>
      <c r="G1751" s="140" t="s">
        <v>8355</v>
      </c>
      <c r="H1751" s="140" t="s">
        <v>8356</v>
      </c>
      <c r="I1751" s="141" t="s">
        <v>4839</v>
      </c>
      <c r="J1751" s="142" t="s">
        <v>4839</v>
      </c>
      <c r="K1751" s="142" t="s">
        <v>765</v>
      </c>
      <c r="L1751" s="142" t="s">
        <v>765</v>
      </c>
      <c r="M1751" s="142" t="s">
        <v>765</v>
      </c>
      <c r="N1751" s="143" t="s">
        <v>765</v>
      </c>
      <c r="O1751" s="138" t="s">
        <v>765</v>
      </c>
      <c r="P1751" s="105"/>
      <c r="Q1751" s="137"/>
      <c r="R1751" s="138">
        <v>2</v>
      </c>
      <c r="S1751" s="105"/>
      <c r="T1751" s="105"/>
      <c r="U1751" s="105"/>
      <c r="V1751" s="137"/>
      <c r="W1751" s="138"/>
      <c r="X1751" s="137"/>
      <c r="Y1751" s="138"/>
      <c r="Z1751" s="105"/>
      <c r="AA1751" s="105"/>
      <c r="AB1751" s="105"/>
      <c r="AC1751" s="105"/>
      <c r="AD1751" s="155">
        <v>44896</v>
      </c>
      <c r="AE1751" s="108" t="s">
        <v>8357</v>
      </c>
    </row>
    <row r="1752" spans="1:31" customFormat="1" ht="26.1" customHeight="1" x14ac:dyDescent="0.15">
      <c r="A1752" s="76">
        <v>1110402359</v>
      </c>
      <c r="B1752" s="163" t="s">
        <v>11911</v>
      </c>
      <c r="C1752" s="199" t="s">
        <v>9745</v>
      </c>
      <c r="D1752" s="166" t="s">
        <v>9746</v>
      </c>
      <c r="E1752" s="193" t="s">
        <v>9747</v>
      </c>
      <c r="F1752" s="167" t="s">
        <v>9748</v>
      </c>
      <c r="G1752" s="168" t="s">
        <v>9749</v>
      </c>
      <c r="H1752" s="168" t="s">
        <v>9750</v>
      </c>
      <c r="I1752" s="141" t="s">
        <v>9751</v>
      </c>
      <c r="J1752" s="142" t="s">
        <v>9751</v>
      </c>
      <c r="K1752" s="142" t="s">
        <v>9751</v>
      </c>
      <c r="L1752" s="142" t="s">
        <v>9751</v>
      </c>
      <c r="M1752" s="142" t="s">
        <v>9751</v>
      </c>
      <c r="N1752" s="143" t="s">
        <v>9751</v>
      </c>
      <c r="O1752" s="138"/>
      <c r="P1752" s="483"/>
      <c r="Q1752" s="484"/>
      <c r="R1752" s="92">
        <v>2</v>
      </c>
      <c r="S1752" s="483"/>
      <c r="T1752" s="76"/>
      <c r="U1752" s="483"/>
      <c r="V1752" s="484"/>
      <c r="W1752" s="485"/>
      <c r="X1752" s="484"/>
      <c r="Y1752" s="485"/>
      <c r="Z1752" s="76"/>
      <c r="AA1752" s="483"/>
      <c r="AB1752" s="483"/>
      <c r="AC1752" s="483"/>
      <c r="AD1752" s="146">
        <v>45627</v>
      </c>
      <c r="AE1752" s="166" t="s">
        <v>9752</v>
      </c>
    </row>
    <row r="1753" spans="1:31" s="65" customFormat="1" ht="27" customHeight="1" x14ac:dyDescent="0.15">
      <c r="A1753" s="76">
        <v>1110402367</v>
      </c>
      <c r="B1753" s="147" t="s">
        <v>11911</v>
      </c>
      <c r="C1753" s="164" t="s">
        <v>9753</v>
      </c>
      <c r="D1753" s="166" t="s">
        <v>9746</v>
      </c>
      <c r="E1753" s="166" t="s">
        <v>9754</v>
      </c>
      <c r="F1753" s="167" t="s">
        <v>9755</v>
      </c>
      <c r="G1753" s="168" t="s">
        <v>9756</v>
      </c>
      <c r="H1753" s="168" t="s">
        <v>9757</v>
      </c>
      <c r="I1753" s="141" t="s">
        <v>49</v>
      </c>
      <c r="J1753" s="142" t="s">
        <v>49</v>
      </c>
      <c r="K1753" s="142" t="s">
        <v>9751</v>
      </c>
      <c r="L1753" s="142" t="s">
        <v>9751</v>
      </c>
      <c r="M1753" s="142" t="s">
        <v>9751</v>
      </c>
      <c r="N1753" s="143" t="s">
        <v>9751</v>
      </c>
      <c r="O1753" s="138"/>
      <c r="P1753" s="76"/>
      <c r="Q1753" s="70"/>
      <c r="R1753" s="92">
        <v>2</v>
      </c>
      <c r="S1753" s="76"/>
      <c r="T1753" s="76"/>
      <c r="U1753" s="76"/>
      <c r="V1753" s="70"/>
      <c r="W1753" s="92"/>
      <c r="X1753" s="70"/>
      <c r="Y1753" s="92"/>
      <c r="Z1753" s="76"/>
      <c r="AA1753" s="76"/>
      <c r="AB1753" s="76"/>
      <c r="AC1753" s="76"/>
      <c r="AD1753" s="146">
        <v>45627</v>
      </c>
      <c r="AE1753" s="166" t="s">
        <v>9758</v>
      </c>
    </row>
    <row r="1754" spans="1:31" s="65" customFormat="1" ht="27" customHeight="1" x14ac:dyDescent="0.15">
      <c r="A1754" s="81">
        <v>1110402565</v>
      </c>
      <c r="B1754" s="147" t="s">
        <v>10679</v>
      </c>
      <c r="C1754" s="375" t="s">
        <v>10680</v>
      </c>
      <c r="D1754" s="84" t="s">
        <v>10669</v>
      </c>
      <c r="E1754" s="84" t="s">
        <v>10681</v>
      </c>
      <c r="F1754" s="298" t="s">
        <v>2924</v>
      </c>
      <c r="G1754" s="376" t="s">
        <v>10684</v>
      </c>
      <c r="H1754" s="376" t="s">
        <v>10682</v>
      </c>
      <c r="I1754" s="141" t="s">
        <v>49</v>
      </c>
      <c r="J1754" s="142" t="s">
        <v>49</v>
      </c>
      <c r="K1754" s="142" t="s">
        <v>49</v>
      </c>
      <c r="L1754" s="142" t="s">
        <v>49</v>
      </c>
      <c r="M1754" s="142" t="s">
        <v>49</v>
      </c>
      <c r="N1754" s="486"/>
      <c r="O1754" s="92" t="s">
        <v>765</v>
      </c>
      <c r="P1754" s="76"/>
      <c r="Q1754" s="70"/>
      <c r="R1754" s="92">
        <v>5</v>
      </c>
      <c r="S1754" s="76"/>
      <c r="T1754" s="76"/>
      <c r="U1754" s="76"/>
      <c r="V1754" s="70"/>
      <c r="W1754" s="92"/>
      <c r="X1754" s="70"/>
      <c r="Y1754" s="92"/>
      <c r="Z1754" s="76"/>
      <c r="AA1754" s="76"/>
      <c r="AB1754" s="76"/>
      <c r="AC1754" s="76"/>
      <c r="AD1754" s="146">
        <v>45901</v>
      </c>
      <c r="AE1754" s="166" t="s">
        <v>10683</v>
      </c>
    </row>
    <row r="1755" spans="1:31" s="65" customFormat="1" ht="27" customHeight="1" x14ac:dyDescent="0.15">
      <c r="A1755" s="81">
        <v>1110402672</v>
      </c>
      <c r="B1755" s="67" t="s">
        <v>11912</v>
      </c>
      <c r="C1755" s="375" t="s">
        <v>11300</v>
      </c>
      <c r="D1755" s="84" t="s">
        <v>9860</v>
      </c>
      <c r="E1755" s="84" t="s">
        <v>11305</v>
      </c>
      <c r="F1755" s="298" t="s">
        <v>11301</v>
      </c>
      <c r="G1755" s="376" t="s">
        <v>11302</v>
      </c>
      <c r="H1755" s="376" t="s">
        <v>11303</v>
      </c>
      <c r="I1755" s="141" t="s">
        <v>49</v>
      </c>
      <c r="J1755" s="142" t="s">
        <v>49</v>
      </c>
      <c r="K1755" s="142" t="s">
        <v>49</v>
      </c>
      <c r="L1755" s="142" t="s">
        <v>49</v>
      </c>
      <c r="M1755" s="142" t="s">
        <v>49</v>
      </c>
      <c r="N1755" s="486" t="s">
        <v>11304</v>
      </c>
      <c r="O1755" s="92"/>
      <c r="P1755" s="76"/>
      <c r="Q1755" s="70">
        <v>2</v>
      </c>
      <c r="R1755" s="92"/>
      <c r="S1755" s="76"/>
      <c r="T1755" s="76"/>
      <c r="U1755" s="76"/>
      <c r="V1755" s="70"/>
      <c r="W1755" s="92"/>
      <c r="X1755" s="70"/>
      <c r="Y1755" s="92"/>
      <c r="Z1755" s="76"/>
      <c r="AA1755" s="76"/>
      <c r="AB1755" s="76"/>
      <c r="AC1755" s="76"/>
      <c r="AD1755" s="146">
        <v>46113</v>
      </c>
      <c r="AE1755" s="166"/>
    </row>
    <row r="1756" spans="1:31" s="65" customFormat="1" ht="27" customHeight="1" x14ac:dyDescent="0.15">
      <c r="A1756" s="81">
        <v>1110402722</v>
      </c>
      <c r="B1756" s="147" t="s">
        <v>12228</v>
      </c>
      <c r="C1756" s="375" t="s">
        <v>12231</v>
      </c>
      <c r="D1756" s="84" t="s">
        <v>9860</v>
      </c>
      <c r="E1756" s="84" t="s">
        <v>12232</v>
      </c>
      <c r="F1756" s="298" t="s">
        <v>9748</v>
      </c>
      <c r="G1756" s="376" t="s">
        <v>12233</v>
      </c>
      <c r="H1756" s="376"/>
      <c r="I1756" s="141"/>
      <c r="J1756" s="142"/>
      <c r="K1756" s="142"/>
      <c r="L1756" s="142"/>
      <c r="M1756" s="142" t="s">
        <v>49</v>
      </c>
      <c r="N1756" s="486" t="s">
        <v>49</v>
      </c>
      <c r="O1756" s="92"/>
      <c r="P1756" s="76"/>
      <c r="Q1756" s="70" t="s">
        <v>12229</v>
      </c>
      <c r="R1756" s="92"/>
      <c r="S1756" s="76"/>
      <c r="T1756" s="76"/>
      <c r="U1756" s="76"/>
      <c r="V1756" s="70"/>
      <c r="W1756" s="92"/>
      <c r="X1756" s="70"/>
      <c r="Y1756" s="92"/>
      <c r="Z1756" s="76"/>
      <c r="AA1756" s="76"/>
      <c r="AB1756" s="76"/>
      <c r="AC1756" s="76"/>
      <c r="AD1756" s="146">
        <v>46204</v>
      </c>
      <c r="AE1756" s="518" t="s">
        <v>12230</v>
      </c>
    </row>
    <row r="1757" spans="1:31" s="65" customFormat="1" ht="27" customHeight="1" x14ac:dyDescent="0.15">
      <c r="A1757" s="81">
        <v>1110402730</v>
      </c>
      <c r="B1757" s="147" t="s">
        <v>12234</v>
      </c>
      <c r="C1757" s="375" t="s">
        <v>12236</v>
      </c>
      <c r="D1757" s="84" t="s">
        <v>9860</v>
      </c>
      <c r="E1757" s="84" t="s">
        <v>12237</v>
      </c>
      <c r="F1757" s="298" t="s">
        <v>12238</v>
      </c>
      <c r="G1757" s="376" t="s">
        <v>12239</v>
      </c>
      <c r="H1757" s="376"/>
      <c r="I1757" s="141"/>
      <c r="J1757" s="142"/>
      <c r="K1757" s="142"/>
      <c r="L1757" s="142"/>
      <c r="M1757" s="142" t="s">
        <v>49</v>
      </c>
      <c r="N1757" s="486" t="s">
        <v>49</v>
      </c>
      <c r="O1757" s="92"/>
      <c r="P1757" s="76"/>
      <c r="Q1757" s="70"/>
      <c r="R1757" s="92">
        <v>3</v>
      </c>
      <c r="S1757" s="76"/>
      <c r="T1757" s="76"/>
      <c r="U1757" s="76"/>
      <c r="V1757" s="70"/>
      <c r="W1757" s="92"/>
      <c r="X1757" s="70"/>
      <c r="Y1757" s="92"/>
      <c r="Z1757" s="76"/>
      <c r="AA1757" s="76"/>
      <c r="AB1757" s="76"/>
      <c r="AC1757" s="76"/>
      <c r="AD1757" s="365">
        <v>46204</v>
      </c>
      <c r="AE1757" s="518" t="s">
        <v>12235</v>
      </c>
    </row>
    <row r="1758" spans="1:31" s="302" customFormat="1" ht="27" customHeight="1" x14ac:dyDescent="0.15">
      <c r="A1758" s="203">
        <v>1110566922</v>
      </c>
      <c r="B1758" s="204" t="s">
        <v>8798</v>
      </c>
      <c r="C1758" s="162" t="s">
        <v>8799</v>
      </c>
      <c r="D1758" s="162" t="s">
        <v>70</v>
      </c>
      <c r="E1758" s="162" t="s">
        <v>8800</v>
      </c>
      <c r="F1758" s="205" t="s">
        <v>8801</v>
      </c>
      <c r="G1758" s="206" t="s">
        <v>8802</v>
      </c>
      <c r="H1758" s="206" t="s">
        <v>8803</v>
      </c>
      <c r="I1758" s="141"/>
      <c r="J1758" s="142"/>
      <c r="K1758" s="142"/>
      <c r="L1758" s="142"/>
      <c r="M1758" s="142" t="s">
        <v>395</v>
      </c>
      <c r="N1758" s="143"/>
      <c r="O1758" s="138"/>
      <c r="P1758" s="105"/>
      <c r="Q1758" s="137"/>
      <c r="R1758" s="138">
        <v>14</v>
      </c>
      <c r="S1758" s="105"/>
      <c r="T1758" s="105"/>
      <c r="U1758" s="105"/>
      <c r="V1758" s="137"/>
      <c r="W1758" s="138"/>
      <c r="X1758" s="137"/>
      <c r="Y1758" s="138"/>
      <c r="Z1758" s="105"/>
      <c r="AA1758" s="105"/>
      <c r="AB1758" s="105"/>
      <c r="AC1758" s="105"/>
      <c r="AD1758" s="155">
        <v>45261</v>
      </c>
      <c r="AE1758" s="108" t="s">
        <v>8804</v>
      </c>
    </row>
    <row r="1759" spans="1:31" ht="27" customHeight="1" x14ac:dyDescent="0.15">
      <c r="A1759" s="105">
        <v>1110601059</v>
      </c>
      <c r="B1759" s="280" t="s">
        <v>3058</v>
      </c>
      <c r="C1759" s="329" t="s">
        <v>3172</v>
      </c>
      <c r="D1759" s="108" t="s">
        <v>71</v>
      </c>
      <c r="E1759" s="108" t="s">
        <v>3173</v>
      </c>
      <c r="F1759" s="150" t="s">
        <v>3174</v>
      </c>
      <c r="G1759" s="132" t="s">
        <v>3175</v>
      </c>
      <c r="H1759" s="132" t="s">
        <v>3176</v>
      </c>
      <c r="I1759" s="141"/>
      <c r="J1759" s="142"/>
      <c r="K1759" s="142" t="s">
        <v>456</v>
      </c>
      <c r="L1759" s="142" t="s">
        <v>477</v>
      </c>
      <c r="M1759" s="142" t="s">
        <v>395</v>
      </c>
      <c r="N1759" s="143" t="s">
        <v>396</v>
      </c>
      <c r="O1759" s="138" t="s">
        <v>2178</v>
      </c>
      <c r="P1759" s="132"/>
      <c r="Q1759" s="152" t="s">
        <v>765</v>
      </c>
      <c r="R1759" s="248"/>
      <c r="S1759" s="132"/>
      <c r="T1759" s="132"/>
      <c r="U1759" s="132"/>
      <c r="V1759" s="152"/>
      <c r="W1759" s="248"/>
      <c r="X1759" s="152"/>
      <c r="Y1759" s="136"/>
      <c r="Z1759" s="132"/>
      <c r="AA1759" s="132"/>
      <c r="AB1759" s="132"/>
      <c r="AC1759" s="132"/>
      <c r="AD1759" s="487">
        <v>42217</v>
      </c>
      <c r="AE1759" s="273" t="s">
        <v>6159</v>
      </c>
    </row>
    <row r="1760" spans="1:31" ht="27" customHeight="1" x14ac:dyDescent="0.15">
      <c r="A1760" s="105">
        <v>1110601562</v>
      </c>
      <c r="B1760" s="130" t="s">
        <v>760</v>
      </c>
      <c r="C1760" s="108" t="s">
        <v>5905</v>
      </c>
      <c r="D1760" s="108" t="s">
        <v>71</v>
      </c>
      <c r="E1760" s="108" t="s">
        <v>5906</v>
      </c>
      <c r="F1760" s="131" t="s">
        <v>3174</v>
      </c>
      <c r="G1760" s="132" t="s">
        <v>5907</v>
      </c>
      <c r="H1760" s="152" t="s">
        <v>5908</v>
      </c>
      <c r="I1760" s="133"/>
      <c r="J1760" s="134"/>
      <c r="K1760" s="134"/>
      <c r="L1760" s="134" t="s">
        <v>477</v>
      </c>
      <c r="M1760" s="134" t="s">
        <v>395</v>
      </c>
      <c r="N1760" s="134" t="s">
        <v>396</v>
      </c>
      <c r="O1760" s="136" t="s">
        <v>2178</v>
      </c>
      <c r="P1760" s="117"/>
      <c r="Q1760" s="116"/>
      <c r="R1760" s="117">
        <v>3</v>
      </c>
      <c r="S1760" s="105"/>
      <c r="T1760" s="105"/>
      <c r="U1760" s="105"/>
      <c r="V1760" s="137"/>
      <c r="W1760" s="138"/>
      <c r="X1760" s="116"/>
      <c r="Y1760" s="117"/>
      <c r="Z1760" s="105"/>
      <c r="AA1760" s="105"/>
      <c r="AB1760" s="105"/>
      <c r="AC1760" s="105"/>
      <c r="AD1760" s="118">
        <v>43952</v>
      </c>
      <c r="AE1760" s="108" t="s">
        <v>5909</v>
      </c>
    </row>
    <row r="1761" spans="1:31" s="65" customFormat="1" ht="27" customHeight="1" x14ac:dyDescent="0.15">
      <c r="A1761" s="228">
        <v>1110601703</v>
      </c>
      <c r="B1761" s="130" t="s">
        <v>7016</v>
      </c>
      <c r="C1761" s="130" t="s">
        <v>7017</v>
      </c>
      <c r="D1761" s="108" t="s">
        <v>71</v>
      </c>
      <c r="E1761" s="130" t="s">
        <v>7018</v>
      </c>
      <c r="F1761" s="131" t="s">
        <v>7019</v>
      </c>
      <c r="G1761" s="132" t="s">
        <v>7020</v>
      </c>
      <c r="H1761" s="132"/>
      <c r="I1761" s="133"/>
      <c r="J1761" s="134"/>
      <c r="K1761" s="154" t="s">
        <v>456</v>
      </c>
      <c r="L1761" s="142"/>
      <c r="M1761" s="142" t="s">
        <v>395</v>
      </c>
      <c r="N1761" s="143" t="s">
        <v>396</v>
      </c>
      <c r="O1761" s="138"/>
      <c r="P1761" s="132"/>
      <c r="Q1761" s="272" t="s">
        <v>49</v>
      </c>
      <c r="R1761" s="248"/>
      <c r="S1761" s="132"/>
      <c r="T1761" s="132"/>
      <c r="U1761" s="132"/>
      <c r="V1761" s="152"/>
      <c r="W1761" s="248"/>
      <c r="X1761" s="152"/>
      <c r="Y1761" s="136"/>
      <c r="Z1761" s="132"/>
      <c r="AA1761" s="132"/>
      <c r="AB1761" s="132"/>
      <c r="AC1761" s="132"/>
      <c r="AD1761" s="239">
        <v>44440</v>
      </c>
      <c r="AE1761" s="273" t="s">
        <v>7021</v>
      </c>
    </row>
    <row r="1762" spans="1:31" ht="27" customHeight="1" x14ac:dyDescent="0.15">
      <c r="A1762" s="105">
        <v>1110601760</v>
      </c>
      <c r="B1762" s="130" t="s">
        <v>7529</v>
      </c>
      <c r="C1762" s="130" t="s">
        <v>7530</v>
      </c>
      <c r="D1762" s="108" t="s">
        <v>7531</v>
      </c>
      <c r="E1762" s="281" t="s">
        <v>7532</v>
      </c>
      <c r="F1762" s="132" t="s">
        <v>6184</v>
      </c>
      <c r="G1762" s="139" t="s">
        <v>7533</v>
      </c>
      <c r="H1762" s="139" t="s">
        <v>7534</v>
      </c>
      <c r="I1762" s="141" t="s">
        <v>391</v>
      </c>
      <c r="J1762" s="142" t="s">
        <v>392</v>
      </c>
      <c r="K1762" s="142" t="s">
        <v>393</v>
      </c>
      <c r="L1762" s="142" t="s">
        <v>394</v>
      </c>
      <c r="M1762" s="142" t="s">
        <v>395</v>
      </c>
      <c r="N1762" s="142" t="s">
        <v>396</v>
      </c>
      <c r="O1762" s="142"/>
      <c r="P1762" s="105"/>
      <c r="Q1762" s="137"/>
      <c r="R1762" s="138">
        <v>1</v>
      </c>
      <c r="S1762" s="105"/>
      <c r="T1762" s="105"/>
      <c r="U1762" s="105"/>
      <c r="V1762" s="137"/>
      <c r="W1762" s="138"/>
      <c r="X1762" s="137"/>
      <c r="Y1762" s="138"/>
      <c r="Z1762" s="105"/>
      <c r="AA1762" s="105"/>
      <c r="AB1762" s="105"/>
      <c r="AC1762" s="105"/>
      <c r="AD1762" s="155">
        <v>44682</v>
      </c>
      <c r="AE1762" s="108" t="s">
        <v>7535</v>
      </c>
    </row>
    <row r="1763" spans="1:31" s="65" customFormat="1" ht="27" customHeight="1" x14ac:dyDescent="0.15">
      <c r="A1763" s="105">
        <v>1110602032</v>
      </c>
      <c r="B1763" s="280" t="s">
        <v>5656</v>
      </c>
      <c r="C1763" s="329" t="s">
        <v>9664</v>
      </c>
      <c r="D1763" s="108" t="s">
        <v>71</v>
      </c>
      <c r="E1763" s="108" t="s">
        <v>5657</v>
      </c>
      <c r="F1763" s="150" t="s">
        <v>5658</v>
      </c>
      <c r="G1763" s="132" t="s">
        <v>5659</v>
      </c>
      <c r="H1763" s="132" t="s">
        <v>5660</v>
      </c>
      <c r="I1763" s="141"/>
      <c r="J1763" s="142"/>
      <c r="K1763" s="142"/>
      <c r="L1763" s="142" t="s">
        <v>1184</v>
      </c>
      <c r="M1763" s="142" t="s">
        <v>395</v>
      </c>
      <c r="N1763" s="143" t="s">
        <v>396</v>
      </c>
      <c r="O1763" s="138"/>
      <c r="P1763" s="132"/>
      <c r="Q1763" s="307"/>
      <c r="R1763" s="248">
        <v>1</v>
      </c>
      <c r="S1763" s="132"/>
      <c r="T1763" s="132"/>
      <c r="U1763" s="132"/>
      <c r="V1763" s="152"/>
      <c r="W1763" s="248"/>
      <c r="X1763" s="152"/>
      <c r="Y1763" s="136"/>
      <c r="Z1763" s="132"/>
      <c r="AA1763" s="132"/>
      <c r="AB1763" s="132"/>
      <c r="AC1763" s="132"/>
      <c r="AD1763" s="487">
        <v>43678</v>
      </c>
      <c r="AE1763" s="273" t="s">
        <v>5661</v>
      </c>
    </row>
    <row r="1764" spans="1:31" s="302" customFormat="1" ht="27" customHeight="1" x14ac:dyDescent="0.15">
      <c r="A1764" s="105">
        <v>1110602040</v>
      </c>
      <c r="B1764" s="280" t="s">
        <v>5656</v>
      </c>
      <c r="C1764" s="329" t="s">
        <v>9665</v>
      </c>
      <c r="D1764" s="108" t="s">
        <v>71</v>
      </c>
      <c r="E1764" s="108" t="s">
        <v>5662</v>
      </c>
      <c r="F1764" s="150" t="s">
        <v>5663</v>
      </c>
      <c r="G1764" s="132" t="s">
        <v>5664</v>
      </c>
      <c r="H1764" s="132" t="s">
        <v>5664</v>
      </c>
      <c r="I1764" s="141"/>
      <c r="J1764" s="142"/>
      <c r="K1764" s="142"/>
      <c r="L1764" s="142" t="s">
        <v>1184</v>
      </c>
      <c r="M1764" s="142" t="s">
        <v>395</v>
      </c>
      <c r="N1764" s="143" t="s">
        <v>396</v>
      </c>
      <c r="O1764" s="138"/>
      <c r="P1764" s="132"/>
      <c r="Q1764" s="307"/>
      <c r="R1764" s="248">
        <v>2</v>
      </c>
      <c r="S1764" s="132"/>
      <c r="T1764" s="132"/>
      <c r="U1764" s="132"/>
      <c r="V1764" s="152"/>
      <c r="W1764" s="248"/>
      <c r="X1764" s="152"/>
      <c r="Y1764" s="136"/>
      <c r="Z1764" s="132"/>
      <c r="AA1764" s="132"/>
      <c r="AB1764" s="132"/>
      <c r="AC1764" s="132"/>
      <c r="AD1764" s="487">
        <v>43862</v>
      </c>
      <c r="AE1764" s="273" t="s">
        <v>5665</v>
      </c>
    </row>
    <row r="1765" spans="1:31" s="302" customFormat="1" ht="27" customHeight="1" x14ac:dyDescent="0.15">
      <c r="A1765" s="175">
        <v>1110602057</v>
      </c>
      <c r="B1765" s="280" t="s">
        <v>5656</v>
      </c>
      <c r="C1765" s="204" t="s">
        <v>7678</v>
      </c>
      <c r="D1765" s="108" t="s">
        <v>7531</v>
      </c>
      <c r="E1765" s="281" t="s">
        <v>7679</v>
      </c>
      <c r="F1765" s="132" t="s">
        <v>7680</v>
      </c>
      <c r="G1765" s="139" t="s">
        <v>7681</v>
      </c>
      <c r="H1765" s="139" t="s">
        <v>7682</v>
      </c>
      <c r="I1765" s="141" t="s">
        <v>391</v>
      </c>
      <c r="J1765" s="142" t="s">
        <v>392</v>
      </c>
      <c r="K1765" s="142" t="s">
        <v>393</v>
      </c>
      <c r="L1765" s="142" t="s">
        <v>394</v>
      </c>
      <c r="M1765" s="142" t="s">
        <v>395</v>
      </c>
      <c r="N1765" s="142" t="s">
        <v>396</v>
      </c>
      <c r="O1765" s="142"/>
      <c r="P1765" s="105"/>
      <c r="Q1765" s="137"/>
      <c r="R1765" s="138">
        <v>2</v>
      </c>
      <c r="S1765" s="105"/>
      <c r="T1765" s="105"/>
      <c r="U1765" s="105"/>
      <c r="V1765" s="137"/>
      <c r="W1765" s="138"/>
      <c r="X1765" s="137"/>
      <c r="Y1765" s="138"/>
      <c r="Z1765" s="105"/>
      <c r="AA1765" s="105"/>
      <c r="AB1765" s="105"/>
      <c r="AC1765" s="105"/>
      <c r="AD1765" s="155">
        <v>44743</v>
      </c>
      <c r="AE1765" s="108" t="s">
        <v>7683</v>
      </c>
    </row>
    <row r="1766" spans="1:31" ht="27" customHeight="1" x14ac:dyDescent="0.15">
      <c r="A1766" s="105">
        <v>1110601877</v>
      </c>
      <c r="B1766" s="130" t="s">
        <v>8604</v>
      </c>
      <c r="C1766" s="130" t="s">
        <v>8605</v>
      </c>
      <c r="D1766" s="108" t="s">
        <v>71</v>
      </c>
      <c r="E1766" s="281" t="s">
        <v>8606</v>
      </c>
      <c r="F1766" s="132" t="s">
        <v>8607</v>
      </c>
      <c r="G1766" s="151" t="s">
        <v>12071</v>
      </c>
      <c r="H1766" s="151" t="s">
        <v>12072</v>
      </c>
      <c r="I1766" s="141"/>
      <c r="J1766" s="142"/>
      <c r="K1766" s="142"/>
      <c r="L1766" s="142"/>
      <c r="M1766" s="142" t="s">
        <v>395</v>
      </c>
      <c r="N1766" s="177" t="s">
        <v>396</v>
      </c>
      <c r="O1766" s="177"/>
      <c r="P1766" s="105"/>
      <c r="Q1766" s="137"/>
      <c r="R1766" s="138">
        <v>2</v>
      </c>
      <c r="S1766" s="105"/>
      <c r="T1766" s="105"/>
      <c r="U1766" s="105"/>
      <c r="V1766" s="137"/>
      <c r="W1766" s="138"/>
      <c r="X1766" s="137"/>
      <c r="Y1766" s="138"/>
      <c r="Z1766" s="105"/>
      <c r="AA1766" s="105"/>
      <c r="AB1766" s="105"/>
      <c r="AC1766" s="105"/>
      <c r="AD1766" s="155">
        <v>45108</v>
      </c>
      <c r="AE1766" s="108" t="s">
        <v>8608</v>
      </c>
    </row>
    <row r="1767" spans="1:31" s="302" customFormat="1" ht="27" customHeight="1" x14ac:dyDescent="0.15">
      <c r="A1767" s="105">
        <v>1110601968</v>
      </c>
      <c r="B1767" s="130" t="s">
        <v>10255</v>
      </c>
      <c r="C1767" s="130" t="s">
        <v>10256</v>
      </c>
      <c r="D1767" s="108" t="s">
        <v>71</v>
      </c>
      <c r="E1767" s="281" t="s">
        <v>10257</v>
      </c>
      <c r="F1767" s="132" t="s">
        <v>10258</v>
      </c>
      <c r="G1767" s="488" t="s">
        <v>10259</v>
      </c>
      <c r="H1767" s="488"/>
      <c r="I1767" s="141" t="s">
        <v>391</v>
      </c>
      <c r="J1767" s="142" t="s">
        <v>392</v>
      </c>
      <c r="K1767" s="142" t="s">
        <v>393</v>
      </c>
      <c r="L1767" s="142" t="s">
        <v>394</v>
      </c>
      <c r="M1767" s="142" t="s">
        <v>395</v>
      </c>
      <c r="N1767" s="177" t="s">
        <v>396</v>
      </c>
      <c r="O1767" s="177" t="s">
        <v>2178</v>
      </c>
      <c r="P1767" s="105"/>
      <c r="Q1767" s="137"/>
      <c r="R1767" s="138">
        <v>2</v>
      </c>
      <c r="S1767" s="105"/>
      <c r="T1767" s="105"/>
      <c r="U1767" s="105"/>
      <c r="V1767" s="137"/>
      <c r="W1767" s="138"/>
      <c r="X1767" s="137"/>
      <c r="Y1767" s="138"/>
      <c r="Z1767" s="105"/>
      <c r="AA1767" s="105"/>
      <c r="AB1767" s="105"/>
      <c r="AC1767" s="175"/>
      <c r="AD1767" s="211">
        <v>45413</v>
      </c>
      <c r="AE1767" s="108" t="s">
        <v>10260</v>
      </c>
    </row>
    <row r="1768" spans="1:31" s="65" customFormat="1" ht="27" customHeight="1" x14ac:dyDescent="0.15">
      <c r="A1768" s="132">
        <v>1110602081</v>
      </c>
      <c r="B1768" s="130" t="s">
        <v>9933</v>
      </c>
      <c r="C1768" s="108" t="s">
        <v>9934</v>
      </c>
      <c r="D1768" s="108" t="s">
        <v>71</v>
      </c>
      <c r="E1768" s="108" t="s">
        <v>8939</v>
      </c>
      <c r="F1768" s="264" t="s">
        <v>7713</v>
      </c>
      <c r="G1768" s="137" t="s">
        <v>9935</v>
      </c>
      <c r="H1768" s="137" t="s">
        <v>9936</v>
      </c>
      <c r="I1768" s="141" t="s">
        <v>391</v>
      </c>
      <c r="J1768" s="142" t="s">
        <v>392</v>
      </c>
      <c r="K1768" s="142" t="s">
        <v>393</v>
      </c>
      <c r="L1768" s="142" t="s">
        <v>394</v>
      </c>
      <c r="M1768" s="142" t="s">
        <v>395</v>
      </c>
      <c r="N1768" s="143" t="s">
        <v>396</v>
      </c>
      <c r="O1768" s="138"/>
      <c r="P1768" s="105"/>
      <c r="Q1768" s="137"/>
      <c r="R1768" s="138">
        <v>2</v>
      </c>
      <c r="S1768" s="105"/>
      <c r="T1768" s="105"/>
      <c r="U1768" s="105"/>
      <c r="V1768" s="137"/>
      <c r="W1768" s="138"/>
      <c r="X1768" s="137"/>
      <c r="Y1768" s="138"/>
      <c r="Z1768" s="105"/>
      <c r="AA1768" s="105"/>
      <c r="AB1768" s="105"/>
      <c r="AC1768" s="175"/>
      <c r="AD1768" s="227">
        <v>45261</v>
      </c>
      <c r="AE1768" s="108" t="s">
        <v>8940</v>
      </c>
    </row>
    <row r="1769" spans="1:31" s="65" customFormat="1" ht="27" customHeight="1" x14ac:dyDescent="0.15">
      <c r="A1769" s="132">
        <v>1110602099</v>
      </c>
      <c r="B1769" s="130" t="s">
        <v>9941</v>
      </c>
      <c r="C1769" s="108" t="s">
        <v>9942</v>
      </c>
      <c r="D1769" s="108" t="s">
        <v>7531</v>
      </c>
      <c r="E1769" s="108" t="s">
        <v>7872</v>
      </c>
      <c r="F1769" s="139" t="s">
        <v>5036</v>
      </c>
      <c r="G1769" s="140" t="s">
        <v>7873</v>
      </c>
      <c r="H1769" s="140" t="s">
        <v>7874</v>
      </c>
      <c r="I1769" s="141" t="s">
        <v>391</v>
      </c>
      <c r="J1769" s="142" t="s">
        <v>392</v>
      </c>
      <c r="K1769" s="142" t="s">
        <v>393</v>
      </c>
      <c r="L1769" s="142" t="s">
        <v>394</v>
      </c>
      <c r="M1769" s="142" t="s">
        <v>395</v>
      </c>
      <c r="N1769" s="143" t="s">
        <v>396</v>
      </c>
      <c r="O1769" s="138" t="s">
        <v>2178</v>
      </c>
      <c r="P1769" s="105"/>
      <c r="Q1769" s="137"/>
      <c r="R1769" s="138">
        <v>2</v>
      </c>
      <c r="S1769" s="105"/>
      <c r="T1769" s="105"/>
      <c r="U1769" s="105"/>
      <c r="V1769" s="137"/>
      <c r="W1769" s="138"/>
      <c r="X1769" s="137"/>
      <c r="Y1769" s="138"/>
      <c r="Z1769" s="105"/>
      <c r="AA1769" s="105"/>
      <c r="AB1769" s="105"/>
      <c r="AC1769" s="175"/>
      <c r="AD1769" s="227">
        <v>45717</v>
      </c>
      <c r="AE1769" s="108" t="s">
        <v>7875</v>
      </c>
    </row>
    <row r="1770" spans="1:31" ht="27" customHeight="1" x14ac:dyDescent="0.15">
      <c r="A1770" s="105">
        <v>1110602305</v>
      </c>
      <c r="B1770" s="130" t="s">
        <v>12156</v>
      </c>
      <c r="C1770" s="130" t="s">
        <v>12157</v>
      </c>
      <c r="D1770" s="108" t="s">
        <v>71</v>
      </c>
      <c r="E1770" s="281" t="s">
        <v>12158</v>
      </c>
      <c r="F1770" s="132" t="s">
        <v>6761</v>
      </c>
      <c r="G1770" s="139" t="s">
        <v>12159</v>
      </c>
      <c r="H1770" s="139"/>
      <c r="I1770" s="141"/>
      <c r="J1770" s="142"/>
      <c r="K1770" s="142"/>
      <c r="L1770" s="142"/>
      <c r="M1770" s="142" t="s">
        <v>395</v>
      </c>
      <c r="N1770" s="177" t="s">
        <v>396</v>
      </c>
      <c r="O1770" s="177" t="s">
        <v>456</v>
      </c>
      <c r="P1770" s="105"/>
      <c r="Q1770" s="137"/>
      <c r="R1770" s="138">
        <v>3</v>
      </c>
      <c r="S1770" s="105"/>
      <c r="T1770" s="105"/>
      <c r="U1770" s="105"/>
      <c r="V1770" s="137"/>
      <c r="W1770" s="138"/>
      <c r="X1770" s="137"/>
      <c r="Y1770" s="138"/>
      <c r="Z1770" s="105"/>
      <c r="AA1770" s="105"/>
      <c r="AB1770" s="105"/>
      <c r="AC1770" s="105"/>
      <c r="AD1770" s="118">
        <v>46174</v>
      </c>
      <c r="AE1770" s="108" t="s">
        <v>12160</v>
      </c>
    </row>
    <row r="1771" spans="1:31" ht="27" customHeight="1" x14ac:dyDescent="0.15">
      <c r="A1771" s="228">
        <v>1110800800</v>
      </c>
      <c r="B1771" s="130" t="s">
        <v>3233</v>
      </c>
      <c r="C1771" s="130" t="s">
        <v>2883</v>
      </c>
      <c r="D1771" s="108" t="s">
        <v>1869</v>
      </c>
      <c r="E1771" s="130" t="s">
        <v>2884</v>
      </c>
      <c r="F1771" s="131" t="s">
        <v>2885</v>
      </c>
      <c r="G1771" s="132" t="s">
        <v>2886</v>
      </c>
      <c r="H1771" s="132" t="s">
        <v>2886</v>
      </c>
      <c r="I1771" s="133"/>
      <c r="J1771" s="134"/>
      <c r="K1771" s="134" t="s">
        <v>456</v>
      </c>
      <c r="L1771" s="134" t="s">
        <v>477</v>
      </c>
      <c r="M1771" s="134" t="s">
        <v>395</v>
      </c>
      <c r="N1771" s="135" t="s">
        <v>396</v>
      </c>
      <c r="O1771" s="136" t="s">
        <v>2178</v>
      </c>
      <c r="P1771" s="132"/>
      <c r="Q1771" s="152" t="s">
        <v>765</v>
      </c>
      <c r="R1771" s="248"/>
      <c r="S1771" s="132"/>
      <c r="T1771" s="132"/>
      <c r="U1771" s="132"/>
      <c r="V1771" s="152"/>
      <c r="W1771" s="248"/>
      <c r="X1771" s="152"/>
      <c r="Y1771" s="136"/>
      <c r="Z1771" s="132"/>
      <c r="AA1771" s="132"/>
      <c r="AB1771" s="132"/>
      <c r="AC1771" s="132"/>
      <c r="AD1771" s="239">
        <v>42094</v>
      </c>
      <c r="AE1771" s="273" t="s">
        <v>2887</v>
      </c>
    </row>
    <row r="1772" spans="1:31" ht="27" customHeight="1" x14ac:dyDescent="0.15">
      <c r="A1772" s="105">
        <v>1110801170</v>
      </c>
      <c r="B1772" s="234" t="s">
        <v>3688</v>
      </c>
      <c r="C1772" s="234" t="s">
        <v>3683</v>
      </c>
      <c r="D1772" s="192" t="s">
        <v>2984</v>
      </c>
      <c r="E1772" s="192" t="s">
        <v>3684</v>
      </c>
      <c r="F1772" s="235" t="s">
        <v>3685</v>
      </c>
      <c r="G1772" s="235" t="s">
        <v>3686</v>
      </c>
      <c r="H1772" s="235" t="s">
        <v>3687</v>
      </c>
      <c r="I1772" s="237"/>
      <c r="J1772" s="238"/>
      <c r="K1772" s="238"/>
      <c r="L1772" s="238"/>
      <c r="M1772" s="238" t="s">
        <v>395</v>
      </c>
      <c r="N1772" s="252"/>
      <c r="O1772" s="251"/>
      <c r="P1772" s="132"/>
      <c r="Q1772" s="137" t="s">
        <v>765</v>
      </c>
      <c r="R1772" s="138"/>
      <c r="S1772" s="132"/>
      <c r="T1772" s="132"/>
      <c r="U1772" s="132"/>
      <c r="V1772" s="116"/>
      <c r="W1772" s="117"/>
      <c r="X1772" s="249"/>
      <c r="Y1772" s="136"/>
      <c r="Z1772" s="132"/>
      <c r="AA1772" s="132"/>
      <c r="AB1772" s="132"/>
      <c r="AC1772" s="132"/>
      <c r="AD1772" s="239">
        <v>42736</v>
      </c>
      <c r="AE1772" s="130" t="s">
        <v>3689</v>
      </c>
    </row>
    <row r="1773" spans="1:31" s="65" customFormat="1" ht="27" customHeight="1" x14ac:dyDescent="0.15">
      <c r="A1773" s="105">
        <v>1110801402</v>
      </c>
      <c r="B1773" s="130" t="s">
        <v>11999</v>
      </c>
      <c r="C1773" s="108" t="s">
        <v>6131</v>
      </c>
      <c r="D1773" s="108" t="s">
        <v>72</v>
      </c>
      <c r="E1773" s="108" t="s">
        <v>6132</v>
      </c>
      <c r="F1773" s="131">
        <v>3430044</v>
      </c>
      <c r="G1773" s="132" t="s">
        <v>6133</v>
      </c>
      <c r="H1773" s="132" t="s">
        <v>3046</v>
      </c>
      <c r="I1773" s="237" t="s">
        <v>765</v>
      </c>
      <c r="J1773" s="238" t="s">
        <v>49</v>
      </c>
      <c r="K1773" s="238" t="s">
        <v>49</v>
      </c>
      <c r="L1773" s="134" t="s">
        <v>49</v>
      </c>
      <c r="M1773" s="134" t="s">
        <v>49</v>
      </c>
      <c r="N1773" s="135" t="s">
        <v>49</v>
      </c>
      <c r="O1773" s="136" t="s">
        <v>49</v>
      </c>
      <c r="P1773" s="132"/>
      <c r="Q1773" s="152"/>
      <c r="R1773" s="136">
        <v>1</v>
      </c>
      <c r="S1773" s="132"/>
      <c r="T1773" s="132"/>
      <c r="U1773" s="132"/>
      <c r="V1773" s="116"/>
      <c r="W1773" s="117"/>
      <c r="X1773" s="152"/>
      <c r="Y1773" s="136"/>
      <c r="Z1773" s="132"/>
      <c r="AA1773" s="105"/>
      <c r="AB1773" s="105"/>
      <c r="AC1773" s="105"/>
      <c r="AD1773" s="144">
        <v>43556</v>
      </c>
      <c r="AE1773" s="108" t="s">
        <v>6134</v>
      </c>
    </row>
    <row r="1774" spans="1:31" ht="27" customHeight="1" x14ac:dyDescent="0.15">
      <c r="A1774" s="105">
        <v>1110801584</v>
      </c>
      <c r="B1774" s="106" t="s">
        <v>12062</v>
      </c>
      <c r="C1774" s="107" t="s">
        <v>5976</v>
      </c>
      <c r="D1774" s="108" t="s">
        <v>72</v>
      </c>
      <c r="E1774" s="108" t="s">
        <v>5974</v>
      </c>
      <c r="F1774" s="139" t="s">
        <v>4673</v>
      </c>
      <c r="G1774" s="140" t="s">
        <v>5977</v>
      </c>
      <c r="H1774" s="140" t="s">
        <v>839</v>
      </c>
      <c r="I1774" s="141"/>
      <c r="J1774" s="142"/>
      <c r="K1774" s="142"/>
      <c r="L1774" s="142"/>
      <c r="M1774" s="142" t="s">
        <v>765</v>
      </c>
      <c r="N1774" s="142" t="s">
        <v>765</v>
      </c>
      <c r="O1774" s="138"/>
      <c r="P1774" s="105"/>
      <c r="Q1774" s="137" t="s">
        <v>765</v>
      </c>
      <c r="R1774" s="138"/>
      <c r="S1774" s="105"/>
      <c r="T1774" s="105"/>
      <c r="U1774" s="105"/>
      <c r="V1774" s="137"/>
      <c r="W1774" s="138"/>
      <c r="X1774" s="137"/>
      <c r="Y1774" s="138"/>
      <c r="Z1774" s="105"/>
      <c r="AA1774" s="105"/>
      <c r="AB1774" s="105"/>
      <c r="AC1774" s="105"/>
      <c r="AD1774" s="155">
        <v>43952</v>
      </c>
      <c r="AE1774" s="108" t="s">
        <v>5975</v>
      </c>
    </row>
    <row r="1775" spans="1:31" ht="27" customHeight="1" x14ac:dyDescent="0.15">
      <c r="A1775" s="105">
        <v>1110801592</v>
      </c>
      <c r="B1775" s="106" t="s">
        <v>12000</v>
      </c>
      <c r="C1775" s="107" t="s">
        <v>5968</v>
      </c>
      <c r="D1775" s="108" t="s">
        <v>72</v>
      </c>
      <c r="E1775" s="108" t="s">
        <v>5969</v>
      </c>
      <c r="F1775" s="139" t="s">
        <v>5970</v>
      </c>
      <c r="G1775" s="140" t="s">
        <v>5971</v>
      </c>
      <c r="H1775" s="140" t="s">
        <v>5971</v>
      </c>
      <c r="I1775" s="141" t="s">
        <v>765</v>
      </c>
      <c r="J1775" s="142" t="s">
        <v>765</v>
      </c>
      <c r="K1775" s="142" t="s">
        <v>765</v>
      </c>
      <c r="L1775" s="142" t="s">
        <v>765</v>
      </c>
      <c r="M1775" s="142" t="s">
        <v>765</v>
      </c>
      <c r="N1775" s="142" t="s">
        <v>765</v>
      </c>
      <c r="O1775" s="138" t="s">
        <v>765</v>
      </c>
      <c r="P1775" s="105"/>
      <c r="Q1775" s="137"/>
      <c r="R1775" s="138">
        <v>6</v>
      </c>
      <c r="S1775" s="105"/>
      <c r="T1775" s="105"/>
      <c r="U1775" s="105"/>
      <c r="V1775" s="137"/>
      <c r="W1775" s="138"/>
      <c r="X1775" s="137"/>
      <c r="Y1775" s="138"/>
      <c r="Z1775" s="105"/>
      <c r="AA1775" s="105"/>
      <c r="AB1775" s="198"/>
      <c r="AC1775" s="157"/>
      <c r="AD1775" s="144">
        <v>43983</v>
      </c>
      <c r="AE1775" s="108" t="s">
        <v>5972</v>
      </c>
    </row>
    <row r="1776" spans="1:31" ht="27" customHeight="1" x14ac:dyDescent="0.15">
      <c r="A1776" s="105">
        <v>1110801600</v>
      </c>
      <c r="B1776" s="130" t="s">
        <v>11906</v>
      </c>
      <c r="C1776" s="108" t="s">
        <v>6198</v>
      </c>
      <c r="D1776" s="108" t="s">
        <v>72</v>
      </c>
      <c r="E1776" s="108" t="s">
        <v>6199</v>
      </c>
      <c r="F1776" s="131">
        <v>3430015</v>
      </c>
      <c r="G1776" s="132" t="s">
        <v>6200</v>
      </c>
      <c r="H1776" s="132" t="s">
        <v>6201</v>
      </c>
      <c r="I1776" s="133" t="s">
        <v>765</v>
      </c>
      <c r="J1776" s="134" t="s">
        <v>765</v>
      </c>
      <c r="K1776" s="134" t="s">
        <v>765</v>
      </c>
      <c r="L1776" s="134" t="s">
        <v>765</v>
      </c>
      <c r="M1776" s="142" t="s">
        <v>765</v>
      </c>
      <c r="N1776" s="143" t="s">
        <v>765</v>
      </c>
      <c r="O1776" s="136"/>
      <c r="P1776" s="132"/>
      <c r="Q1776" s="152"/>
      <c r="R1776" s="136">
        <v>2</v>
      </c>
      <c r="S1776" s="132"/>
      <c r="T1776" s="132"/>
      <c r="U1776" s="132"/>
      <c r="V1776" s="152"/>
      <c r="W1776" s="136"/>
      <c r="X1776" s="152"/>
      <c r="Y1776" s="136"/>
      <c r="Z1776" s="132"/>
      <c r="AA1776" s="105"/>
      <c r="AB1776" s="105"/>
      <c r="AC1776" s="105"/>
      <c r="AD1776" s="144">
        <v>44013</v>
      </c>
      <c r="AE1776" s="108" t="s">
        <v>6202</v>
      </c>
    </row>
    <row r="1777" spans="1:31" s="65" customFormat="1" ht="27" customHeight="1" x14ac:dyDescent="0.15">
      <c r="A1777" s="105">
        <v>1110801683</v>
      </c>
      <c r="B1777" s="130" t="s">
        <v>8573</v>
      </c>
      <c r="C1777" s="107" t="s">
        <v>6478</v>
      </c>
      <c r="D1777" s="108" t="s">
        <v>72</v>
      </c>
      <c r="E1777" s="108" t="s">
        <v>6479</v>
      </c>
      <c r="F1777" s="139" t="s">
        <v>6480</v>
      </c>
      <c r="G1777" s="140" t="s">
        <v>6481</v>
      </c>
      <c r="H1777" s="140" t="s">
        <v>6482</v>
      </c>
      <c r="I1777" s="141"/>
      <c r="J1777" s="134"/>
      <c r="K1777" s="134"/>
      <c r="L1777" s="134"/>
      <c r="M1777" s="134"/>
      <c r="N1777" s="135"/>
      <c r="O1777" s="136"/>
      <c r="P1777" s="105"/>
      <c r="Q1777" s="137"/>
      <c r="R1777" s="138">
        <v>2</v>
      </c>
      <c r="S1777" s="105"/>
      <c r="T1777" s="105"/>
      <c r="U1777" s="105"/>
      <c r="V1777" s="116"/>
      <c r="W1777" s="117"/>
      <c r="X1777" s="137"/>
      <c r="Y1777" s="138"/>
      <c r="Z1777" s="105"/>
      <c r="AA1777" s="105"/>
      <c r="AB1777" s="105"/>
      <c r="AC1777" s="105"/>
      <c r="AD1777" s="144" t="s">
        <v>8574</v>
      </c>
      <c r="AE1777" s="108" t="s">
        <v>6483</v>
      </c>
    </row>
    <row r="1778" spans="1:31" ht="27" customHeight="1" x14ac:dyDescent="0.15">
      <c r="A1778" s="105">
        <v>1110802145</v>
      </c>
      <c r="B1778" s="130" t="s">
        <v>12034</v>
      </c>
      <c r="C1778" s="107" t="s">
        <v>8200</v>
      </c>
      <c r="D1778" s="108" t="s">
        <v>72</v>
      </c>
      <c r="E1778" s="108" t="s">
        <v>8201</v>
      </c>
      <c r="F1778" s="139" t="s">
        <v>8202</v>
      </c>
      <c r="G1778" s="132" t="s">
        <v>8203</v>
      </c>
      <c r="H1778" s="132" t="s">
        <v>911</v>
      </c>
      <c r="I1778" s="134"/>
      <c r="J1778" s="134"/>
      <c r="K1778" s="134"/>
      <c r="L1778" s="134"/>
      <c r="M1778" s="134" t="s">
        <v>765</v>
      </c>
      <c r="N1778" s="143"/>
      <c r="O1778" s="136"/>
      <c r="P1778" s="105"/>
      <c r="Q1778" s="137"/>
      <c r="R1778" s="138">
        <v>1</v>
      </c>
      <c r="S1778" s="105"/>
      <c r="T1778" s="105"/>
      <c r="U1778" s="105"/>
      <c r="V1778" s="116"/>
      <c r="W1778" s="117"/>
      <c r="X1778" s="137"/>
      <c r="Y1778" s="138"/>
      <c r="Z1778" s="105"/>
      <c r="AA1778" s="105"/>
      <c r="AB1778" s="105"/>
      <c r="AC1778" s="105"/>
      <c r="AD1778" s="144">
        <v>45017</v>
      </c>
      <c r="AE1778" s="108" t="s">
        <v>8204</v>
      </c>
    </row>
    <row r="1779" spans="1:31" ht="27" customHeight="1" x14ac:dyDescent="0.15">
      <c r="A1779" s="76">
        <v>1110802301</v>
      </c>
      <c r="B1779" s="165" t="s">
        <v>12001</v>
      </c>
      <c r="C1779" s="166" t="s">
        <v>8954</v>
      </c>
      <c r="D1779" s="166" t="s">
        <v>72</v>
      </c>
      <c r="E1779" s="166" t="s">
        <v>8955</v>
      </c>
      <c r="F1779" s="254" t="s">
        <v>3927</v>
      </c>
      <c r="G1779" s="72" t="s">
        <v>8956</v>
      </c>
      <c r="H1779" s="72" t="s">
        <v>8957</v>
      </c>
      <c r="I1779" s="170" t="s">
        <v>765</v>
      </c>
      <c r="J1779" s="170" t="s">
        <v>765</v>
      </c>
      <c r="K1779" s="170" t="s">
        <v>765</v>
      </c>
      <c r="L1779" s="170" t="s">
        <v>765</v>
      </c>
      <c r="M1779" s="170" t="s">
        <v>765</v>
      </c>
      <c r="N1779" s="170" t="s">
        <v>765</v>
      </c>
      <c r="O1779" s="91"/>
      <c r="P1779" s="72"/>
      <c r="Q1779" s="73"/>
      <c r="R1779" s="91">
        <v>6</v>
      </c>
      <c r="S1779" s="72"/>
      <c r="T1779" s="72"/>
      <c r="U1779" s="72"/>
      <c r="V1779" s="73"/>
      <c r="W1779" s="91"/>
      <c r="X1779" s="73"/>
      <c r="Y1779" s="91"/>
      <c r="Z1779" s="72"/>
      <c r="AA1779" s="76"/>
      <c r="AB1779" s="76"/>
      <c r="AC1779" s="76"/>
      <c r="AD1779" s="145">
        <v>45323</v>
      </c>
      <c r="AE1779" s="166" t="s">
        <v>8958</v>
      </c>
    </row>
    <row r="1780" spans="1:31" ht="27" customHeight="1" x14ac:dyDescent="0.15">
      <c r="A1780" s="76">
        <v>1110802392</v>
      </c>
      <c r="B1780" s="165" t="s">
        <v>11913</v>
      </c>
      <c r="C1780" s="166" t="s">
        <v>9983</v>
      </c>
      <c r="D1780" s="166" t="s">
        <v>72</v>
      </c>
      <c r="E1780" s="166" t="s">
        <v>9984</v>
      </c>
      <c r="F1780" s="254" t="s">
        <v>9607</v>
      </c>
      <c r="G1780" s="72" t="s">
        <v>9985</v>
      </c>
      <c r="H1780" s="72"/>
      <c r="I1780" s="256" t="s">
        <v>49</v>
      </c>
      <c r="J1780" s="256" t="s">
        <v>49</v>
      </c>
      <c r="K1780" s="256" t="s">
        <v>49</v>
      </c>
      <c r="L1780" s="256" t="s">
        <v>49</v>
      </c>
      <c r="M1780" s="256" t="s">
        <v>765</v>
      </c>
      <c r="N1780" s="256" t="s">
        <v>49</v>
      </c>
      <c r="O1780" s="256" t="s">
        <v>49</v>
      </c>
      <c r="P1780" s="76"/>
      <c r="Q1780" s="103"/>
      <c r="R1780" s="92">
        <v>2</v>
      </c>
      <c r="S1780" s="76"/>
      <c r="T1780" s="76"/>
      <c r="U1780" s="76"/>
      <c r="V1780" s="103"/>
      <c r="W1780" s="92"/>
      <c r="X1780" s="103"/>
      <c r="Y1780" s="92"/>
      <c r="Z1780" s="76"/>
      <c r="AA1780" s="76"/>
      <c r="AB1780" s="76"/>
      <c r="AC1780" s="76"/>
      <c r="AD1780" s="104">
        <v>45689</v>
      </c>
      <c r="AE1780" s="166" t="s">
        <v>9986</v>
      </c>
    </row>
    <row r="1781" spans="1:31" ht="27" customHeight="1" x14ac:dyDescent="0.15">
      <c r="A1781" s="76">
        <v>1110802426</v>
      </c>
      <c r="B1781" s="165" t="s">
        <v>11914</v>
      </c>
      <c r="C1781" s="166" t="s">
        <v>9606</v>
      </c>
      <c r="D1781" s="166" t="s">
        <v>72</v>
      </c>
      <c r="E1781" s="166" t="s">
        <v>9817</v>
      </c>
      <c r="F1781" s="254" t="s">
        <v>9607</v>
      </c>
      <c r="G1781" s="72" t="s">
        <v>9608</v>
      </c>
      <c r="H1781" s="72" t="s">
        <v>9609</v>
      </c>
      <c r="I1781" s="128"/>
      <c r="J1781" s="256"/>
      <c r="K1781" s="256"/>
      <c r="L1781" s="256"/>
      <c r="M1781" s="256" t="s">
        <v>49</v>
      </c>
      <c r="N1781" s="158" t="s">
        <v>49</v>
      </c>
      <c r="O1781" s="91"/>
      <c r="P1781" s="76"/>
      <c r="Q1781" s="103" t="s">
        <v>765</v>
      </c>
      <c r="R1781" s="92"/>
      <c r="S1781" s="76"/>
      <c r="T1781" s="76"/>
      <c r="U1781" s="76"/>
      <c r="V1781" s="103"/>
      <c r="W1781" s="92"/>
      <c r="X1781" s="103"/>
      <c r="Y1781" s="92"/>
      <c r="Z1781" s="76"/>
      <c r="AA1781" s="76"/>
      <c r="AB1781" s="76"/>
      <c r="AC1781" s="76"/>
      <c r="AD1781" s="104">
        <v>45597</v>
      </c>
      <c r="AE1781" s="166" t="s">
        <v>9610</v>
      </c>
    </row>
    <row r="1782" spans="1:31" s="302" customFormat="1" ht="27" customHeight="1" x14ac:dyDescent="0.15">
      <c r="A1782" s="76">
        <v>1110802483</v>
      </c>
      <c r="B1782" s="165" t="s">
        <v>11915</v>
      </c>
      <c r="C1782" s="166" t="s">
        <v>9987</v>
      </c>
      <c r="D1782" s="166" t="s">
        <v>72</v>
      </c>
      <c r="E1782" s="166" t="s">
        <v>8268</v>
      </c>
      <c r="F1782" s="254" t="s">
        <v>6480</v>
      </c>
      <c r="G1782" s="72" t="s">
        <v>8269</v>
      </c>
      <c r="H1782" s="72" t="s">
        <v>8270</v>
      </c>
      <c r="I1782" s="256" t="s">
        <v>49</v>
      </c>
      <c r="J1782" s="256" t="s">
        <v>765</v>
      </c>
      <c r="K1782" s="256" t="s">
        <v>765</v>
      </c>
      <c r="L1782" s="256" t="s">
        <v>765</v>
      </c>
      <c r="M1782" s="256" t="s">
        <v>765</v>
      </c>
      <c r="N1782" s="256" t="s">
        <v>765</v>
      </c>
      <c r="O1782" s="158"/>
      <c r="P1782" s="76"/>
      <c r="Q1782" s="103"/>
      <c r="R1782" s="92">
        <v>2</v>
      </c>
      <c r="S1782" s="76"/>
      <c r="T1782" s="76"/>
      <c r="U1782" s="76"/>
      <c r="V1782" s="103"/>
      <c r="W1782" s="92"/>
      <c r="X1782" s="103"/>
      <c r="Y1782" s="92"/>
      <c r="Z1782" s="76"/>
      <c r="AA1782" s="76"/>
      <c r="AB1782" s="76"/>
      <c r="AC1782" s="76"/>
      <c r="AD1782" s="104">
        <v>45717</v>
      </c>
      <c r="AE1782" s="166" t="s">
        <v>9988</v>
      </c>
    </row>
    <row r="1783" spans="1:31" s="302" customFormat="1" ht="27" customHeight="1" x14ac:dyDescent="0.15">
      <c r="A1783" s="76">
        <v>1110802491</v>
      </c>
      <c r="B1783" s="165" t="s">
        <v>11916</v>
      </c>
      <c r="C1783" s="166" t="s">
        <v>9989</v>
      </c>
      <c r="D1783" s="166" t="s">
        <v>72</v>
      </c>
      <c r="E1783" s="166" t="s">
        <v>7119</v>
      </c>
      <c r="F1783" s="254" t="s">
        <v>9990</v>
      </c>
      <c r="G1783" s="72" t="s">
        <v>9991</v>
      </c>
      <c r="H1783" s="72" t="s">
        <v>9992</v>
      </c>
      <c r="I1783" s="256" t="s">
        <v>49</v>
      </c>
      <c r="J1783" s="256" t="s">
        <v>49</v>
      </c>
      <c r="K1783" s="256" t="s">
        <v>49</v>
      </c>
      <c r="L1783" s="256" t="s">
        <v>765</v>
      </c>
      <c r="M1783" s="256" t="s">
        <v>49</v>
      </c>
      <c r="N1783" s="256" t="s">
        <v>49</v>
      </c>
      <c r="O1783" s="256" t="s">
        <v>49</v>
      </c>
      <c r="P1783" s="76"/>
      <c r="Q1783" s="103"/>
      <c r="R1783" s="92">
        <v>2</v>
      </c>
      <c r="S1783" s="76"/>
      <c r="T1783" s="76"/>
      <c r="U1783" s="76"/>
      <c r="V1783" s="103"/>
      <c r="W1783" s="92"/>
      <c r="X1783" s="103"/>
      <c r="Y1783" s="92"/>
      <c r="Z1783" s="76"/>
      <c r="AA1783" s="76"/>
      <c r="AB1783" s="76"/>
      <c r="AC1783" s="76"/>
      <c r="AD1783" s="104">
        <v>45717</v>
      </c>
      <c r="AE1783" s="166" t="s">
        <v>9993</v>
      </c>
    </row>
    <row r="1784" spans="1:31" ht="27" customHeight="1" x14ac:dyDescent="0.15">
      <c r="A1784" s="76">
        <v>1110802764</v>
      </c>
      <c r="B1784" s="165" t="s">
        <v>11917</v>
      </c>
      <c r="C1784" s="166" t="s">
        <v>11410</v>
      </c>
      <c r="D1784" s="166" t="s">
        <v>72</v>
      </c>
      <c r="E1784" s="166" t="s">
        <v>11411</v>
      </c>
      <c r="F1784" s="254" t="s">
        <v>2124</v>
      </c>
      <c r="G1784" s="72" t="s">
        <v>11412</v>
      </c>
      <c r="H1784" s="72" t="s">
        <v>11413</v>
      </c>
      <c r="I1784" s="256"/>
      <c r="J1784" s="256"/>
      <c r="K1784" s="256"/>
      <c r="L1784" s="256"/>
      <c r="M1784" s="256" t="s">
        <v>49</v>
      </c>
      <c r="N1784" s="256" t="s">
        <v>49</v>
      </c>
      <c r="O1784" s="256"/>
      <c r="P1784" s="76"/>
      <c r="Q1784" s="103" t="s">
        <v>765</v>
      </c>
      <c r="R1784" s="92"/>
      <c r="S1784" s="76"/>
      <c r="T1784" s="76"/>
      <c r="U1784" s="76"/>
      <c r="V1784" s="103"/>
      <c r="W1784" s="92"/>
      <c r="X1784" s="103"/>
      <c r="Y1784" s="92"/>
      <c r="Z1784" s="76"/>
      <c r="AA1784" s="76"/>
      <c r="AB1784" s="76"/>
      <c r="AC1784" s="76"/>
      <c r="AD1784" s="104">
        <v>46113</v>
      </c>
      <c r="AE1784" s="166" t="s">
        <v>11414</v>
      </c>
    </row>
    <row r="1785" spans="1:31" ht="27" customHeight="1" x14ac:dyDescent="0.15">
      <c r="A1785" s="228">
        <v>1110900501</v>
      </c>
      <c r="B1785" s="130" t="s">
        <v>2826</v>
      </c>
      <c r="C1785" s="130" t="s">
        <v>2827</v>
      </c>
      <c r="D1785" s="108" t="s">
        <v>1010</v>
      </c>
      <c r="E1785" s="130" t="s">
        <v>2828</v>
      </c>
      <c r="F1785" s="131" t="s">
        <v>2829</v>
      </c>
      <c r="G1785" s="132" t="s">
        <v>2830</v>
      </c>
      <c r="H1785" s="132" t="s">
        <v>2831</v>
      </c>
      <c r="I1785" s="133"/>
      <c r="J1785" s="134"/>
      <c r="K1785" s="134" t="s">
        <v>456</v>
      </c>
      <c r="L1785" s="134"/>
      <c r="M1785" s="134"/>
      <c r="N1785" s="135"/>
      <c r="O1785" s="136"/>
      <c r="P1785" s="132"/>
      <c r="Q1785" s="272" t="s">
        <v>765</v>
      </c>
      <c r="R1785" s="248"/>
      <c r="S1785" s="132"/>
      <c r="T1785" s="132"/>
      <c r="U1785" s="132"/>
      <c r="V1785" s="152"/>
      <c r="W1785" s="248"/>
      <c r="X1785" s="152"/>
      <c r="Y1785" s="136"/>
      <c r="Z1785" s="132"/>
      <c r="AA1785" s="132"/>
      <c r="AB1785" s="132"/>
      <c r="AC1785" s="132"/>
      <c r="AD1785" s="239">
        <v>42095</v>
      </c>
      <c r="AE1785" s="273" t="s">
        <v>6160</v>
      </c>
    </row>
    <row r="1786" spans="1:31" ht="27" customHeight="1" x14ac:dyDescent="0.15">
      <c r="A1786" s="228">
        <v>1110900543</v>
      </c>
      <c r="B1786" s="130" t="s">
        <v>3304</v>
      </c>
      <c r="C1786" s="130" t="s">
        <v>3305</v>
      </c>
      <c r="D1786" s="108" t="s">
        <v>1010</v>
      </c>
      <c r="E1786" s="130" t="s">
        <v>3306</v>
      </c>
      <c r="F1786" s="131" t="s">
        <v>3307</v>
      </c>
      <c r="G1786" s="132" t="s">
        <v>3308</v>
      </c>
      <c r="H1786" s="132" t="s">
        <v>3308</v>
      </c>
      <c r="I1786" s="133"/>
      <c r="J1786" s="134"/>
      <c r="K1786" s="154"/>
      <c r="L1786" s="154"/>
      <c r="M1786" s="154" t="s">
        <v>395</v>
      </c>
      <c r="N1786" s="143" t="s">
        <v>396</v>
      </c>
      <c r="O1786" s="138"/>
      <c r="P1786" s="132"/>
      <c r="Q1786" s="272" t="s">
        <v>3309</v>
      </c>
      <c r="R1786" s="248">
        <v>1</v>
      </c>
      <c r="S1786" s="132"/>
      <c r="T1786" s="132"/>
      <c r="U1786" s="132"/>
      <c r="V1786" s="152"/>
      <c r="W1786" s="248"/>
      <c r="X1786" s="152"/>
      <c r="Y1786" s="136"/>
      <c r="Z1786" s="132"/>
      <c r="AA1786" s="132"/>
      <c r="AB1786" s="132"/>
      <c r="AC1786" s="132"/>
      <c r="AD1786" s="239">
        <v>42461</v>
      </c>
      <c r="AE1786" s="273" t="s">
        <v>8976</v>
      </c>
    </row>
    <row r="1787" spans="1:31" s="302" customFormat="1" ht="27" customHeight="1" x14ac:dyDescent="0.15">
      <c r="A1787" s="228">
        <v>1110900584</v>
      </c>
      <c r="B1787" s="130" t="s">
        <v>3628</v>
      </c>
      <c r="C1787" s="130" t="s">
        <v>3629</v>
      </c>
      <c r="D1787" s="108" t="s">
        <v>1010</v>
      </c>
      <c r="E1787" s="130" t="s">
        <v>3630</v>
      </c>
      <c r="F1787" s="131" t="s">
        <v>2095</v>
      </c>
      <c r="G1787" s="132" t="s">
        <v>3631</v>
      </c>
      <c r="H1787" s="132" t="s">
        <v>3632</v>
      </c>
      <c r="I1787" s="133"/>
      <c r="J1787" s="134"/>
      <c r="K1787" s="154" t="s">
        <v>456</v>
      </c>
      <c r="L1787" s="142" t="s">
        <v>477</v>
      </c>
      <c r="M1787" s="142" t="s">
        <v>395</v>
      </c>
      <c r="N1787" s="143" t="s">
        <v>396</v>
      </c>
      <c r="O1787" s="138" t="s">
        <v>2178</v>
      </c>
      <c r="P1787" s="132"/>
      <c r="Q1787" s="272" t="s">
        <v>49</v>
      </c>
      <c r="R1787" s="248">
        <v>4</v>
      </c>
      <c r="S1787" s="132"/>
      <c r="T1787" s="132"/>
      <c r="U1787" s="132"/>
      <c r="V1787" s="152"/>
      <c r="W1787" s="248"/>
      <c r="X1787" s="152"/>
      <c r="Y1787" s="136"/>
      <c r="Z1787" s="132"/>
      <c r="AA1787" s="132"/>
      <c r="AB1787" s="132"/>
      <c r="AC1787" s="132"/>
      <c r="AD1787" s="239">
        <v>42644</v>
      </c>
      <c r="AE1787" s="273" t="s">
        <v>3633</v>
      </c>
    </row>
    <row r="1788" spans="1:31" s="302" customFormat="1" ht="27" customHeight="1" x14ac:dyDescent="0.15">
      <c r="A1788" s="105">
        <v>1110900881</v>
      </c>
      <c r="B1788" s="130" t="s">
        <v>7106</v>
      </c>
      <c r="C1788" s="130" t="s">
        <v>7107</v>
      </c>
      <c r="D1788" s="108" t="s">
        <v>1010</v>
      </c>
      <c r="E1788" s="281" t="s">
        <v>7108</v>
      </c>
      <c r="F1788" s="132" t="s">
        <v>7109</v>
      </c>
      <c r="G1788" s="139" t="s">
        <v>7110</v>
      </c>
      <c r="H1788" s="139" t="s">
        <v>7110</v>
      </c>
      <c r="I1788" s="141"/>
      <c r="J1788" s="142"/>
      <c r="K1788" s="142"/>
      <c r="L1788" s="142"/>
      <c r="M1788" s="142" t="s">
        <v>395</v>
      </c>
      <c r="N1788" s="142" t="s">
        <v>396</v>
      </c>
      <c r="O1788" s="142"/>
      <c r="P1788" s="105"/>
      <c r="Q1788" s="137" t="s">
        <v>49</v>
      </c>
      <c r="R1788" s="138"/>
      <c r="S1788" s="105"/>
      <c r="T1788" s="105"/>
      <c r="U1788" s="105"/>
      <c r="V1788" s="137"/>
      <c r="W1788" s="138"/>
      <c r="X1788" s="137"/>
      <c r="Y1788" s="138"/>
      <c r="Z1788" s="105"/>
      <c r="AA1788" s="105"/>
      <c r="AB1788" s="105"/>
      <c r="AC1788" s="105"/>
      <c r="AD1788" s="144">
        <v>44501</v>
      </c>
      <c r="AE1788" s="108" t="s">
        <v>7111</v>
      </c>
    </row>
    <row r="1789" spans="1:31" ht="27" customHeight="1" x14ac:dyDescent="0.15">
      <c r="A1789" s="105">
        <v>1110900931</v>
      </c>
      <c r="B1789" s="130" t="s">
        <v>7376</v>
      </c>
      <c r="C1789" s="130" t="s">
        <v>7377</v>
      </c>
      <c r="D1789" s="108" t="s">
        <v>1010</v>
      </c>
      <c r="E1789" s="281" t="s">
        <v>7378</v>
      </c>
      <c r="F1789" s="132" t="s">
        <v>4306</v>
      </c>
      <c r="G1789" s="139" t="s">
        <v>7379</v>
      </c>
      <c r="H1789" s="139" t="s">
        <v>7380</v>
      </c>
      <c r="I1789" s="141"/>
      <c r="J1789" s="142"/>
      <c r="K1789" s="142"/>
      <c r="L1789" s="142"/>
      <c r="M1789" s="142"/>
      <c r="N1789" s="142" t="s">
        <v>396</v>
      </c>
      <c r="O1789" s="142"/>
      <c r="P1789" s="105"/>
      <c r="Q1789" s="137" t="s">
        <v>765</v>
      </c>
      <c r="R1789" s="138"/>
      <c r="S1789" s="105"/>
      <c r="T1789" s="105"/>
      <c r="U1789" s="105"/>
      <c r="V1789" s="137"/>
      <c r="W1789" s="138"/>
      <c r="X1789" s="137"/>
      <c r="Y1789" s="138"/>
      <c r="Z1789" s="105"/>
      <c r="AA1789" s="105"/>
      <c r="AB1789" s="105"/>
      <c r="AC1789" s="105"/>
      <c r="AD1789" s="155">
        <v>44652</v>
      </c>
      <c r="AE1789" s="108" t="s">
        <v>7381</v>
      </c>
    </row>
    <row r="1790" spans="1:31" s="76" customFormat="1" ht="27" customHeight="1" x14ac:dyDescent="0.15">
      <c r="A1790" s="105">
        <v>1110901038</v>
      </c>
      <c r="B1790" s="130" t="s">
        <v>7106</v>
      </c>
      <c r="C1790" s="130" t="s">
        <v>9028</v>
      </c>
      <c r="D1790" s="108" t="s">
        <v>1010</v>
      </c>
      <c r="E1790" s="281" t="s">
        <v>9029</v>
      </c>
      <c r="F1790" s="132" t="s">
        <v>8547</v>
      </c>
      <c r="G1790" s="139" t="s">
        <v>8548</v>
      </c>
      <c r="H1790" s="139" t="s">
        <v>8549</v>
      </c>
      <c r="I1790" s="141" t="s">
        <v>391</v>
      </c>
      <c r="J1790" s="142" t="s">
        <v>392</v>
      </c>
      <c r="K1790" s="142" t="s">
        <v>393</v>
      </c>
      <c r="L1790" s="142" t="s">
        <v>394</v>
      </c>
      <c r="M1790" s="142" t="s">
        <v>395</v>
      </c>
      <c r="N1790" s="177" t="s">
        <v>396</v>
      </c>
      <c r="O1790" s="177"/>
      <c r="P1790" s="105"/>
      <c r="Q1790" s="137"/>
      <c r="R1790" s="138">
        <v>2</v>
      </c>
      <c r="S1790" s="105"/>
      <c r="T1790" s="105"/>
      <c r="U1790" s="105"/>
      <c r="V1790" s="137"/>
      <c r="W1790" s="138"/>
      <c r="X1790" s="137"/>
      <c r="Y1790" s="138"/>
      <c r="Z1790" s="105"/>
      <c r="AA1790" s="105"/>
      <c r="AB1790" s="105"/>
      <c r="AC1790" s="105"/>
      <c r="AD1790" s="155">
        <v>45139</v>
      </c>
      <c r="AE1790" s="108" t="s">
        <v>8550</v>
      </c>
    </row>
    <row r="1791" spans="1:31" ht="27" customHeight="1" x14ac:dyDescent="0.15">
      <c r="A1791" s="132">
        <v>1110901046</v>
      </c>
      <c r="B1791" s="130" t="s">
        <v>8906</v>
      </c>
      <c r="C1791" s="108" t="s">
        <v>8907</v>
      </c>
      <c r="D1791" s="108" t="s">
        <v>1010</v>
      </c>
      <c r="E1791" s="108" t="s">
        <v>8908</v>
      </c>
      <c r="F1791" s="139" t="s">
        <v>4867</v>
      </c>
      <c r="G1791" s="140" t="s">
        <v>8909</v>
      </c>
      <c r="H1791" s="140" t="s">
        <v>8910</v>
      </c>
      <c r="I1791" s="141" t="s">
        <v>391</v>
      </c>
      <c r="J1791" s="142" t="s">
        <v>392</v>
      </c>
      <c r="K1791" s="142" t="s">
        <v>393</v>
      </c>
      <c r="L1791" s="142" t="s">
        <v>394</v>
      </c>
      <c r="M1791" s="142" t="s">
        <v>395</v>
      </c>
      <c r="N1791" s="143" t="s">
        <v>396</v>
      </c>
      <c r="O1791" s="138" t="s">
        <v>2178</v>
      </c>
      <c r="P1791" s="105"/>
      <c r="Q1791" s="137"/>
      <c r="R1791" s="138">
        <v>1</v>
      </c>
      <c r="S1791" s="105"/>
      <c r="T1791" s="105"/>
      <c r="U1791" s="105"/>
      <c r="V1791" s="137"/>
      <c r="W1791" s="138"/>
      <c r="X1791" s="137"/>
      <c r="Y1791" s="138"/>
      <c r="Z1791" s="105"/>
      <c r="AA1791" s="105"/>
      <c r="AB1791" s="105"/>
      <c r="AC1791" s="105"/>
      <c r="AD1791" s="155">
        <v>45292</v>
      </c>
      <c r="AE1791" s="108" t="s">
        <v>8911</v>
      </c>
    </row>
    <row r="1792" spans="1:31" ht="27" customHeight="1" x14ac:dyDescent="0.15">
      <c r="A1792" s="105">
        <v>1110901053</v>
      </c>
      <c r="B1792" s="130" t="s">
        <v>9055</v>
      </c>
      <c r="C1792" s="108" t="s">
        <v>7363</v>
      </c>
      <c r="D1792" s="108" t="s">
        <v>1010</v>
      </c>
      <c r="E1792" s="108" t="s">
        <v>7364</v>
      </c>
      <c r="F1792" s="131" t="s">
        <v>9056</v>
      </c>
      <c r="G1792" s="132" t="s">
        <v>9057</v>
      </c>
      <c r="H1792" s="132" t="s">
        <v>9058</v>
      </c>
      <c r="I1792" s="132" t="s">
        <v>391</v>
      </c>
      <c r="J1792" s="132" t="s">
        <v>392</v>
      </c>
      <c r="K1792" s="132" t="s">
        <v>393</v>
      </c>
      <c r="L1792" s="132" t="s">
        <v>394</v>
      </c>
      <c r="M1792" s="132" t="s">
        <v>395</v>
      </c>
      <c r="N1792" s="132" t="s">
        <v>396</v>
      </c>
      <c r="O1792" s="132"/>
      <c r="P1792" s="105"/>
      <c r="Q1792" s="105"/>
      <c r="R1792" s="105">
        <v>1</v>
      </c>
      <c r="S1792" s="105"/>
      <c r="T1792" s="105"/>
      <c r="U1792" s="105"/>
      <c r="V1792" s="105"/>
      <c r="W1792" s="105"/>
      <c r="X1792" s="105"/>
      <c r="Y1792" s="105"/>
      <c r="Z1792" s="105"/>
      <c r="AA1792" s="105"/>
      <c r="AB1792" s="105"/>
      <c r="AC1792" s="105"/>
      <c r="AD1792" s="118">
        <v>44652</v>
      </c>
      <c r="AE1792" s="108" t="s">
        <v>7365</v>
      </c>
    </row>
    <row r="1793" spans="1:31" s="65" customFormat="1" ht="26.45" customHeight="1" x14ac:dyDescent="0.15">
      <c r="A1793" s="105">
        <v>1110901095</v>
      </c>
      <c r="B1793" s="280" t="s">
        <v>5656</v>
      </c>
      <c r="C1793" s="130" t="s">
        <v>9666</v>
      </c>
      <c r="D1793" s="108" t="s">
        <v>1010</v>
      </c>
      <c r="E1793" s="281" t="s">
        <v>6743</v>
      </c>
      <c r="F1793" s="132" t="s">
        <v>6744</v>
      </c>
      <c r="G1793" s="139" t="s">
        <v>6745</v>
      </c>
      <c r="H1793" s="139" t="s">
        <v>6746</v>
      </c>
      <c r="I1793" s="141" t="s">
        <v>391</v>
      </c>
      <c r="J1793" s="142" t="s">
        <v>392</v>
      </c>
      <c r="K1793" s="142" t="s">
        <v>393</v>
      </c>
      <c r="L1793" s="142" t="s">
        <v>394</v>
      </c>
      <c r="M1793" s="142" t="s">
        <v>395</v>
      </c>
      <c r="N1793" s="142" t="s">
        <v>396</v>
      </c>
      <c r="O1793" s="142"/>
      <c r="P1793" s="105"/>
      <c r="Q1793" s="137"/>
      <c r="R1793" s="138">
        <v>2</v>
      </c>
      <c r="S1793" s="105"/>
      <c r="T1793" s="105"/>
      <c r="U1793" s="105"/>
      <c r="V1793" s="137"/>
      <c r="W1793" s="138"/>
      <c r="X1793" s="137"/>
      <c r="Y1793" s="138"/>
      <c r="Z1793" s="105"/>
      <c r="AA1793" s="105"/>
      <c r="AB1793" s="105"/>
      <c r="AC1793" s="105"/>
      <c r="AD1793" s="144">
        <v>44317</v>
      </c>
      <c r="AE1793" s="108" t="s">
        <v>6747</v>
      </c>
    </row>
    <row r="1794" spans="1:31" s="218" customFormat="1" ht="27.95" customHeight="1" x14ac:dyDescent="0.15">
      <c r="A1794" s="81">
        <v>1110901103</v>
      </c>
      <c r="B1794" s="280" t="s">
        <v>5656</v>
      </c>
      <c r="C1794" s="296" t="s">
        <v>9303</v>
      </c>
      <c r="D1794" s="84" t="s">
        <v>1010</v>
      </c>
      <c r="E1794" s="297" t="s">
        <v>9304</v>
      </c>
      <c r="F1794" s="77" t="s">
        <v>9305</v>
      </c>
      <c r="G1794" s="298" t="s">
        <v>9306</v>
      </c>
      <c r="H1794" s="298" t="s">
        <v>9307</v>
      </c>
      <c r="I1794" s="299" t="s">
        <v>391</v>
      </c>
      <c r="J1794" s="300" t="s">
        <v>392</v>
      </c>
      <c r="K1794" s="300" t="s">
        <v>393</v>
      </c>
      <c r="L1794" s="300" t="s">
        <v>394</v>
      </c>
      <c r="M1794" s="300" t="s">
        <v>395</v>
      </c>
      <c r="N1794" s="300" t="s">
        <v>396</v>
      </c>
      <c r="O1794" s="300"/>
      <c r="P1794" s="81"/>
      <c r="Q1794" s="220"/>
      <c r="R1794" s="89">
        <v>1</v>
      </c>
      <c r="S1794" s="81"/>
      <c r="T1794" s="81"/>
      <c r="U1794" s="81"/>
      <c r="V1794" s="220"/>
      <c r="W1794" s="89"/>
      <c r="X1794" s="220"/>
      <c r="Y1794" s="89"/>
      <c r="Z1794" s="81"/>
      <c r="AA1794" s="81"/>
      <c r="AB1794" s="81"/>
      <c r="AC1794" s="81"/>
      <c r="AD1794" s="301">
        <v>45474</v>
      </c>
      <c r="AE1794" s="84" t="s">
        <v>9308</v>
      </c>
    </row>
    <row r="1795" spans="1:31" s="302" customFormat="1" ht="27" customHeight="1" x14ac:dyDescent="0.15">
      <c r="A1795" s="105">
        <v>1110901129</v>
      </c>
      <c r="B1795" s="130" t="s">
        <v>9881</v>
      </c>
      <c r="C1795" s="108" t="s">
        <v>9882</v>
      </c>
      <c r="D1795" s="108" t="s">
        <v>1010</v>
      </c>
      <c r="E1795" s="108" t="s">
        <v>9883</v>
      </c>
      <c r="F1795" s="131" t="s">
        <v>9884</v>
      </c>
      <c r="G1795" s="132" t="s">
        <v>9885</v>
      </c>
      <c r="H1795" s="132" t="s">
        <v>9886</v>
      </c>
      <c r="I1795" s="133" t="s">
        <v>391</v>
      </c>
      <c r="J1795" s="134" t="s">
        <v>392</v>
      </c>
      <c r="K1795" s="134" t="s">
        <v>393</v>
      </c>
      <c r="L1795" s="134" t="s">
        <v>394</v>
      </c>
      <c r="M1795" s="134" t="s">
        <v>395</v>
      </c>
      <c r="N1795" s="135" t="s">
        <v>396</v>
      </c>
      <c r="O1795" s="136"/>
      <c r="P1795" s="105"/>
      <c r="Q1795" s="137"/>
      <c r="R1795" s="138">
        <v>1</v>
      </c>
      <c r="S1795" s="105"/>
      <c r="T1795" s="105"/>
      <c r="U1795" s="105"/>
      <c r="V1795" s="137"/>
      <c r="W1795" s="138"/>
      <c r="X1795" s="137"/>
      <c r="Y1795" s="138"/>
      <c r="Z1795" s="105"/>
      <c r="AA1795" s="105"/>
      <c r="AB1795" s="105"/>
      <c r="AC1795" s="105"/>
      <c r="AD1795" s="118">
        <v>45689</v>
      </c>
      <c r="AE1795" s="108" t="s">
        <v>9887</v>
      </c>
    </row>
    <row r="1796" spans="1:31" s="302" customFormat="1" ht="27" customHeight="1" x14ac:dyDescent="0.15">
      <c r="A1796" s="132">
        <v>1110901152</v>
      </c>
      <c r="B1796" s="130" t="s">
        <v>8906</v>
      </c>
      <c r="C1796" s="108" t="s">
        <v>10534</v>
      </c>
      <c r="D1796" s="108" t="s">
        <v>1010</v>
      </c>
      <c r="E1796" s="108" t="s">
        <v>10535</v>
      </c>
      <c r="F1796" s="139" t="s">
        <v>10536</v>
      </c>
      <c r="G1796" s="140" t="s">
        <v>10537</v>
      </c>
      <c r="H1796" s="140" t="s">
        <v>10538</v>
      </c>
      <c r="I1796" s="141" t="s">
        <v>391</v>
      </c>
      <c r="J1796" s="142" t="s">
        <v>392</v>
      </c>
      <c r="K1796" s="142" t="s">
        <v>393</v>
      </c>
      <c r="L1796" s="142" t="s">
        <v>394</v>
      </c>
      <c r="M1796" s="142" t="s">
        <v>395</v>
      </c>
      <c r="N1796" s="143" t="s">
        <v>396</v>
      </c>
      <c r="O1796" s="138" t="s">
        <v>2178</v>
      </c>
      <c r="P1796" s="105"/>
      <c r="Q1796" s="137"/>
      <c r="R1796" s="138">
        <v>1</v>
      </c>
      <c r="S1796" s="105"/>
      <c r="T1796" s="105"/>
      <c r="U1796" s="105"/>
      <c r="V1796" s="137"/>
      <c r="W1796" s="138"/>
      <c r="X1796" s="137"/>
      <c r="Y1796" s="138"/>
      <c r="Z1796" s="105"/>
      <c r="AA1796" s="105"/>
      <c r="AB1796" s="105"/>
      <c r="AC1796" s="105"/>
      <c r="AD1796" s="155">
        <v>45870</v>
      </c>
      <c r="AE1796" s="108" t="s">
        <v>10539</v>
      </c>
    </row>
    <row r="1797" spans="1:31" ht="27" customHeight="1" x14ac:dyDescent="0.15">
      <c r="A1797" s="150">
        <v>1111000277</v>
      </c>
      <c r="B1797" s="130" t="s">
        <v>3474</v>
      </c>
      <c r="C1797" s="130" t="s">
        <v>3511</v>
      </c>
      <c r="D1797" s="108" t="s">
        <v>452</v>
      </c>
      <c r="E1797" s="130" t="s">
        <v>3527</v>
      </c>
      <c r="F1797" s="131" t="s">
        <v>2423</v>
      </c>
      <c r="G1797" s="132" t="s">
        <v>3475</v>
      </c>
      <c r="H1797" s="132" t="s">
        <v>3475</v>
      </c>
      <c r="I1797" s="116"/>
      <c r="J1797" s="154"/>
      <c r="K1797" s="154"/>
      <c r="L1797" s="154"/>
      <c r="M1797" s="154" t="s">
        <v>395</v>
      </c>
      <c r="N1797" s="143"/>
      <c r="O1797" s="138"/>
      <c r="P1797" s="132"/>
      <c r="Q1797" s="152"/>
      <c r="R1797" s="248">
        <v>4</v>
      </c>
      <c r="S1797" s="132"/>
      <c r="T1797" s="132"/>
      <c r="U1797" s="132"/>
      <c r="V1797" s="152"/>
      <c r="W1797" s="248"/>
      <c r="X1797" s="152"/>
      <c r="Y1797" s="136"/>
      <c r="Z1797" s="132"/>
      <c r="AA1797" s="132"/>
      <c r="AB1797" s="132"/>
      <c r="AC1797" s="132"/>
      <c r="AD1797" s="239">
        <v>42583</v>
      </c>
      <c r="AE1797" s="489" t="s">
        <v>3503</v>
      </c>
    </row>
    <row r="1798" spans="1:31" s="302" customFormat="1" ht="27" customHeight="1" x14ac:dyDescent="0.15">
      <c r="A1798" s="150">
        <v>1111000301</v>
      </c>
      <c r="B1798" s="130" t="s">
        <v>3987</v>
      </c>
      <c r="C1798" s="130" t="s">
        <v>4419</v>
      </c>
      <c r="D1798" s="108" t="s">
        <v>452</v>
      </c>
      <c r="E1798" s="130" t="s">
        <v>3988</v>
      </c>
      <c r="F1798" s="131" t="s">
        <v>4420</v>
      </c>
      <c r="G1798" s="132" t="s">
        <v>4421</v>
      </c>
      <c r="H1798" s="132" t="s">
        <v>4422</v>
      </c>
      <c r="I1798" s="116"/>
      <c r="J1798" s="154"/>
      <c r="K1798" s="154"/>
      <c r="L1798" s="154"/>
      <c r="M1798" s="154" t="s">
        <v>395</v>
      </c>
      <c r="N1798" s="143"/>
      <c r="O1798" s="138"/>
      <c r="P1798" s="132"/>
      <c r="Q1798" s="152"/>
      <c r="R1798" s="248">
        <v>17</v>
      </c>
      <c r="S1798" s="132"/>
      <c r="T1798" s="132"/>
      <c r="U1798" s="132"/>
      <c r="V1798" s="152"/>
      <c r="W1798" s="248"/>
      <c r="X1798" s="152"/>
      <c r="Y1798" s="136"/>
      <c r="Z1798" s="132"/>
      <c r="AA1798" s="132"/>
      <c r="AB1798" s="132"/>
      <c r="AC1798" s="132"/>
      <c r="AD1798" s="239">
        <v>42948</v>
      </c>
      <c r="AE1798" s="489" t="s">
        <v>9888</v>
      </c>
    </row>
    <row r="1799" spans="1:31" s="302" customFormat="1" ht="27" customHeight="1" x14ac:dyDescent="0.15">
      <c r="A1799" s="150">
        <v>1111000376</v>
      </c>
      <c r="B1799" s="130" t="s">
        <v>2833</v>
      </c>
      <c r="C1799" s="130" t="s">
        <v>5671</v>
      </c>
      <c r="D1799" s="108" t="s">
        <v>452</v>
      </c>
      <c r="E1799" s="130" t="s">
        <v>5672</v>
      </c>
      <c r="F1799" s="131" t="s">
        <v>5673</v>
      </c>
      <c r="G1799" s="132" t="s">
        <v>5674</v>
      </c>
      <c r="H1799" s="132" t="s">
        <v>5675</v>
      </c>
      <c r="I1799" s="116"/>
      <c r="J1799" s="154"/>
      <c r="K1799" s="154"/>
      <c r="L1799" s="154"/>
      <c r="M1799" s="154" t="s">
        <v>395</v>
      </c>
      <c r="N1799" s="143" t="s">
        <v>396</v>
      </c>
      <c r="O1799" s="138"/>
      <c r="P1799" s="132"/>
      <c r="Q1799" s="152"/>
      <c r="R1799" s="248">
        <v>2</v>
      </c>
      <c r="S1799" s="132"/>
      <c r="T1799" s="132"/>
      <c r="U1799" s="132"/>
      <c r="V1799" s="152"/>
      <c r="W1799" s="248"/>
      <c r="X1799" s="152"/>
      <c r="Y1799" s="136"/>
      <c r="Z1799" s="132"/>
      <c r="AA1799" s="132"/>
      <c r="AB1799" s="132"/>
      <c r="AC1799" s="132"/>
      <c r="AD1799" s="239">
        <v>43647</v>
      </c>
      <c r="AE1799" s="489" t="s">
        <v>5676</v>
      </c>
    </row>
    <row r="1800" spans="1:31" s="65" customFormat="1" ht="27" customHeight="1" x14ac:dyDescent="0.15">
      <c r="A1800" s="105">
        <v>1111000509</v>
      </c>
      <c r="B1800" s="280" t="s">
        <v>9825</v>
      </c>
      <c r="C1800" s="130" t="s">
        <v>9853</v>
      </c>
      <c r="D1800" s="108" t="s">
        <v>452</v>
      </c>
      <c r="E1800" s="281" t="s">
        <v>9854</v>
      </c>
      <c r="F1800" s="132" t="s">
        <v>9855</v>
      </c>
      <c r="G1800" s="139" t="s">
        <v>9856</v>
      </c>
      <c r="H1800" s="139" t="s">
        <v>9857</v>
      </c>
      <c r="I1800" s="141" t="s">
        <v>391</v>
      </c>
      <c r="J1800" s="142" t="s">
        <v>392</v>
      </c>
      <c r="K1800" s="142" t="s">
        <v>393</v>
      </c>
      <c r="L1800" s="142" t="s">
        <v>394</v>
      </c>
      <c r="M1800" s="142" t="s">
        <v>395</v>
      </c>
      <c r="N1800" s="142" t="s">
        <v>396</v>
      </c>
      <c r="O1800" s="142" t="s">
        <v>2178</v>
      </c>
      <c r="P1800" s="105"/>
      <c r="Q1800" s="137"/>
      <c r="R1800" s="248">
        <v>2</v>
      </c>
      <c r="S1800" s="105"/>
      <c r="T1800" s="105"/>
      <c r="U1800" s="105"/>
      <c r="V1800" s="137"/>
      <c r="W1800" s="138"/>
      <c r="X1800" s="137"/>
      <c r="Y1800" s="138"/>
      <c r="Z1800" s="105"/>
      <c r="AA1800" s="105"/>
      <c r="AB1800" s="105"/>
      <c r="AC1800" s="105"/>
      <c r="AD1800" s="155">
        <v>45413</v>
      </c>
      <c r="AE1800" s="108" t="s">
        <v>9858</v>
      </c>
    </row>
    <row r="1801" spans="1:31" s="218" customFormat="1" ht="27.75" customHeight="1" x14ac:dyDescent="0.15">
      <c r="A1801" s="105">
        <v>1111000525</v>
      </c>
      <c r="B1801" s="280" t="s">
        <v>5656</v>
      </c>
      <c r="C1801" s="130" t="s">
        <v>7672</v>
      </c>
      <c r="D1801" s="108" t="s">
        <v>452</v>
      </c>
      <c r="E1801" s="281" t="s">
        <v>7673</v>
      </c>
      <c r="F1801" s="132" t="s">
        <v>7674</v>
      </c>
      <c r="G1801" s="139" t="s">
        <v>7675</v>
      </c>
      <c r="H1801" s="139" t="s">
        <v>7676</v>
      </c>
      <c r="I1801" s="141" t="s">
        <v>391</v>
      </c>
      <c r="J1801" s="142" t="s">
        <v>392</v>
      </c>
      <c r="K1801" s="142" t="s">
        <v>393</v>
      </c>
      <c r="L1801" s="142" t="s">
        <v>394</v>
      </c>
      <c r="M1801" s="142" t="s">
        <v>395</v>
      </c>
      <c r="N1801" s="142" t="s">
        <v>396</v>
      </c>
      <c r="O1801" s="142"/>
      <c r="P1801" s="105"/>
      <c r="Q1801" s="137"/>
      <c r="R1801" s="138">
        <v>2</v>
      </c>
      <c r="S1801" s="105"/>
      <c r="T1801" s="105"/>
      <c r="U1801" s="105"/>
      <c r="V1801" s="137"/>
      <c r="W1801" s="138"/>
      <c r="X1801" s="137"/>
      <c r="Y1801" s="138"/>
      <c r="Z1801" s="105"/>
      <c r="AA1801" s="105"/>
      <c r="AB1801" s="105"/>
      <c r="AC1801" s="105"/>
      <c r="AD1801" s="155">
        <v>44743</v>
      </c>
      <c r="AE1801" s="108" t="s">
        <v>7677</v>
      </c>
    </row>
    <row r="1802" spans="1:31" ht="27" customHeight="1" x14ac:dyDescent="0.15">
      <c r="A1802" s="203">
        <v>1111000533</v>
      </c>
      <c r="B1802" s="204" t="s">
        <v>10100</v>
      </c>
      <c r="C1802" s="162" t="s">
        <v>10101</v>
      </c>
      <c r="D1802" s="162" t="s">
        <v>10102</v>
      </c>
      <c r="E1802" s="162" t="s">
        <v>10103</v>
      </c>
      <c r="F1802" s="205" t="s">
        <v>8801</v>
      </c>
      <c r="G1802" s="206" t="s">
        <v>10104</v>
      </c>
      <c r="H1802" s="206" t="s">
        <v>10105</v>
      </c>
      <c r="I1802" s="141"/>
      <c r="J1802" s="142"/>
      <c r="K1802" s="142" t="s">
        <v>456</v>
      </c>
      <c r="L1802" s="142"/>
      <c r="M1802" s="142"/>
      <c r="N1802" s="143"/>
      <c r="O1802" s="138"/>
      <c r="P1802" s="105"/>
      <c r="Q1802" s="137"/>
      <c r="R1802" s="136">
        <v>4</v>
      </c>
      <c r="S1802" s="105"/>
      <c r="T1802" s="105"/>
      <c r="U1802" s="105"/>
      <c r="V1802" s="137"/>
      <c r="W1802" s="138"/>
      <c r="X1802" s="137"/>
      <c r="Y1802" s="138"/>
      <c r="Z1802" s="105"/>
      <c r="AA1802" s="105"/>
      <c r="AB1802" s="105"/>
      <c r="AC1802" s="105"/>
      <c r="AD1802" s="155">
        <v>45748</v>
      </c>
      <c r="AE1802" s="108" t="s">
        <v>10106</v>
      </c>
    </row>
    <row r="1803" spans="1:31" s="302" customFormat="1" ht="27" customHeight="1" x14ac:dyDescent="0.15">
      <c r="A1803" s="132">
        <v>1111000541</v>
      </c>
      <c r="B1803" s="130" t="s">
        <v>8906</v>
      </c>
      <c r="C1803" s="108" t="s">
        <v>10540</v>
      </c>
      <c r="D1803" s="108" t="s">
        <v>10102</v>
      </c>
      <c r="E1803" s="108" t="s">
        <v>10541</v>
      </c>
      <c r="F1803" s="139" t="s">
        <v>7536</v>
      </c>
      <c r="G1803" s="140" t="s">
        <v>10542</v>
      </c>
      <c r="H1803" s="140" t="s">
        <v>10543</v>
      </c>
      <c r="I1803" s="141" t="s">
        <v>391</v>
      </c>
      <c r="J1803" s="142" t="s">
        <v>392</v>
      </c>
      <c r="K1803" s="142" t="s">
        <v>393</v>
      </c>
      <c r="L1803" s="142" t="s">
        <v>394</v>
      </c>
      <c r="M1803" s="142" t="s">
        <v>395</v>
      </c>
      <c r="N1803" s="143" t="s">
        <v>396</v>
      </c>
      <c r="O1803" s="138" t="s">
        <v>2178</v>
      </c>
      <c r="P1803" s="105"/>
      <c r="Q1803" s="137"/>
      <c r="R1803" s="138">
        <v>2</v>
      </c>
      <c r="S1803" s="105"/>
      <c r="T1803" s="105"/>
      <c r="U1803" s="105"/>
      <c r="V1803" s="137"/>
      <c r="W1803" s="138"/>
      <c r="X1803" s="137"/>
      <c r="Y1803" s="138"/>
      <c r="Z1803" s="105"/>
      <c r="AA1803" s="105"/>
      <c r="AB1803" s="105"/>
      <c r="AC1803" s="105"/>
      <c r="AD1803" s="155">
        <v>45809</v>
      </c>
      <c r="AE1803" s="108" t="s">
        <v>10544</v>
      </c>
    </row>
    <row r="1804" spans="1:31" s="218" customFormat="1" ht="27.75" customHeight="1" x14ac:dyDescent="0.15">
      <c r="A1804" s="228">
        <v>1111000566</v>
      </c>
      <c r="B1804" s="130" t="s">
        <v>11118</v>
      </c>
      <c r="C1804" s="130" t="s">
        <v>11119</v>
      </c>
      <c r="D1804" s="108" t="s">
        <v>4105</v>
      </c>
      <c r="E1804" s="130" t="s">
        <v>11120</v>
      </c>
      <c r="F1804" s="131" t="s">
        <v>11121</v>
      </c>
      <c r="G1804" s="132" t="s">
        <v>11122</v>
      </c>
      <c r="H1804" s="132"/>
      <c r="I1804" s="133"/>
      <c r="J1804" s="154"/>
      <c r="K1804" s="154"/>
      <c r="L1804" s="154" t="s">
        <v>456</v>
      </c>
      <c r="M1804" s="154" t="s">
        <v>395</v>
      </c>
      <c r="N1804" s="143" t="s">
        <v>396</v>
      </c>
      <c r="O1804" s="138"/>
      <c r="P1804" s="132"/>
      <c r="Q1804" s="152"/>
      <c r="R1804" s="248">
        <v>3</v>
      </c>
      <c r="S1804" s="132"/>
      <c r="T1804" s="132"/>
      <c r="U1804" s="132"/>
      <c r="V1804" s="152"/>
      <c r="W1804" s="248"/>
      <c r="X1804" s="152"/>
      <c r="Y1804" s="136"/>
      <c r="Z1804" s="132"/>
      <c r="AA1804" s="132"/>
      <c r="AB1804" s="132"/>
      <c r="AC1804" s="132"/>
      <c r="AD1804" s="239">
        <v>46054</v>
      </c>
      <c r="AE1804" s="273" t="s">
        <v>11123</v>
      </c>
    </row>
    <row r="1805" spans="1:31" s="302" customFormat="1" ht="27" customHeight="1" x14ac:dyDescent="0.15">
      <c r="A1805" s="228">
        <v>1111175228</v>
      </c>
      <c r="B1805" s="130" t="s">
        <v>7528</v>
      </c>
      <c r="C1805" s="130" t="s">
        <v>3499</v>
      </c>
      <c r="D1805" s="108" t="s">
        <v>1916</v>
      </c>
      <c r="E1805" s="130" t="s">
        <v>3554</v>
      </c>
      <c r="F1805" s="131" t="s">
        <v>3500</v>
      </c>
      <c r="G1805" s="132" t="s">
        <v>3501</v>
      </c>
      <c r="H1805" s="132" t="s">
        <v>3498</v>
      </c>
      <c r="I1805" s="133"/>
      <c r="J1805" s="134"/>
      <c r="K1805" s="134"/>
      <c r="L1805" s="134"/>
      <c r="M1805" s="134" t="s">
        <v>395</v>
      </c>
      <c r="N1805" s="135"/>
      <c r="O1805" s="136"/>
      <c r="P1805" s="132"/>
      <c r="Q1805" s="490"/>
      <c r="R1805" s="248">
        <v>4</v>
      </c>
      <c r="S1805" s="132"/>
      <c r="T1805" s="132"/>
      <c r="U1805" s="132"/>
      <c r="V1805" s="152"/>
      <c r="W1805" s="248"/>
      <c r="X1805" s="152"/>
      <c r="Y1805" s="136"/>
      <c r="Z1805" s="132"/>
      <c r="AA1805" s="132"/>
      <c r="AB1805" s="132"/>
      <c r="AC1805" s="132"/>
      <c r="AD1805" s="239">
        <v>42461</v>
      </c>
      <c r="AE1805" s="273" t="s">
        <v>3502</v>
      </c>
    </row>
    <row r="1806" spans="1:31" s="65" customFormat="1" ht="27" customHeight="1" x14ac:dyDescent="0.15">
      <c r="A1806" s="105">
        <v>1111175368</v>
      </c>
      <c r="B1806" s="130" t="s">
        <v>7521</v>
      </c>
      <c r="C1806" s="130" t="s">
        <v>7522</v>
      </c>
      <c r="D1806" s="108" t="s">
        <v>7523</v>
      </c>
      <c r="E1806" s="281" t="s">
        <v>7524</v>
      </c>
      <c r="F1806" s="132" t="s">
        <v>7525</v>
      </c>
      <c r="G1806" s="139" t="s">
        <v>7526</v>
      </c>
      <c r="H1806" s="139" t="s">
        <v>7527</v>
      </c>
      <c r="I1806" s="141"/>
      <c r="J1806" s="142"/>
      <c r="K1806" s="142"/>
      <c r="L1806" s="142"/>
      <c r="M1806" s="142"/>
      <c r="N1806" s="142" t="s">
        <v>396</v>
      </c>
      <c r="O1806" s="142"/>
      <c r="P1806" s="105"/>
      <c r="Q1806" s="137"/>
      <c r="R1806" s="138">
        <v>2</v>
      </c>
      <c r="S1806" s="105"/>
      <c r="T1806" s="105"/>
      <c r="U1806" s="105"/>
      <c r="V1806" s="137"/>
      <c r="W1806" s="138"/>
      <c r="X1806" s="137"/>
      <c r="Y1806" s="138"/>
      <c r="Z1806" s="105"/>
      <c r="AA1806" s="105"/>
      <c r="AB1806" s="105"/>
      <c r="AC1806" s="105"/>
      <c r="AD1806" s="155">
        <v>44682</v>
      </c>
      <c r="AE1806" s="108" t="s">
        <v>8975</v>
      </c>
    </row>
    <row r="1807" spans="1:31" s="302" customFormat="1" ht="27" customHeight="1" x14ac:dyDescent="0.15">
      <c r="A1807" s="228">
        <v>1111200356</v>
      </c>
      <c r="B1807" s="130" t="s">
        <v>762</v>
      </c>
      <c r="C1807" s="130" t="s">
        <v>3053</v>
      </c>
      <c r="D1807" s="108" t="s">
        <v>73</v>
      </c>
      <c r="E1807" s="130" t="s">
        <v>3054</v>
      </c>
      <c r="F1807" s="131" t="s">
        <v>3055</v>
      </c>
      <c r="G1807" s="132" t="s">
        <v>3056</v>
      </c>
      <c r="H1807" s="132" t="s">
        <v>3056</v>
      </c>
      <c r="I1807" s="133"/>
      <c r="J1807" s="134"/>
      <c r="K1807" s="134"/>
      <c r="L1807" s="134"/>
      <c r="M1807" s="134" t="s">
        <v>395</v>
      </c>
      <c r="N1807" s="135"/>
      <c r="O1807" s="136"/>
      <c r="P1807" s="132"/>
      <c r="Q1807" s="490" t="s">
        <v>3057</v>
      </c>
      <c r="R1807" s="248"/>
      <c r="S1807" s="132"/>
      <c r="T1807" s="132"/>
      <c r="U1807" s="132"/>
      <c r="V1807" s="152"/>
      <c r="W1807" s="248"/>
      <c r="X1807" s="152"/>
      <c r="Y1807" s="136"/>
      <c r="Z1807" s="132"/>
      <c r="AA1807" s="132"/>
      <c r="AB1807" s="132"/>
      <c r="AC1807" s="132"/>
      <c r="AD1807" s="239">
        <v>42156</v>
      </c>
      <c r="AE1807" s="273" t="s">
        <v>3284</v>
      </c>
    </row>
    <row r="1808" spans="1:31" s="65" customFormat="1" ht="27" customHeight="1" x14ac:dyDescent="0.15">
      <c r="A1808" s="225">
        <v>1111200596</v>
      </c>
      <c r="B1808" s="291" t="s">
        <v>6902</v>
      </c>
      <c r="C1808" s="364" t="s">
        <v>6903</v>
      </c>
      <c r="D1808" s="108" t="s">
        <v>73</v>
      </c>
      <c r="E1808" s="108" t="s">
        <v>6904</v>
      </c>
      <c r="F1808" s="156" t="s">
        <v>4906</v>
      </c>
      <c r="G1808" s="159" t="s">
        <v>6905</v>
      </c>
      <c r="H1808" s="140" t="s">
        <v>6905</v>
      </c>
      <c r="I1808" s="181"/>
      <c r="J1808" s="154"/>
      <c r="K1808" s="154"/>
      <c r="L1808" s="154"/>
      <c r="M1808" s="154" t="s">
        <v>395</v>
      </c>
      <c r="N1808" s="143"/>
      <c r="O1808" s="138"/>
      <c r="P1808" s="105"/>
      <c r="Q1808" s="137" t="s">
        <v>49</v>
      </c>
      <c r="R1808" s="138"/>
      <c r="S1808" s="105"/>
      <c r="T1808" s="105"/>
      <c r="U1808" s="105"/>
      <c r="V1808" s="137"/>
      <c r="W1808" s="138"/>
      <c r="X1808" s="137"/>
      <c r="Y1808" s="138"/>
      <c r="Z1808" s="105"/>
      <c r="AA1808" s="105"/>
      <c r="AB1808" s="105"/>
      <c r="AC1808" s="105"/>
      <c r="AD1808" s="118">
        <v>44378</v>
      </c>
      <c r="AE1808" s="108" t="s">
        <v>6906</v>
      </c>
    </row>
    <row r="1809" spans="1:16334" ht="27" customHeight="1" x14ac:dyDescent="0.15">
      <c r="A1809" s="105">
        <v>1111200687</v>
      </c>
      <c r="B1809" s="106" t="s">
        <v>11678</v>
      </c>
      <c r="C1809" s="107" t="s">
        <v>8288</v>
      </c>
      <c r="D1809" s="108" t="s">
        <v>73</v>
      </c>
      <c r="E1809" s="108" t="s">
        <v>8289</v>
      </c>
      <c r="F1809" s="139" t="s">
        <v>8290</v>
      </c>
      <c r="G1809" s="139" t="s">
        <v>8291</v>
      </c>
      <c r="H1809" s="139" t="s">
        <v>8292</v>
      </c>
      <c r="I1809" s="327"/>
      <c r="J1809" s="142"/>
      <c r="K1809" s="142"/>
      <c r="L1809" s="142"/>
      <c r="M1809" s="142" t="s">
        <v>395</v>
      </c>
      <c r="N1809" s="142" t="s">
        <v>396</v>
      </c>
      <c r="O1809" s="223"/>
      <c r="P1809" s="225"/>
      <c r="Q1809" s="224" t="s">
        <v>49</v>
      </c>
      <c r="R1809" s="138"/>
      <c r="S1809" s="225"/>
      <c r="T1809" s="225"/>
      <c r="U1809" s="225"/>
      <c r="V1809" s="224"/>
      <c r="W1809" s="138"/>
      <c r="X1809" s="224"/>
      <c r="Y1809" s="138"/>
      <c r="Z1809" s="225"/>
      <c r="AA1809" s="225"/>
      <c r="AB1809" s="225"/>
      <c r="AC1809" s="225"/>
      <c r="AD1809" s="118">
        <v>45017</v>
      </c>
      <c r="AE1809" s="214" t="s">
        <v>8293</v>
      </c>
    </row>
    <row r="1810" spans="1:16334" ht="27" customHeight="1" x14ac:dyDescent="0.15">
      <c r="A1810" s="228">
        <v>1111200737</v>
      </c>
      <c r="B1810" s="280" t="s">
        <v>5656</v>
      </c>
      <c r="C1810" s="130" t="s">
        <v>9667</v>
      </c>
      <c r="D1810" s="108" t="s">
        <v>73</v>
      </c>
      <c r="E1810" s="130" t="s">
        <v>5647</v>
      </c>
      <c r="F1810" s="131" t="s">
        <v>5648</v>
      </c>
      <c r="G1810" s="132" t="s">
        <v>5649</v>
      </c>
      <c r="H1810" s="132" t="s">
        <v>5650</v>
      </c>
      <c r="I1810" s="133"/>
      <c r="J1810" s="134"/>
      <c r="K1810" s="134"/>
      <c r="L1810" s="134" t="s">
        <v>1184</v>
      </c>
      <c r="M1810" s="134" t="s">
        <v>395</v>
      </c>
      <c r="N1810" s="135" t="s">
        <v>396</v>
      </c>
      <c r="O1810" s="136"/>
      <c r="P1810" s="132"/>
      <c r="Q1810" s="490"/>
      <c r="R1810" s="248">
        <v>2</v>
      </c>
      <c r="S1810" s="132"/>
      <c r="T1810" s="132"/>
      <c r="U1810" s="132"/>
      <c r="V1810" s="152"/>
      <c r="W1810" s="248"/>
      <c r="X1810" s="152"/>
      <c r="Y1810" s="136"/>
      <c r="Z1810" s="132"/>
      <c r="AA1810" s="132"/>
      <c r="AB1810" s="132"/>
      <c r="AC1810" s="132"/>
      <c r="AD1810" s="239">
        <v>43678</v>
      </c>
      <c r="AE1810" s="273" t="s">
        <v>5651</v>
      </c>
    </row>
    <row r="1811" spans="1:16334" s="302" customFormat="1" ht="27" customHeight="1" x14ac:dyDescent="0.15">
      <c r="A1811" s="132">
        <v>1111200752</v>
      </c>
      <c r="B1811" s="130" t="s">
        <v>9933</v>
      </c>
      <c r="C1811" s="108" t="s">
        <v>10008</v>
      </c>
      <c r="D1811" s="108" t="s">
        <v>73</v>
      </c>
      <c r="E1811" s="108" t="s">
        <v>9937</v>
      </c>
      <c r="F1811" s="264" t="s">
        <v>8105</v>
      </c>
      <c r="G1811" s="137" t="s">
        <v>7796</v>
      </c>
      <c r="H1811" s="137" t="s">
        <v>7797</v>
      </c>
      <c r="I1811" s="141" t="s">
        <v>391</v>
      </c>
      <c r="J1811" s="142" t="s">
        <v>392</v>
      </c>
      <c r="K1811" s="142" t="s">
        <v>393</v>
      </c>
      <c r="L1811" s="142" t="s">
        <v>394</v>
      </c>
      <c r="M1811" s="142" t="s">
        <v>395</v>
      </c>
      <c r="N1811" s="143" t="s">
        <v>396</v>
      </c>
      <c r="O1811" s="138"/>
      <c r="P1811" s="105"/>
      <c r="Q1811" s="137"/>
      <c r="R1811" s="138">
        <v>2</v>
      </c>
      <c r="S1811" s="105"/>
      <c r="T1811" s="105"/>
      <c r="U1811" s="105"/>
      <c r="V1811" s="137"/>
      <c r="W1811" s="138"/>
      <c r="X1811" s="137"/>
      <c r="Y1811" s="138"/>
      <c r="Z1811" s="105"/>
      <c r="AA1811" s="105"/>
      <c r="AB1811" s="105"/>
      <c r="AC1811" s="175"/>
      <c r="AD1811" s="227">
        <v>44805</v>
      </c>
      <c r="AE1811" s="108" t="s">
        <v>7798</v>
      </c>
    </row>
    <row r="1812" spans="1:16334" s="562" customFormat="1" ht="27" customHeight="1" x14ac:dyDescent="0.15">
      <c r="A1812" s="547">
        <v>1110203971</v>
      </c>
      <c r="B1812" s="544" t="s">
        <v>12353</v>
      </c>
      <c r="C1812" s="545" t="s">
        <v>12354</v>
      </c>
      <c r="D1812" s="545" t="s">
        <v>68</v>
      </c>
      <c r="E1812" s="545" t="s">
        <v>12355</v>
      </c>
      <c r="F1812" s="652" t="s">
        <v>12356</v>
      </c>
      <c r="G1812" s="582" t="s">
        <v>12352</v>
      </c>
      <c r="H1812" s="582"/>
      <c r="I1812" s="629"/>
      <c r="J1812" s="630"/>
      <c r="K1812" s="630"/>
      <c r="L1812" s="630"/>
      <c r="M1812" s="630" t="s">
        <v>10951</v>
      </c>
      <c r="N1812" s="631" t="s">
        <v>10951</v>
      </c>
      <c r="O1812" s="587"/>
      <c r="P1812" s="569"/>
      <c r="Q1812" s="582"/>
      <c r="R1812" s="587">
        <v>3</v>
      </c>
      <c r="S1812" s="569"/>
      <c r="T1812" s="569"/>
      <c r="U1812" s="569"/>
      <c r="V1812" s="582"/>
      <c r="W1812" s="587"/>
      <c r="X1812" s="582"/>
      <c r="Y1812" s="587"/>
      <c r="Z1812" s="569"/>
      <c r="AA1812" s="569"/>
      <c r="AB1812" s="569"/>
      <c r="AC1812" s="618"/>
      <c r="AD1812" s="653">
        <v>46235</v>
      </c>
      <c r="AE1812" s="545" t="s">
        <v>12357</v>
      </c>
      <c r="AF1812" s="545"/>
      <c r="AG1812" s="652"/>
      <c r="AH1812" s="582"/>
      <c r="AI1812" s="582"/>
      <c r="AJ1812" s="629"/>
      <c r="AK1812" s="630"/>
      <c r="AL1812" s="630"/>
      <c r="AM1812" s="630"/>
      <c r="AN1812" s="630"/>
      <c r="AO1812" s="631"/>
      <c r="AP1812" s="587"/>
      <c r="AQ1812" s="569"/>
      <c r="AR1812" s="582"/>
      <c r="AS1812" s="587"/>
      <c r="AT1812" s="569"/>
      <c r="AU1812" s="569"/>
      <c r="AV1812" s="569"/>
      <c r="AW1812" s="582"/>
      <c r="AX1812" s="587"/>
      <c r="AY1812" s="582"/>
      <c r="AZ1812" s="587"/>
      <c r="BA1812" s="569"/>
      <c r="BB1812" s="569"/>
      <c r="BC1812" s="569"/>
      <c r="BD1812" s="618"/>
      <c r="BE1812" s="653"/>
      <c r="BF1812" s="545"/>
      <c r="BG1812" s="651"/>
      <c r="BH1812" s="653"/>
      <c r="BI1812" s="591"/>
      <c r="BJ1812" s="653"/>
      <c r="BK1812" s="654"/>
      <c r="BL1812" s="555"/>
      <c r="BM1812" s="556"/>
      <c r="BN1812" s="633"/>
      <c r="BO1812" s="634"/>
      <c r="BP1812" s="635"/>
      <c r="BQ1812" s="560"/>
      <c r="BR1812" s="589"/>
      <c r="BS1812" s="636"/>
      <c r="BT1812" s="559"/>
      <c r="BU1812" s="557"/>
      <c r="BV1812" s="558"/>
      <c r="BW1812" s="590"/>
      <c r="BX1812" s="591"/>
      <c r="BY1812" s="591"/>
      <c r="BZ1812" s="592"/>
      <c r="CA1812" s="593"/>
      <c r="CB1812" s="591"/>
      <c r="CC1812" s="591"/>
      <c r="CD1812" s="591"/>
      <c r="CE1812" s="592"/>
      <c r="CF1812" s="593"/>
      <c r="CG1812" s="594"/>
      <c r="CH1812" s="590"/>
      <c r="CI1812" s="591"/>
      <c r="CJ1812" s="591"/>
      <c r="CK1812" s="591"/>
      <c r="CL1812" s="591"/>
      <c r="CM1812" s="591"/>
      <c r="CN1812" s="591"/>
      <c r="CO1812" s="560"/>
      <c r="CP1812" s="560"/>
      <c r="CQ1812" s="592"/>
      <c r="CR1812" s="594"/>
      <c r="CS1812" s="593"/>
      <c r="CT1812" s="595"/>
      <c r="CU1812" s="542"/>
      <c r="CV1812" s="542"/>
      <c r="CW1812" s="542"/>
      <c r="CX1812" s="542"/>
      <c r="CY1812" s="542"/>
      <c r="CZ1812" s="547"/>
      <c r="DA1812" s="544"/>
      <c r="DB1812" s="545"/>
      <c r="DC1812" s="545"/>
      <c r="DD1812" s="545"/>
      <c r="DE1812" s="652"/>
      <c r="DF1812" s="582"/>
      <c r="DG1812" s="582"/>
      <c r="DH1812" s="629"/>
      <c r="DI1812" s="630"/>
      <c r="DJ1812" s="630"/>
      <c r="DK1812" s="630"/>
      <c r="DL1812" s="630"/>
      <c r="DM1812" s="631"/>
      <c r="DN1812" s="587"/>
      <c r="DO1812" s="569"/>
      <c r="DP1812" s="582"/>
      <c r="DQ1812" s="587"/>
      <c r="DR1812" s="569"/>
      <c r="DS1812" s="569"/>
      <c r="DT1812" s="569"/>
      <c r="DU1812" s="582"/>
      <c r="DV1812" s="587"/>
      <c r="DW1812" s="582"/>
      <c r="DX1812" s="587"/>
      <c r="DY1812" s="569"/>
      <c r="DZ1812" s="569"/>
      <c r="EA1812" s="569"/>
      <c r="EB1812" s="618"/>
      <c r="EC1812" s="653"/>
      <c r="ED1812" s="545"/>
      <c r="EE1812" s="651"/>
      <c r="EF1812" s="653"/>
      <c r="EG1812" s="591"/>
      <c r="EH1812" s="653"/>
      <c r="EI1812" s="654"/>
      <c r="EJ1812" s="555"/>
      <c r="EK1812" s="556"/>
      <c r="EL1812" s="633"/>
      <c r="EM1812" s="634"/>
      <c r="EN1812" s="635"/>
      <c r="EO1812" s="560"/>
      <c r="EP1812" s="589"/>
      <c r="EQ1812" s="636"/>
      <c r="ER1812" s="559"/>
      <c r="ES1812" s="557"/>
      <c r="ET1812" s="558"/>
      <c r="EU1812" s="590"/>
      <c r="EV1812" s="591"/>
      <c r="EW1812" s="591"/>
      <c r="EX1812" s="592"/>
      <c r="EY1812" s="593"/>
      <c r="EZ1812" s="591"/>
      <c r="FA1812" s="591"/>
      <c r="FB1812" s="591"/>
      <c r="FC1812" s="592"/>
      <c r="FD1812" s="593"/>
      <c r="FE1812" s="594"/>
      <c r="FF1812" s="590"/>
      <c r="FG1812" s="591"/>
      <c r="FH1812" s="591"/>
      <c r="FI1812" s="591"/>
      <c r="FJ1812" s="591"/>
      <c r="FK1812" s="591"/>
      <c r="FL1812" s="591"/>
      <c r="FM1812" s="560"/>
      <c r="FN1812" s="560"/>
      <c r="FO1812" s="592"/>
      <c r="FP1812" s="594"/>
      <c r="FQ1812" s="593"/>
      <c r="FR1812" s="595"/>
      <c r="FS1812" s="542"/>
      <c r="FT1812" s="542"/>
      <c r="FU1812" s="542"/>
      <c r="FV1812" s="542"/>
      <c r="FW1812" s="542"/>
      <c r="FX1812" s="547"/>
      <c r="FY1812" s="544"/>
      <c r="FZ1812" s="545"/>
      <c r="GA1812" s="545"/>
      <c r="GB1812" s="545"/>
      <c r="GC1812" s="652"/>
      <c r="GD1812" s="582"/>
      <c r="GE1812" s="582"/>
      <c r="GF1812" s="629"/>
      <c r="GG1812" s="630"/>
      <c r="GH1812" s="630"/>
      <c r="GI1812" s="630"/>
      <c r="GJ1812" s="630"/>
      <c r="GK1812" s="631"/>
      <c r="GL1812" s="587"/>
      <c r="GM1812" s="569"/>
      <c r="GN1812" s="582"/>
      <c r="GO1812" s="587"/>
      <c r="GP1812" s="569"/>
      <c r="GQ1812" s="569"/>
      <c r="GR1812" s="569"/>
      <c r="GS1812" s="582"/>
      <c r="GT1812" s="587"/>
      <c r="GU1812" s="582"/>
      <c r="GV1812" s="587"/>
      <c r="GW1812" s="569"/>
      <c r="GX1812" s="569"/>
      <c r="GY1812" s="569"/>
      <c r="GZ1812" s="618"/>
      <c r="HA1812" s="653"/>
      <c r="HB1812" s="545"/>
      <c r="HC1812" s="651"/>
      <c r="HD1812" s="653"/>
      <c r="HE1812" s="591"/>
      <c r="HF1812" s="653"/>
      <c r="HG1812" s="654"/>
      <c r="HH1812" s="555"/>
      <c r="HI1812" s="556"/>
      <c r="HJ1812" s="633"/>
      <c r="HK1812" s="634"/>
      <c r="HL1812" s="635"/>
      <c r="HM1812" s="560"/>
      <c r="HN1812" s="589"/>
      <c r="HO1812" s="636"/>
      <c r="HP1812" s="559"/>
      <c r="HQ1812" s="557"/>
      <c r="HR1812" s="558"/>
      <c r="HS1812" s="590"/>
      <c r="HT1812" s="591"/>
      <c r="HU1812" s="591"/>
      <c r="HV1812" s="592"/>
      <c r="HW1812" s="593"/>
      <c r="HX1812" s="591"/>
      <c r="HY1812" s="591"/>
      <c r="HZ1812" s="591"/>
      <c r="IA1812" s="592"/>
      <c r="IB1812" s="593"/>
      <c r="IC1812" s="594"/>
      <c r="ID1812" s="590"/>
      <c r="IE1812" s="591"/>
      <c r="IF1812" s="591"/>
      <c r="IG1812" s="591"/>
      <c r="IH1812" s="591"/>
      <c r="II1812" s="591"/>
      <c r="IJ1812" s="591"/>
      <c r="IK1812" s="560"/>
      <c r="IL1812" s="560"/>
      <c r="IM1812" s="592"/>
      <c r="IN1812" s="594"/>
      <c r="IO1812" s="593"/>
      <c r="IP1812" s="595"/>
      <c r="IQ1812" s="542"/>
      <c r="IR1812" s="542"/>
      <c r="IS1812" s="542"/>
      <c r="IT1812" s="542"/>
      <c r="IU1812" s="542"/>
      <c r="IV1812" s="547"/>
      <c r="IW1812" s="544"/>
      <c r="IX1812" s="545"/>
      <c r="IY1812" s="545"/>
      <c r="IZ1812" s="545"/>
      <c r="JA1812" s="652"/>
      <c r="JB1812" s="582"/>
      <c r="JC1812" s="582"/>
      <c r="JD1812" s="629"/>
      <c r="JE1812" s="630"/>
      <c r="JF1812" s="630"/>
      <c r="JG1812" s="630"/>
      <c r="JH1812" s="630"/>
      <c r="JI1812" s="631"/>
      <c r="JJ1812" s="587"/>
      <c r="JK1812" s="569"/>
      <c r="JL1812" s="582"/>
      <c r="JM1812" s="587"/>
      <c r="JN1812" s="569"/>
      <c r="JO1812" s="569"/>
      <c r="JP1812" s="569"/>
      <c r="JQ1812" s="582"/>
      <c r="JR1812" s="587"/>
      <c r="JS1812" s="582"/>
      <c r="JT1812" s="587"/>
      <c r="JU1812" s="569"/>
      <c r="JV1812" s="569"/>
      <c r="JW1812" s="569"/>
      <c r="JX1812" s="618"/>
      <c r="JY1812" s="653"/>
      <c r="JZ1812" s="545"/>
      <c r="KA1812" s="651"/>
      <c r="KB1812" s="653"/>
      <c r="KC1812" s="591"/>
      <c r="KD1812" s="653"/>
      <c r="KE1812" s="654"/>
      <c r="KF1812" s="555"/>
      <c r="KG1812" s="556"/>
      <c r="KH1812" s="633"/>
      <c r="KI1812" s="634"/>
      <c r="KJ1812" s="635"/>
      <c r="KK1812" s="560"/>
      <c r="KL1812" s="589"/>
      <c r="KM1812" s="636"/>
      <c r="KN1812" s="559"/>
      <c r="KO1812" s="557"/>
      <c r="KP1812" s="558"/>
      <c r="KQ1812" s="590"/>
      <c r="KR1812" s="591"/>
      <c r="KS1812" s="591"/>
      <c r="KT1812" s="592"/>
      <c r="KU1812" s="593"/>
      <c r="KV1812" s="591"/>
      <c r="KW1812" s="591"/>
      <c r="KX1812" s="591"/>
      <c r="KY1812" s="592"/>
      <c r="KZ1812" s="593"/>
      <c r="LA1812" s="594"/>
      <c r="LB1812" s="590"/>
      <c r="LC1812" s="591"/>
      <c r="LD1812" s="591"/>
      <c r="LE1812" s="591"/>
      <c r="LF1812" s="591"/>
      <c r="LG1812" s="591"/>
      <c r="LH1812" s="591"/>
      <c r="LI1812" s="560"/>
      <c r="LJ1812" s="560"/>
      <c r="LK1812" s="592"/>
      <c r="LL1812" s="594"/>
      <c r="LM1812" s="593"/>
      <c r="LN1812" s="595"/>
      <c r="LO1812" s="542"/>
      <c r="LP1812" s="542"/>
      <c r="LQ1812" s="542"/>
      <c r="LR1812" s="542"/>
      <c r="LS1812" s="542"/>
      <c r="LT1812" s="547"/>
      <c r="LU1812" s="544"/>
      <c r="LV1812" s="545"/>
      <c r="LW1812" s="545"/>
      <c r="LX1812" s="545"/>
      <c r="LY1812" s="652"/>
      <c r="LZ1812" s="582"/>
      <c r="MA1812" s="582"/>
      <c r="MB1812" s="629"/>
      <c r="MC1812" s="630"/>
      <c r="MD1812" s="630"/>
      <c r="ME1812" s="630"/>
      <c r="MF1812" s="630"/>
      <c r="MG1812" s="631"/>
      <c r="MH1812" s="587"/>
      <c r="MI1812" s="569"/>
      <c r="MJ1812" s="582"/>
      <c r="MK1812" s="587"/>
      <c r="ML1812" s="569"/>
      <c r="MM1812" s="569"/>
      <c r="MN1812" s="569"/>
      <c r="MO1812" s="582"/>
      <c r="MP1812" s="587"/>
      <c r="MQ1812" s="582"/>
      <c r="MR1812" s="587"/>
      <c r="MS1812" s="569"/>
      <c r="MT1812" s="569"/>
      <c r="MU1812" s="569"/>
      <c r="MV1812" s="618"/>
      <c r="MW1812" s="653"/>
      <c r="MX1812" s="545"/>
      <c r="MY1812" s="651"/>
      <c r="MZ1812" s="653"/>
      <c r="NA1812" s="591"/>
      <c r="NB1812" s="653"/>
      <c r="NC1812" s="654"/>
      <c r="ND1812" s="555"/>
      <c r="NE1812" s="556"/>
      <c r="NF1812" s="633"/>
      <c r="NG1812" s="634"/>
      <c r="NH1812" s="635"/>
      <c r="NI1812" s="560"/>
      <c r="NJ1812" s="589"/>
      <c r="NK1812" s="636"/>
      <c r="NL1812" s="559"/>
      <c r="NM1812" s="557"/>
      <c r="NN1812" s="558"/>
      <c r="NO1812" s="590"/>
      <c r="NP1812" s="591"/>
      <c r="NQ1812" s="591"/>
      <c r="NR1812" s="592"/>
      <c r="NS1812" s="593"/>
      <c r="NT1812" s="591"/>
      <c r="NU1812" s="591"/>
      <c r="NV1812" s="591"/>
      <c r="NW1812" s="592"/>
      <c r="NX1812" s="593"/>
      <c r="NY1812" s="594"/>
      <c r="NZ1812" s="590"/>
      <c r="OA1812" s="591"/>
      <c r="OB1812" s="591"/>
      <c r="OC1812" s="591"/>
      <c r="OD1812" s="591"/>
      <c r="OE1812" s="591"/>
      <c r="OF1812" s="591"/>
      <c r="OG1812" s="560"/>
      <c r="OH1812" s="560"/>
      <c r="OI1812" s="592"/>
      <c r="OJ1812" s="594"/>
      <c r="OK1812" s="593"/>
      <c r="OL1812" s="595"/>
      <c r="OM1812" s="542"/>
      <c r="ON1812" s="542"/>
      <c r="OO1812" s="542"/>
      <c r="OP1812" s="542"/>
      <c r="OQ1812" s="542"/>
      <c r="OR1812" s="547"/>
      <c r="OS1812" s="544"/>
      <c r="OT1812" s="545"/>
      <c r="OU1812" s="545"/>
      <c r="OV1812" s="545"/>
      <c r="OW1812" s="652"/>
      <c r="OX1812" s="582"/>
      <c r="OY1812" s="582"/>
      <c r="OZ1812" s="629"/>
      <c r="PA1812" s="630"/>
      <c r="PB1812" s="630"/>
      <c r="PC1812" s="630"/>
      <c r="PD1812" s="630"/>
      <c r="PE1812" s="631"/>
      <c r="PF1812" s="587"/>
      <c r="PG1812" s="569"/>
      <c r="PH1812" s="582"/>
      <c r="PI1812" s="587"/>
      <c r="PJ1812" s="569"/>
      <c r="PK1812" s="569"/>
      <c r="PL1812" s="569"/>
      <c r="PM1812" s="582"/>
      <c r="PN1812" s="587"/>
      <c r="PO1812" s="582"/>
      <c r="PP1812" s="587"/>
      <c r="PQ1812" s="569"/>
      <c r="PR1812" s="569"/>
      <c r="PS1812" s="569"/>
      <c r="PT1812" s="618"/>
      <c r="PU1812" s="653"/>
      <c r="PV1812" s="545"/>
      <c r="PW1812" s="651"/>
      <c r="PX1812" s="653"/>
      <c r="PY1812" s="591"/>
      <c r="PZ1812" s="653"/>
      <c r="QA1812" s="654"/>
      <c r="QB1812" s="555"/>
      <c r="QC1812" s="556"/>
      <c r="QD1812" s="633"/>
      <c r="QE1812" s="634"/>
      <c r="QF1812" s="635"/>
      <c r="QG1812" s="560"/>
      <c r="QH1812" s="589"/>
      <c r="QI1812" s="636"/>
      <c r="QJ1812" s="559"/>
      <c r="QK1812" s="557"/>
      <c r="QL1812" s="558"/>
      <c r="QM1812" s="590"/>
      <c r="QN1812" s="591"/>
      <c r="QO1812" s="591"/>
      <c r="QP1812" s="592"/>
      <c r="QQ1812" s="593"/>
      <c r="QR1812" s="591"/>
      <c r="QS1812" s="591"/>
      <c r="QT1812" s="591"/>
      <c r="QU1812" s="592"/>
      <c r="QV1812" s="593"/>
      <c r="QW1812" s="594"/>
      <c r="QX1812" s="590"/>
      <c r="QY1812" s="591"/>
      <c r="QZ1812" s="591"/>
      <c r="RA1812" s="591"/>
      <c r="RB1812" s="591"/>
      <c r="RC1812" s="591"/>
      <c r="RD1812" s="591"/>
      <c r="RE1812" s="560"/>
      <c r="RF1812" s="560"/>
      <c r="RG1812" s="592"/>
      <c r="RH1812" s="594"/>
      <c r="RI1812" s="593"/>
      <c r="RJ1812" s="595"/>
      <c r="RK1812" s="542"/>
      <c r="RL1812" s="542"/>
      <c r="RM1812" s="542"/>
      <c r="RN1812" s="542"/>
      <c r="RO1812" s="542"/>
      <c r="RP1812" s="547"/>
      <c r="RQ1812" s="544"/>
      <c r="RR1812" s="545"/>
      <c r="RS1812" s="545"/>
      <c r="RT1812" s="545"/>
      <c r="RU1812" s="652"/>
      <c r="RV1812" s="582"/>
      <c r="RW1812" s="582"/>
      <c r="RX1812" s="629"/>
      <c r="RY1812" s="630"/>
      <c r="RZ1812" s="630"/>
      <c r="SA1812" s="630"/>
      <c r="SB1812" s="630"/>
      <c r="SC1812" s="631"/>
      <c r="SD1812" s="587"/>
      <c r="SE1812" s="569"/>
      <c r="SF1812" s="582"/>
      <c r="SG1812" s="587"/>
      <c r="SH1812" s="569"/>
      <c r="SI1812" s="569"/>
      <c r="SJ1812" s="569"/>
      <c r="SK1812" s="582"/>
      <c r="SL1812" s="587"/>
      <c r="SM1812" s="582"/>
      <c r="SN1812" s="587"/>
      <c r="SO1812" s="569"/>
      <c r="SP1812" s="569"/>
      <c r="SQ1812" s="569"/>
      <c r="SR1812" s="618"/>
      <c r="SS1812" s="653"/>
      <c r="ST1812" s="545"/>
      <c r="SU1812" s="651"/>
      <c r="SV1812" s="653"/>
      <c r="SW1812" s="591"/>
      <c r="SX1812" s="653"/>
      <c r="SY1812" s="654"/>
      <c r="SZ1812" s="555"/>
      <c r="TA1812" s="556"/>
      <c r="TB1812" s="633"/>
      <c r="TC1812" s="634"/>
      <c r="TD1812" s="635"/>
      <c r="TE1812" s="560"/>
      <c r="TF1812" s="589"/>
      <c r="TG1812" s="636"/>
      <c r="TH1812" s="559"/>
      <c r="TI1812" s="557"/>
      <c r="TJ1812" s="558"/>
      <c r="TK1812" s="590"/>
      <c r="TL1812" s="591"/>
      <c r="TM1812" s="591"/>
      <c r="TN1812" s="592"/>
      <c r="TO1812" s="593"/>
      <c r="TP1812" s="591"/>
      <c r="TQ1812" s="591"/>
      <c r="TR1812" s="591"/>
      <c r="TS1812" s="592"/>
      <c r="TT1812" s="593"/>
      <c r="TU1812" s="594"/>
      <c r="TV1812" s="590"/>
      <c r="TW1812" s="591"/>
      <c r="TX1812" s="591"/>
      <c r="TY1812" s="591"/>
      <c r="TZ1812" s="591"/>
      <c r="UA1812" s="591"/>
      <c r="UB1812" s="591"/>
      <c r="UC1812" s="560"/>
      <c r="UD1812" s="560"/>
      <c r="UE1812" s="592"/>
      <c r="UF1812" s="594"/>
      <c r="UG1812" s="593"/>
      <c r="UH1812" s="595"/>
      <c r="UI1812" s="542"/>
      <c r="UJ1812" s="542"/>
      <c r="UK1812" s="542"/>
      <c r="UL1812" s="542"/>
      <c r="UM1812" s="542"/>
      <c r="UN1812" s="547"/>
      <c r="UO1812" s="544"/>
      <c r="UP1812" s="545"/>
      <c r="UQ1812" s="545"/>
      <c r="UR1812" s="545"/>
      <c r="US1812" s="652"/>
      <c r="UT1812" s="582"/>
      <c r="UU1812" s="582"/>
      <c r="UV1812" s="629"/>
      <c r="UW1812" s="630"/>
      <c r="UX1812" s="630"/>
      <c r="UY1812" s="630"/>
      <c r="UZ1812" s="630"/>
      <c r="VA1812" s="631"/>
      <c r="VB1812" s="587"/>
      <c r="VC1812" s="569"/>
      <c r="VD1812" s="582"/>
      <c r="VE1812" s="587"/>
      <c r="VF1812" s="569"/>
      <c r="VG1812" s="569"/>
      <c r="VH1812" s="569"/>
      <c r="VI1812" s="582"/>
      <c r="VJ1812" s="587"/>
      <c r="VK1812" s="582"/>
      <c r="VL1812" s="587"/>
      <c r="VM1812" s="569"/>
      <c r="VN1812" s="569"/>
      <c r="VO1812" s="569"/>
      <c r="VP1812" s="618"/>
      <c r="VQ1812" s="653"/>
      <c r="VR1812" s="545"/>
      <c r="VS1812" s="651"/>
      <c r="VT1812" s="653"/>
      <c r="VU1812" s="591"/>
      <c r="VV1812" s="653"/>
      <c r="VW1812" s="654"/>
      <c r="VX1812" s="555"/>
      <c r="VY1812" s="556"/>
      <c r="VZ1812" s="633"/>
      <c r="WA1812" s="634"/>
      <c r="WB1812" s="635"/>
      <c r="WC1812" s="560"/>
      <c r="WD1812" s="589"/>
      <c r="WE1812" s="636"/>
      <c r="WF1812" s="559"/>
      <c r="WG1812" s="557"/>
      <c r="WH1812" s="558"/>
      <c r="WI1812" s="590"/>
      <c r="WJ1812" s="591"/>
      <c r="WK1812" s="591"/>
      <c r="WL1812" s="592"/>
      <c r="WM1812" s="593"/>
      <c r="WN1812" s="591"/>
      <c r="WO1812" s="591"/>
      <c r="WP1812" s="591"/>
      <c r="WQ1812" s="592"/>
      <c r="WR1812" s="593"/>
      <c r="WS1812" s="594"/>
      <c r="WT1812" s="590"/>
      <c r="WU1812" s="591"/>
      <c r="WV1812" s="591"/>
      <c r="WW1812" s="591"/>
      <c r="WX1812" s="591"/>
      <c r="WY1812" s="591"/>
      <c r="WZ1812" s="591"/>
      <c r="XA1812" s="560"/>
      <c r="XB1812" s="560"/>
      <c r="XC1812" s="592"/>
      <c r="XD1812" s="594"/>
      <c r="XE1812" s="593"/>
      <c r="XF1812" s="595"/>
      <c r="XG1812" s="542"/>
      <c r="XH1812" s="542"/>
      <c r="XI1812" s="542"/>
      <c r="XJ1812" s="542"/>
      <c r="XK1812" s="542"/>
      <c r="XL1812" s="547"/>
      <c r="XM1812" s="544"/>
      <c r="XN1812" s="545"/>
      <c r="XO1812" s="545"/>
      <c r="XP1812" s="545"/>
      <c r="XQ1812" s="652"/>
      <c r="XR1812" s="582"/>
      <c r="XS1812" s="582"/>
      <c r="XT1812" s="629"/>
      <c r="XU1812" s="630"/>
      <c r="XV1812" s="630"/>
      <c r="XW1812" s="630"/>
      <c r="XX1812" s="630"/>
      <c r="XY1812" s="631"/>
      <c r="XZ1812" s="587"/>
      <c r="YA1812" s="569"/>
      <c r="YB1812" s="582"/>
      <c r="YC1812" s="587"/>
      <c r="YD1812" s="569"/>
      <c r="YE1812" s="569"/>
      <c r="YF1812" s="569"/>
      <c r="YG1812" s="582"/>
      <c r="YH1812" s="587"/>
      <c r="YI1812" s="582"/>
      <c r="YJ1812" s="587"/>
      <c r="YK1812" s="569"/>
      <c r="YL1812" s="569"/>
      <c r="YM1812" s="569"/>
      <c r="YN1812" s="618"/>
      <c r="YO1812" s="653"/>
      <c r="YP1812" s="545"/>
      <c r="YQ1812" s="651"/>
      <c r="YR1812" s="653"/>
      <c r="YS1812" s="591"/>
      <c r="YT1812" s="653"/>
      <c r="YU1812" s="654"/>
      <c r="YV1812" s="555"/>
      <c r="YW1812" s="556"/>
      <c r="YX1812" s="633"/>
      <c r="YY1812" s="634"/>
      <c r="YZ1812" s="635"/>
      <c r="ZA1812" s="560"/>
      <c r="ZB1812" s="589"/>
      <c r="ZC1812" s="636"/>
      <c r="ZD1812" s="559"/>
      <c r="ZE1812" s="557"/>
      <c r="ZF1812" s="558"/>
      <c r="ZG1812" s="590"/>
      <c r="ZH1812" s="591"/>
      <c r="ZI1812" s="591"/>
      <c r="ZJ1812" s="592"/>
      <c r="ZK1812" s="593"/>
      <c r="ZL1812" s="591"/>
      <c r="ZM1812" s="591"/>
      <c r="ZN1812" s="591"/>
      <c r="ZO1812" s="592"/>
      <c r="ZP1812" s="593"/>
      <c r="ZQ1812" s="594"/>
      <c r="ZR1812" s="590"/>
      <c r="ZS1812" s="591"/>
      <c r="ZT1812" s="591"/>
      <c r="ZU1812" s="591"/>
      <c r="ZV1812" s="591"/>
      <c r="ZW1812" s="591"/>
      <c r="ZX1812" s="591"/>
      <c r="ZY1812" s="560"/>
      <c r="ZZ1812" s="560"/>
      <c r="AAA1812" s="592"/>
      <c r="AAB1812" s="594"/>
      <c r="AAC1812" s="593"/>
      <c r="AAD1812" s="595"/>
      <c r="AAE1812" s="542"/>
      <c r="AAF1812" s="542"/>
      <c r="AAG1812" s="542"/>
      <c r="AAH1812" s="542"/>
      <c r="AAI1812" s="542"/>
      <c r="AAJ1812" s="547"/>
      <c r="AAK1812" s="544"/>
      <c r="AAL1812" s="545"/>
      <c r="AAM1812" s="545"/>
      <c r="AAN1812" s="545"/>
      <c r="AAO1812" s="652"/>
      <c r="AAP1812" s="582"/>
      <c r="AAQ1812" s="582"/>
      <c r="AAR1812" s="629"/>
      <c r="AAS1812" s="630"/>
      <c r="AAT1812" s="630"/>
      <c r="AAU1812" s="630"/>
      <c r="AAV1812" s="630"/>
      <c r="AAW1812" s="631"/>
      <c r="AAX1812" s="587"/>
      <c r="AAY1812" s="569"/>
      <c r="AAZ1812" s="582"/>
      <c r="ABA1812" s="587"/>
      <c r="ABB1812" s="569"/>
      <c r="ABC1812" s="569"/>
      <c r="ABD1812" s="569"/>
      <c r="ABE1812" s="582"/>
      <c r="ABF1812" s="587"/>
      <c r="ABG1812" s="582"/>
      <c r="ABH1812" s="587"/>
      <c r="ABI1812" s="569"/>
      <c r="ABJ1812" s="569"/>
      <c r="ABK1812" s="569"/>
      <c r="ABL1812" s="618"/>
      <c r="ABM1812" s="653"/>
      <c r="ABN1812" s="545"/>
      <c r="ABO1812" s="651"/>
      <c r="ABP1812" s="653"/>
      <c r="ABQ1812" s="591"/>
      <c r="ABR1812" s="653"/>
      <c r="ABS1812" s="654"/>
      <c r="ABT1812" s="555"/>
      <c r="ABU1812" s="556"/>
      <c r="ABV1812" s="633"/>
      <c r="ABW1812" s="634"/>
      <c r="ABX1812" s="635"/>
      <c r="ABY1812" s="560"/>
      <c r="ABZ1812" s="589"/>
      <c r="ACA1812" s="636"/>
      <c r="ACB1812" s="559"/>
      <c r="ACC1812" s="557"/>
      <c r="ACD1812" s="558"/>
      <c r="ACE1812" s="590"/>
      <c r="ACF1812" s="591"/>
      <c r="ACG1812" s="591"/>
      <c r="ACH1812" s="592"/>
      <c r="ACI1812" s="593"/>
      <c r="ACJ1812" s="591"/>
      <c r="ACK1812" s="591"/>
      <c r="ACL1812" s="591"/>
      <c r="ACM1812" s="592"/>
      <c r="ACN1812" s="593"/>
      <c r="ACO1812" s="594"/>
      <c r="ACP1812" s="590"/>
      <c r="ACQ1812" s="591"/>
      <c r="ACR1812" s="591"/>
      <c r="ACS1812" s="591"/>
      <c r="ACT1812" s="591"/>
      <c r="ACU1812" s="591"/>
      <c r="ACV1812" s="591"/>
      <c r="ACW1812" s="560"/>
      <c r="ACX1812" s="560"/>
      <c r="ACY1812" s="592"/>
      <c r="ACZ1812" s="594"/>
      <c r="ADA1812" s="593"/>
      <c r="ADB1812" s="595"/>
      <c r="ADC1812" s="542"/>
      <c r="ADD1812" s="542"/>
      <c r="ADE1812" s="542"/>
      <c r="ADF1812" s="542"/>
      <c r="ADG1812" s="542"/>
      <c r="ADH1812" s="547"/>
      <c r="ADI1812" s="544"/>
      <c r="ADJ1812" s="545"/>
      <c r="ADK1812" s="545"/>
      <c r="ADL1812" s="545"/>
      <c r="ADM1812" s="652"/>
      <c r="ADN1812" s="582"/>
      <c r="ADO1812" s="582"/>
      <c r="ADP1812" s="629"/>
      <c r="ADQ1812" s="630"/>
      <c r="ADR1812" s="630"/>
      <c r="ADS1812" s="630"/>
      <c r="ADT1812" s="630"/>
      <c r="ADU1812" s="631"/>
      <c r="ADV1812" s="587"/>
      <c r="ADW1812" s="569"/>
      <c r="ADX1812" s="582"/>
      <c r="ADY1812" s="587"/>
      <c r="ADZ1812" s="569"/>
      <c r="AEA1812" s="569"/>
      <c r="AEB1812" s="569"/>
      <c r="AEC1812" s="582"/>
      <c r="AED1812" s="587"/>
      <c r="AEE1812" s="582"/>
      <c r="AEF1812" s="587"/>
      <c r="AEG1812" s="569"/>
      <c r="AEH1812" s="569"/>
      <c r="AEI1812" s="569"/>
      <c r="AEJ1812" s="618"/>
      <c r="AEK1812" s="653"/>
      <c r="AEL1812" s="545"/>
      <c r="AEM1812" s="651"/>
      <c r="AEN1812" s="653"/>
      <c r="AEO1812" s="591"/>
      <c r="AEP1812" s="653"/>
      <c r="AEQ1812" s="654"/>
      <c r="AER1812" s="555"/>
      <c r="AES1812" s="556"/>
      <c r="AET1812" s="633"/>
      <c r="AEU1812" s="634"/>
      <c r="AEV1812" s="635"/>
      <c r="AEW1812" s="560"/>
      <c r="AEX1812" s="589"/>
      <c r="AEY1812" s="636"/>
      <c r="AEZ1812" s="559"/>
      <c r="AFA1812" s="557"/>
      <c r="AFB1812" s="558"/>
      <c r="AFC1812" s="590"/>
      <c r="AFD1812" s="591"/>
      <c r="AFE1812" s="591"/>
      <c r="AFF1812" s="592"/>
      <c r="AFG1812" s="593"/>
      <c r="AFH1812" s="591"/>
      <c r="AFI1812" s="591"/>
      <c r="AFJ1812" s="591"/>
      <c r="AFK1812" s="592"/>
      <c r="AFL1812" s="593"/>
      <c r="AFM1812" s="594"/>
      <c r="AFN1812" s="590"/>
      <c r="AFO1812" s="591"/>
      <c r="AFP1812" s="591"/>
      <c r="AFQ1812" s="591"/>
      <c r="AFR1812" s="591"/>
      <c r="AFS1812" s="591"/>
      <c r="AFT1812" s="591"/>
      <c r="AFU1812" s="560"/>
      <c r="AFV1812" s="560"/>
      <c r="AFW1812" s="592"/>
      <c r="AFX1812" s="594"/>
      <c r="AFY1812" s="593"/>
      <c r="AFZ1812" s="595"/>
      <c r="AGA1812" s="542"/>
      <c r="AGB1812" s="542"/>
      <c r="AGC1812" s="542"/>
      <c r="AGD1812" s="542"/>
      <c r="AGE1812" s="542"/>
      <c r="AGF1812" s="547"/>
      <c r="AGG1812" s="544"/>
      <c r="AGH1812" s="545"/>
      <c r="AGI1812" s="545"/>
      <c r="AGJ1812" s="545"/>
      <c r="AGK1812" s="652"/>
      <c r="AGL1812" s="582"/>
      <c r="AGM1812" s="582"/>
      <c r="AGN1812" s="629"/>
      <c r="AGO1812" s="630"/>
      <c r="AGP1812" s="630"/>
      <c r="AGQ1812" s="630"/>
      <c r="AGR1812" s="630"/>
      <c r="AGS1812" s="631"/>
      <c r="AGT1812" s="587"/>
      <c r="AGU1812" s="569"/>
      <c r="AGV1812" s="582"/>
      <c r="AGW1812" s="587"/>
      <c r="AGX1812" s="569"/>
      <c r="AGY1812" s="569"/>
      <c r="AGZ1812" s="569"/>
      <c r="AHA1812" s="582"/>
      <c r="AHB1812" s="587"/>
      <c r="AHC1812" s="582"/>
      <c r="AHD1812" s="587"/>
      <c r="AHE1812" s="569"/>
      <c r="AHF1812" s="569"/>
      <c r="AHG1812" s="569"/>
      <c r="AHH1812" s="618"/>
      <c r="AHI1812" s="653"/>
      <c r="AHJ1812" s="545"/>
      <c r="AHK1812" s="651"/>
      <c r="AHL1812" s="653"/>
      <c r="AHM1812" s="591"/>
      <c r="AHN1812" s="653"/>
      <c r="AHO1812" s="654"/>
      <c r="AHP1812" s="555"/>
      <c r="AHQ1812" s="556"/>
      <c r="AHR1812" s="633"/>
      <c r="AHS1812" s="634"/>
      <c r="AHT1812" s="635"/>
      <c r="AHU1812" s="560"/>
      <c r="AHV1812" s="589"/>
      <c r="AHW1812" s="636"/>
      <c r="AHX1812" s="559"/>
      <c r="AHY1812" s="557"/>
      <c r="AHZ1812" s="558"/>
      <c r="AIA1812" s="590"/>
      <c r="AIB1812" s="591"/>
      <c r="AIC1812" s="591"/>
      <c r="AID1812" s="592"/>
      <c r="AIE1812" s="593"/>
      <c r="AIF1812" s="591"/>
      <c r="AIG1812" s="591"/>
      <c r="AIH1812" s="591"/>
      <c r="AII1812" s="592"/>
      <c r="AIJ1812" s="593"/>
      <c r="AIK1812" s="594"/>
      <c r="AIL1812" s="590"/>
      <c r="AIM1812" s="591"/>
      <c r="AIN1812" s="591"/>
      <c r="AIO1812" s="591"/>
      <c r="AIP1812" s="591"/>
      <c r="AIQ1812" s="591"/>
      <c r="AIR1812" s="591"/>
      <c r="AIS1812" s="560"/>
      <c r="AIT1812" s="560"/>
      <c r="AIU1812" s="592"/>
      <c r="AIV1812" s="594"/>
      <c r="AIW1812" s="593"/>
      <c r="AIX1812" s="595"/>
      <c r="AIY1812" s="542"/>
      <c r="AIZ1812" s="542"/>
      <c r="AJA1812" s="542"/>
      <c r="AJB1812" s="542"/>
      <c r="AJC1812" s="542"/>
      <c r="AJD1812" s="547"/>
      <c r="AJE1812" s="544"/>
      <c r="AJF1812" s="545"/>
      <c r="AJG1812" s="545"/>
      <c r="AJH1812" s="545"/>
      <c r="AJI1812" s="652"/>
      <c r="AJJ1812" s="582"/>
      <c r="AJK1812" s="582"/>
      <c r="AJL1812" s="629"/>
      <c r="AJM1812" s="630"/>
      <c r="AJN1812" s="630"/>
      <c r="AJO1812" s="630"/>
      <c r="AJP1812" s="630"/>
      <c r="AJQ1812" s="631"/>
      <c r="AJR1812" s="587"/>
      <c r="AJS1812" s="569"/>
      <c r="AJT1812" s="582"/>
      <c r="AJU1812" s="587"/>
      <c r="AJV1812" s="569"/>
      <c r="AJW1812" s="569"/>
      <c r="AJX1812" s="569"/>
      <c r="AJY1812" s="582"/>
      <c r="AJZ1812" s="587"/>
      <c r="AKA1812" s="582"/>
      <c r="AKB1812" s="587"/>
      <c r="AKC1812" s="569"/>
      <c r="AKD1812" s="569"/>
      <c r="AKE1812" s="569"/>
      <c r="AKF1812" s="618"/>
      <c r="AKG1812" s="653"/>
      <c r="AKH1812" s="545"/>
      <c r="AKI1812" s="651"/>
      <c r="AKJ1812" s="653"/>
      <c r="AKK1812" s="591"/>
      <c r="AKL1812" s="653"/>
      <c r="AKM1812" s="654"/>
      <c r="AKN1812" s="555"/>
      <c r="AKO1812" s="556"/>
      <c r="AKP1812" s="633"/>
      <c r="AKQ1812" s="634"/>
      <c r="AKR1812" s="635"/>
      <c r="AKS1812" s="560"/>
      <c r="AKT1812" s="589"/>
      <c r="AKU1812" s="636"/>
      <c r="AKV1812" s="559"/>
      <c r="AKW1812" s="557"/>
      <c r="AKX1812" s="558"/>
      <c r="AKY1812" s="590"/>
      <c r="AKZ1812" s="591"/>
      <c r="ALA1812" s="591"/>
      <c r="ALB1812" s="592"/>
      <c r="ALC1812" s="593"/>
      <c r="ALD1812" s="591"/>
      <c r="ALE1812" s="591"/>
      <c r="ALF1812" s="591"/>
      <c r="ALG1812" s="592"/>
      <c r="ALH1812" s="593"/>
      <c r="ALI1812" s="594"/>
      <c r="ALJ1812" s="590"/>
      <c r="ALK1812" s="591"/>
      <c r="ALL1812" s="591"/>
      <c r="ALM1812" s="591"/>
      <c r="ALN1812" s="591"/>
      <c r="ALO1812" s="591"/>
      <c r="ALP1812" s="591"/>
      <c r="ALQ1812" s="560"/>
      <c r="ALR1812" s="560"/>
      <c r="ALS1812" s="592"/>
      <c r="ALT1812" s="594"/>
      <c r="ALU1812" s="593"/>
      <c r="ALV1812" s="595"/>
      <c r="ALW1812" s="542"/>
      <c r="ALX1812" s="542"/>
      <c r="ALY1812" s="542"/>
      <c r="ALZ1812" s="542"/>
      <c r="AMA1812" s="542"/>
      <c r="AMB1812" s="547"/>
      <c r="AMC1812" s="544"/>
      <c r="AMD1812" s="545"/>
      <c r="AME1812" s="545"/>
      <c r="AMF1812" s="545"/>
      <c r="AMG1812" s="652"/>
      <c r="AMH1812" s="582"/>
      <c r="AMI1812" s="582"/>
      <c r="AMJ1812" s="629"/>
      <c r="AMK1812" s="630"/>
      <c r="AML1812" s="630"/>
      <c r="AMM1812" s="630"/>
      <c r="AMN1812" s="630"/>
      <c r="AMO1812" s="631"/>
      <c r="AMP1812" s="587"/>
      <c r="AMQ1812" s="569"/>
      <c r="AMR1812" s="582"/>
      <c r="AMS1812" s="587"/>
      <c r="AMT1812" s="569"/>
      <c r="AMU1812" s="569"/>
      <c r="AMV1812" s="569"/>
      <c r="AMW1812" s="582"/>
      <c r="AMX1812" s="587"/>
      <c r="AMY1812" s="582"/>
      <c r="AMZ1812" s="587"/>
      <c r="ANA1812" s="569"/>
      <c r="ANB1812" s="569"/>
      <c r="ANC1812" s="569"/>
      <c r="AND1812" s="618"/>
      <c r="ANE1812" s="653"/>
      <c r="ANF1812" s="545"/>
      <c r="ANG1812" s="651"/>
      <c r="ANH1812" s="653"/>
      <c r="ANI1812" s="591"/>
      <c r="ANJ1812" s="653"/>
      <c r="ANK1812" s="654"/>
      <c r="ANL1812" s="555"/>
      <c r="ANM1812" s="556"/>
      <c r="ANN1812" s="633"/>
      <c r="ANO1812" s="634"/>
      <c r="ANP1812" s="635"/>
      <c r="ANQ1812" s="560"/>
      <c r="ANR1812" s="589"/>
      <c r="ANS1812" s="636"/>
      <c r="ANT1812" s="559"/>
      <c r="ANU1812" s="557"/>
      <c r="ANV1812" s="558"/>
      <c r="ANW1812" s="590"/>
      <c r="ANX1812" s="591"/>
      <c r="ANY1812" s="591"/>
      <c r="ANZ1812" s="592"/>
      <c r="AOA1812" s="593"/>
      <c r="AOB1812" s="591"/>
      <c r="AOC1812" s="591"/>
      <c r="AOD1812" s="591"/>
      <c r="AOE1812" s="592"/>
      <c r="AOF1812" s="593"/>
      <c r="AOG1812" s="594"/>
      <c r="AOH1812" s="590"/>
      <c r="AOI1812" s="591"/>
      <c r="AOJ1812" s="591"/>
      <c r="AOK1812" s="591"/>
      <c r="AOL1812" s="591"/>
      <c r="AOM1812" s="591"/>
      <c r="AON1812" s="591"/>
      <c r="AOO1812" s="560"/>
      <c r="AOP1812" s="560"/>
      <c r="AOQ1812" s="592"/>
      <c r="AOR1812" s="594"/>
      <c r="AOS1812" s="593"/>
      <c r="AOT1812" s="595"/>
      <c r="AOU1812" s="542"/>
      <c r="AOV1812" s="542"/>
      <c r="AOW1812" s="542"/>
      <c r="AOX1812" s="542"/>
      <c r="AOY1812" s="542"/>
      <c r="AOZ1812" s="547"/>
      <c r="APA1812" s="544"/>
      <c r="APB1812" s="545"/>
      <c r="APC1812" s="545"/>
      <c r="APD1812" s="545"/>
      <c r="APE1812" s="652"/>
      <c r="APF1812" s="582"/>
      <c r="APG1812" s="582"/>
      <c r="APH1812" s="629"/>
      <c r="API1812" s="630"/>
      <c r="APJ1812" s="630"/>
      <c r="APK1812" s="630"/>
      <c r="APL1812" s="630"/>
      <c r="APM1812" s="631"/>
      <c r="APN1812" s="587"/>
      <c r="APO1812" s="569"/>
      <c r="APP1812" s="582"/>
      <c r="APQ1812" s="587"/>
      <c r="APR1812" s="569"/>
      <c r="APS1812" s="569"/>
      <c r="APT1812" s="569"/>
      <c r="APU1812" s="582"/>
      <c r="APV1812" s="587"/>
      <c r="APW1812" s="582"/>
      <c r="APX1812" s="587"/>
      <c r="APY1812" s="569"/>
      <c r="APZ1812" s="569"/>
      <c r="AQA1812" s="569"/>
      <c r="AQB1812" s="618"/>
      <c r="AQC1812" s="653"/>
      <c r="AQD1812" s="545"/>
      <c r="AQE1812" s="651"/>
      <c r="AQF1812" s="653"/>
      <c r="AQG1812" s="591"/>
      <c r="AQH1812" s="653"/>
      <c r="AQI1812" s="654"/>
      <c r="AQJ1812" s="555"/>
      <c r="AQK1812" s="556"/>
      <c r="AQL1812" s="633"/>
      <c r="AQM1812" s="634"/>
      <c r="AQN1812" s="635"/>
      <c r="AQO1812" s="560"/>
      <c r="AQP1812" s="589"/>
      <c r="AQQ1812" s="636"/>
      <c r="AQR1812" s="559"/>
      <c r="AQS1812" s="557"/>
      <c r="AQT1812" s="558"/>
      <c r="AQU1812" s="590"/>
      <c r="AQV1812" s="591"/>
      <c r="AQW1812" s="591"/>
      <c r="AQX1812" s="592"/>
      <c r="AQY1812" s="593"/>
      <c r="AQZ1812" s="591"/>
      <c r="ARA1812" s="591"/>
      <c r="ARB1812" s="591"/>
      <c r="ARC1812" s="592"/>
      <c r="ARD1812" s="593"/>
      <c r="ARE1812" s="594"/>
      <c r="ARF1812" s="590"/>
      <c r="ARG1812" s="591"/>
      <c r="ARH1812" s="591"/>
      <c r="ARI1812" s="591"/>
      <c r="ARJ1812" s="591"/>
      <c r="ARK1812" s="591"/>
      <c r="ARL1812" s="591"/>
      <c r="ARM1812" s="560"/>
      <c r="ARN1812" s="560"/>
      <c r="ARO1812" s="592"/>
      <c r="ARP1812" s="594"/>
      <c r="ARQ1812" s="593"/>
      <c r="ARR1812" s="595"/>
      <c r="ARS1812" s="542"/>
      <c r="ART1812" s="542"/>
      <c r="ARU1812" s="542"/>
      <c r="ARV1812" s="542"/>
      <c r="ARW1812" s="542"/>
      <c r="ARX1812" s="547"/>
      <c r="ARY1812" s="544"/>
      <c r="ARZ1812" s="545"/>
      <c r="ASA1812" s="545"/>
      <c r="ASB1812" s="545"/>
      <c r="ASC1812" s="652"/>
      <c r="ASD1812" s="582"/>
      <c r="ASE1812" s="582"/>
      <c r="ASF1812" s="629"/>
      <c r="ASG1812" s="630"/>
      <c r="ASH1812" s="630"/>
      <c r="ASI1812" s="630"/>
      <c r="ASJ1812" s="630"/>
      <c r="ASK1812" s="631"/>
      <c r="ASL1812" s="587"/>
      <c r="ASM1812" s="569"/>
      <c r="ASN1812" s="582"/>
      <c r="ASO1812" s="587"/>
      <c r="ASP1812" s="569"/>
      <c r="ASQ1812" s="569"/>
      <c r="ASR1812" s="569"/>
      <c r="ASS1812" s="582"/>
      <c r="AST1812" s="587"/>
      <c r="ASU1812" s="582"/>
      <c r="ASV1812" s="587"/>
      <c r="ASW1812" s="569"/>
      <c r="ASX1812" s="569"/>
      <c r="ASY1812" s="569"/>
      <c r="ASZ1812" s="618"/>
      <c r="ATA1812" s="653"/>
      <c r="ATB1812" s="545"/>
      <c r="ATC1812" s="651"/>
      <c r="ATD1812" s="653"/>
      <c r="ATE1812" s="591"/>
      <c r="ATF1812" s="653"/>
      <c r="ATG1812" s="654"/>
      <c r="ATH1812" s="555"/>
      <c r="ATI1812" s="556"/>
      <c r="ATJ1812" s="633"/>
      <c r="ATK1812" s="634"/>
      <c r="ATL1812" s="635"/>
      <c r="ATM1812" s="560"/>
      <c r="ATN1812" s="589"/>
      <c r="ATO1812" s="636"/>
      <c r="ATP1812" s="559"/>
      <c r="ATQ1812" s="557"/>
      <c r="ATR1812" s="558"/>
      <c r="ATS1812" s="590"/>
      <c r="ATT1812" s="591"/>
      <c r="ATU1812" s="591"/>
      <c r="ATV1812" s="592"/>
      <c r="ATW1812" s="593"/>
      <c r="ATX1812" s="591"/>
      <c r="ATY1812" s="591"/>
      <c r="ATZ1812" s="591"/>
      <c r="AUA1812" s="592"/>
      <c r="AUB1812" s="593"/>
      <c r="AUC1812" s="594"/>
      <c r="AUD1812" s="590"/>
      <c r="AUE1812" s="591"/>
      <c r="AUF1812" s="591"/>
      <c r="AUG1812" s="591"/>
      <c r="AUH1812" s="591"/>
      <c r="AUI1812" s="591"/>
      <c r="AUJ1812" s="591"/>
      <c r="AUK1812" s="560"/>
      <c r="AUL1812" s="560"/>
      <c r="AUM1812" s="592"/>
      <c r="AUN1812" s="594"/>
      <c r="AUO1812" s="593"/>
      <c r="AUP1812" s="595"/>
      <c r="AUQ1812" s="542"/>
      <c r="AUR1812" s="542"/>
      <c r="AUS1812" s="542"/>
      <c r="AUT1812" s="542"/>
      <c r="AUU1812" s="542"/>
      <c r="AUV1812" s="547"/>
      <c r="AUW1812" s="544"/>
      <c r="AUX1812" s="545"/>
      <c r="AUY1812" s="545"/>
      <c r="AUZ1812" s="545"/>
      <c r="AVA1812" s="652"/>
      <c r="AVB1812" s="582"/>
      <c r="AVC1812" s="582"/>
      <c r="AVD1812" s="629"/>
      <c r="AVE1812" s="630"/>
      <c r="AVF1812" s="630"/>
      <c r="AVG1812" s="630"/>
      <c r="AVH1812" s="630"/>
      <c r="AVI1812" s="631"/>
      <c r="AVJ1812" s="587"/>
      <c r="AVK1812" s="569"/>
      <c r="AVL1812" s="582"/>
      <c r="AVM1812" s="587"/>
      <c r="AVN1812" s="569"/>
      <c r="AVO1812" s="569"/>
      <c r="AVP1812" s="569"/>
      <c r="AVQ1812" s="582"/>
      <c r="AVR1812" s="587"/>
      <c r="AVS1812" s="582"/>
      <c r="AVT1812" s="587"/>
      <c r="AVU1812" s="569"/>
      <c r="AVV1812" s="569"/>
      <c r="AVW1812" s="569"/>
      <c r="AVX1812" s="618"/>
      <c r="AVY1812" s="653"/>
      <c r="AVZ1812" s="545"/>
      <c r="AWA1812" s="651"/>
      <c r="AWB1812" s="653"/>
      <c r="AWC1812" s="591"/>
      <c r="AWD1812" s="653"/>
      <c r="AWE1812" s="654"/>
      <c r="AWF1812" s="555"/>
      <c r="AWG1812" s="556"/>
      <c r="AWH1812" s="633"/>
      <c r="AWI1812" s="634"/>
      <c r="AWJ1812" s="635"/>
      <c r="AWK1812" s="560"/>
      <c r="AWL1812" s="589"/>
      <c r="AWM1812" s="636"/>
      <c r="AWN1812" s="559"/>
      <c r="AWO1812" s="557"/>
      <c r="AWP1812" s="558"/>
      <c r="AWQ1812" s="590"/>
      <c r="AWR1812" s="591"/>
      <c r="AWS1812" s="591"/>
      <c r="AWT1812" s="592"/>
      <c r="AWU1812" s="593"/>
      <c r="AWV1812" s="591"/>
      <c r="AWW1812" s="591"/>
      <c r="AWX1812" s="591"/>
      <c r="AWY1812" s="592"/>
      <c r="AWZ1812" s="593"/>
      <c r="AXA1812" s="594"/>
      <c r="AXB1812" s="590"/>
      <c r="AXC1812" s="591"/>
      <c r="AXD1812" s="591"/>
      <c r="AXE1812" s="591"/>
      <c r="AXF1812" s="591"/>
      <c r="AXG1812" s="591"/>
      <c r="AXH1812" s="591"/>
      <c r="AXI1812" s="560"/>
      <c r="AXJ1812" s="560"/>
      <c r="AXK1812" s="592"/>
      <c r="AXL1812" s="594"/>
      <c r="AXM1812" s="593"/>
      <c r="AXN1812" s="595"/>
      <c r="AXO1812" s="542"/>
      <c r="AXP1812" s="542"/>
      <c r="AXQ1812" s="542"/>
      <c r="AXR1812" s="542"/>
      <c r="AXS1812" s="542"/>
      <c r="AXT1812" s="547"/>
      <c r="AXU1812" s="544"/>
      <c r="AXV1812" s="545"/>
      <c r="AXW1812" s="545"/>
      <c r="AXX1812" s="545"/>
      <c r="AXY1812" s="652"/>
      <c r="AXZ1812" s="582"/>
      <c r="AYA1812" s="582"/>
      <c r="AYB1812" s="629"/>
      <c r="AYC1812" s="630"/>
      <c r="AYD1812" s="630"/>
      <c r="AYE1812" s="630"/>
      <c r="AYF1812" s="630"/>
      <c r="AYG1812" s="631"/>
      <c r="AYH1812" s="587"/>
      <c r="AYI1812" s="569"/>
      <c r="AYJ1812" s="582"/>
      <c r="AYK1812" s="587"/>
      <c r="AYL1812" s="569"/>
      <c r="AYM1812" s="569"/>
      <c r="AYN1812" s="569"/>
      <c r="AYO1812" s="582"/>
      <c r="AYP1812" s="587"/>
      <c r="AYQ1812" s="582"/>
      <c r="AYR1812" s="587"/>
      <c r="AYS1812" s="569"/>
      <c r="AYT1812" s="569"/>
      <c r="AYU1812" s="569"/>
      <c r="AYV1812" s="618"/>
      <c r="AYW1812" s="653"/>
      <c r="AYX1812" s="545"/>
      <c r="AYY1812" s="651"/>
      <c r="AYZ1812" s="653"/>
      <c r="AZA1812" s="591"/>
      <c r="AZB1812" s="653"/>
      <c r="AZC1812" s="654"/>
      <c r="AZD1812" s="555"/>
      <c r="AZE1812" s="556"/>
      <c r="AZF1812" s="633"/>
      <c r="AZG1812" s="634"/>
      <c r="AZH1812" s="635"/>
      <c r="AZI1812" s="560"/>
      <c r="AZJ1812" s="589"/>
      <c r="AZK1812" s="636"/>
      <c r="AZL1812" s="559"/>
      <c r="AZM1812" s="557"/>
      <c r="AZN1812" s="558"/>
      <c r="AZO1812" s="590"/>
      <c r="AZP1812" s="591"/>
      <c r="AZQ1812" s="591"/>
      <c r="AZR1812" s="592"/>
      <c r="AZS1812" s="593"/>
      <c r="AZT1812" s="591"/>
      <c r="AZU1812" s="591"/>
      <c r="AZV1812" s="591"/>
      <c r="AZW1812" s="592"/>
      <c r="AZX1812" s="593"/>
      <c r="AZY1812" s="594"/>
      <c r="AZZ1812" s="590"/>
      <c r="BAA1812" s="591"/>
      <c r="BAB1812" s="591"/>
      <c r="BAC1812" s="591"/>
      <c r="BAD1812" s="591"/>
      <c r="BAE1812" s="591"/>
      <c r="BAF1812" s="591"/>
      <c r="BAG1812" s="560"/>
      <c r="BAH1812" s="560"/>
      <c r="BAI1812" s="592"/>
      <c r="BAJ1812" s="594"/>
      <c r="BAK1812" s="593"/>
      <c r="BAL1812" s="595"/>
      <c r="BAM1812" s="542"/>
      <c r="BAN1812" s="542"/>
      <c r="BAO1812" s="542"/>
      <c r="BAP1812" s="542"/>
      <c r="BAQ1812" s="542"/>
      <c r="BAR1812" s="547"/>
      <c r="BAS1812" s="544"/>
      <c r="BAT1812" s="545"/>
      <c r="BAU1812" s="545"/>
      <c r="BAV1812" s="545"/>
      <c r="BAW1812" s="652"/>
      <c r="BAX1812" s="582"/>
      <c r="BAY1812" s="582"/>
      <c r="BAZ1812" s="629"/>
      <c r="BBA1812" s="630"/>
      <c r="BBB1812" s="630"/>
      <c r="BBC1812" s="630"/>
      <c r="BBD1812" s="630"/>
      <c r="BBE1812" s="631"/>
      <c r="BBF1812" s="587"/>
      <c r="BBG1812" s="569"/>
      <c r="BBH1812" s="582"/>
      <c r="BBI1812" s="587"/>
      <c r="BBJ1812" s="569"/>
      <c r="BBK1812" s="569"/>
      <c r="BBL1812" s="569"/>
      <c r="BBM1812" s="582"/>
      <c r="BBN1812" s="587"/>
      <c r="BBO1812" s="582"/>
      <c r="BBP1812" s="587"/>
      <c r="BBQ1812" s="569"/>
      <c r="BBR1812" s="569"/>
      <c r="BBS1812" s="569"/>
      <c r="BBT1812" s="618"/>
      <c r="BBU1812" s="653"/>
      <c r="BBV1812" s="545"/>
      <c r="BBW1812" s="651"/>
      <c r="BBX1812" s="653"/>
      <c r="BBY1812" s="591"/>
      <c r="BBZ1812" s="653"/>
      <c r="BCA1812" s="654"/>
      <c r="BCB1812" s="555"/>
      <c r="BCC1812" s="556"/>
      <c r="BCD1812" s="633"/>
      <c r="BCE1812" s="634"/>
      <c r="BCF1812" s="635"/>
      <c r="BCG1812" s="560"/>
      <c r="BCH1812" s="589"/>
      <c r="BCI1812" s="636"/>
      <c r="BCJ1812" s="559"/>
      <c r="BCK1812" s="557"/>
      <c r="BCL1812" s="558"/>
      <c r="BCM1812" s="590"/>
      <c r="BCN1812" s="591"/>
      <c r="BCO1812" s="591"/>
      <c r="BCP1812" s="592"/>
      <c r="BCQ1812" s="593"/>
      <c r="BCR1812" s="591"/>
      <c r="BCS1812" s="591"/>
      <c r="BCT1812" s="591"/>
      <c r="BCU1812" s="592"/>
      <c r="BCV1812" s="593"/>
      <c r="BCW1812" s="594"/>
      <c r="BCX1812" s="590"/>
      <c r="BCY1812" s="591"/>
      <c r="BCZ1812" s="591"/>
      <c r="BDA1812" s="591"/>
      <c r="BDB1812" s="591"/>
      <c r="BDC1812" s="591"/>
      <c r="BDD1812" s="591"/>
      <c r="BDE1812" s="560"/>
      <c r="BDF1812" s="560"/>
      <c r="BDG1812" s="592"/>
      <c r="BDH1812" s="594"/>
      <c r="BDI1812" s="593"/>
      <c r="BDJ1812" s="595"/>
      <c r="BDK1812" s="542"/>
      <c r="BDL1812" s="542"/>
      <c r="BDM1812" s="542"/>
      <c r="BDN1812" s="542"/>
      <c r="BDO1812" s="542"/>
      <c r="BDP1812" s="547"/>
      <c r="BDQ1812" s="544"/>
      <c r="BDR1812" s="545"/>
      <c r="BDS1812" s="545"/>
      <c r="BDT1812" s="545"/>
      <c r="BDU1812" s="652"/>
      <c r="BDV1812" s="582"/>
      <c r="BDW1812" s="582"/>
      <c r="BDX1812" s="629"/>
      <c r="BDY1812" s="630"/>
      <c r="BDZ1812" s="630"/>
      <c r="BEA1812" s="630"/>
      <c r="BEB1812" s="630"/>
      <c r="BEC1812" s="631"/>
      <c r="BED1812" s="587"/>
      <c r="BEE1812" s="569"/>
      <c r="BEF1812" s="582"/>
      <c r="BEG1812" s="587"/>
      <c r="BEH1812" s="569"/>
      <c r="BEI1812" s="569"/>
      <c r="BEJ1812" s="569"/>
      <c r="BEK1812" s="582"/>
      <c r="BEL1812" s="587"/>
      <c r="BEM1812" s="582"/>
      <c r="BEN1812" s="587"/>
      <c r="BEO1812" s="569"/>
      <c r="BEP1812" s="569"/>
      <c r="BEQ1812" s="569"/>
      <c r="BER1812" s="618"/>
      <c r="BES1812" s="653"/>
      <c r="BET1812" s="545"/>
      <c r="BEU1812" s="651"/>
      <c r="BEV1812" s="653"/>
      <c r="BEW1812" s="591"/>
      <c r="BEX1812" s="653"/>
      <c r="BEY1812" s="654"/>
      <c r="BEZ1812" s="555"/>
      <c r="BFA1812" s="556"/>
      <c r="BFB1812" s="633"/>
      <c r="BFC1812" s="634"/>
      <c r="BFD1812" s="635"/>
      <c r="BFE1812" s="560"/>
      <c r="BFF1812" s="589"/>
      <c r="BFG1812" s="636"/>
      <c r="BFH1812" s="559"/>
      <c r="BFI1812" s="557"/>
      <c r="BFJ1812" s="558"/>
      <c r="BFK1812" s="590"/>
      <c r="BFL1812" s="591"/>
      <c r="BFM1812" s="591"/>
      <c r="BFN1812" s="592"/>
      <c r="BFO1812" s="593"/>
      <c r="BFP1812" s="591"/>
      <c r="BFQ1812" s="591"/>
      <c r="BFR1812" s="591"/>
      <c r="BFS1812" s="592"/>
      <c r="BFT1812" s="593"/>
      <c r="BFU1812" s="594"/>
      <c r="BFV1812" s="590"/>
      <c r="BFW1812" s="591"/>
      <c r="BFX1812" s="591"/>
      <c r="BFY1812" s="591"/>
      <c r="BFZ1812" s="591"/>
      <c r="BGA1812" s="591"/>
      <c r="BGB1812" s="591"/>
      <c r="BGC1812" s="560"/>
      <c r="BGD1812" s="560"/>
      <c r="BGE1812" s="592"/>
      <c r="BGF1812" s="594"/>
      <c r="BGG1812" s="593"/>
      <c r="BGH1812" s="595"/>
      <c r="BGI1812" s="542"/>
      <c r="BGJ1812" s="542"/>
      <c r="BGK1812" s="542"/>
      <c r="BGL1812" s="542"/>
      <c r="BGM1812" s="542"/>
      <c r="BGN1812" s="547"/>
      <c r="BGO1812" s="544"/>
      <c r="BGP1812" s="545"/>
      <c r="BGQ1812" s="545"/>
      <c r="BGR1812" s="545"/>
      <c r="BGS1812" s="652"/>
      <c r="BGT1812" s="582"/>
      <c r="BGU1812" s="582"/>
      <c r="BGV1812" s="629"/>
      <c r="BGW1812" s="630"/>
      <c r="BGX1812" s="630"/>
      <c r="BGY1812" s="630"/>
      <c r="BGZ1812" s="630"/>
      <c r="BHA1812" s="631"/>
      <c r="BHB1812" s="587"/>
      <c r="BHC1812" s="569"/>
      <c r="BHD1812" s="582"/>
      <c r="BHE1812" s="587"/>
      <c r="BHF1812" s="569"/>
      <c r="BHG1812" s="569"/>
      <c r="BHH1812" s="569"/>
      <c r="BHI1812" s="582"/>
      <c r="BHJ1812" s="587"/>
      <c r="BHK1812" s="582"/>
      <c r="BHL1812" s="587"/>
      <c r="BHM1812" s="569"/>
      <c r="BHN1812" s="569"/>
      <c r="BHO1812" s="569"/>
      <c r="BHP1812" s="618"/>
      <c r="BHQ1812" s="653"/>
      <c r="BHR1812" s="545"/>
      <c r="BHS1812" s="651"/>
      <c r="BHT1812" s="653"/>
      <c r="BHU1812" s="591"/>
      <c r="BHV1812" s="653"/>
      <c r="BHW1812" s="654"/>
      <c r="BHX1812" s="555"/>
      <c r="BHY1812" s="556"/>
      <c r="BHZ1812" s="633"/>
      <c r="BIA1812" s="634"/>
      <c r="BIB1812" s="635"/>
      <c r="BIC1812" s="560"/>
      <c r="BID1812" s="589"/>
      <c r="BIE1812" s="636"/>
      <c r="BIF1812" s="559"/>
      <c r="BIG1812" s="557"/>
      <c r="BIH1812" s="558"/>
      <c r="BII1812" s="590"/>
      <c r="BIJ1812" s="591"/>
      <c r="BIK1812" s="591"/>
      <c r="BIL1812" s="592"/>
      <c r="BIM1812" s="593"/>
      <c r="BIN1812" s="591"/>
      <c r="BIO1812" s="591"/>
      <c r="BIP1812" s="591"/>
      <c r="BIQ1812" s="592"/>
      <c r="BIR1812" s="593"/>
      <c r="BIS1812" s="594"/>
      <c r="BIT1812" s="590"/>
      <c r="BIU1812" s="591"/>
      <c r="BIV1812" s="591"/>
      <c r="BIW1812" s="591"/>
      <c r="BIX1812" s="591"/>
      <c r="BIY1812" s="591"/>
      <c r="BIZ1812" s="591"/>
      <c r="BJA1812" s="560"/>
      <c r="BJB1812" s="560"/>
      <c r="BJC1812" s="592"/>
      <c r="BJD1812" s="594"/>
      <c r="BJE1812" s="593"/>
      <c r="BJF1812" s="595"/>
      <c r="BJG1812" s="542"/>
      <c r="BJH1812" s="542"/>
      <c r="BJI1812" s="542"/>
      <c r="BJJ1812" s="542"/>
      <c r="BJK1812" s="542"/>
      <c r="BJL1812" s="547"/>
      <c r="BJM1812" s="544"/>
      <c r="BJN1812" s="545"/>
      <c r="BJO1812" s="545"/>
      <c r="BJP1812" s="545"/>
      <c r="BJQ1812" s="652"/>
      <c r="BJR1812" s="582"/>
      <c r="BJS1812" s="582"/>
      <c r="BJT1812" s="629"/>
      <c r="BJU1812" s="630"/>
      <c r="BJV1812" s="630"/>
      <c r="BJW1812" s="630"/>
      <c r="BJX1812" s="630"/>
      <c r="BJY1812" s="631"/>
      <c r="BJZ1812" s="587"/>
      <c r="BKA1812" s="569"/>
      <c r="BKB1812" s="582"/>
      <c r="BKC1812" s="587"/>
      <c r="BKD1812" s="569"/>
      <c r="BKE1812" s="569"/>
      <c r="BKF1812" s="569"/>
      <c r="BKG1812" s="582"/>
      <c r="BKH1812" s="587"/>
      <c r="BKI1812" s="582"/>
      <c r="BKJ1812" s="587"/>
      <c r="BKK1812" s="569"/>
      <c r="BKL1812" s="569"/>
      <c r="BKM1812" s="569"/>
      <c r="BKN1812" s="618"/>
      <c r="BKO1812" s="653"/>
      <c r="BKP1812" s="545"/>
      <c r="BKQ1812" s="651"/>
      <c r="BKR1812" s="653"/>
      <c r="BKS1812" s="591"/>
      <c r="BKT1812" s="653"/>
      <c r="BKU1812" s="654"/>
      <c r="BKV1812" s="555"/>
      <c r="BKW1812" s="556"/>
      <c r="BKX1812" s="633"/>
      <c r="BKY1812" s="634"/>
      <c r="BKZ1812" s="635"/>
      <c r="BLA1812" s="560"/>
      <c r="BLB1812" s="589"/>
      <c r="BLC1812" s="636"/>
      <c r="BLD1812" s="559"/>
      <c r="BLE1812" s="557"/>
      <c r="BLF1812" s="558"/>
      <c r="BLG1812" s="590"/>
      <c r="BLH1812" s="591"/>
      <c r="BLI1812" s="591"/>
      <c r="BLJ1812" s="592"/>
      <c r="BLK1812" s="593"/>
      <c r="BLL1812" s="591"/>
      <c r="BLM1812" s="591"/>
      <c r="BLN1812" s="591"/>
      <c r="BLO1812" s="592"/>
      <c r="BLP1812" s="593"/>
      <c r="BLQ1812" s="594"/>
      <c r="BLR1812" s="590"/>
      <c r="BLS1812" s="591"/>
      <c r="BLT1812" s="591"/>
      <c r="BLU1812" s="591"/>
      <c r="BLV1812" s="591"/>
      <c r="BLW1812" s="591"/>
      <c r="BLX1812" s="591"/>
      <c r="BLY1812" s="560"/>
      <c r="BLZ1812" s="560"/>
      <c r="BMA1812" s="592"/>
      <c r="BMB1812" s="594"/>
      <c r="BMC1812" s="593"/>
      <c r="BMD1812" s="595"/>
      <c r="BME1812" s="542"/>
      <c r="BMF1812" s="542"/>
      <c r="BMG1812" s="542"/>
      <c r="BMH1812" s="542"/>
      <c r="BMI1812" s="542"/>
      <c r="BMJ1812" s="547"/>
      <c r="BMK1812" s="544"/>
      <c r="BML1812" s="545"/>
      <c r="BMM1812" s="545"/>
      <c r="BMN1812" s="545"/>
      <c r="BMO1812" s="652"/>
      <c r="BMP1812" s="582"/>
      <c r="BMQ1812" s="582"/>
      <c r="BMR1812" s="629"/>
      <c r="BMS1812" s="630"/>
      <c r="BMT1812" s="630"/>
      <c r="BMU1812" s="630"/>
      <c r="BMV1812" s="630"/>
      <c r="BMW1812" s="631"/>
      <c r="BMX1812" s="587"/>
      <c r="BMY1812" s="569"/>
      <c r="BMZ1812" s="582"/>
      <c r="BNA1812" s="587"/>
      <c r="BNB1812" s="569"/>
      <c r="BNC1812" s="569"/>
      <c r="BND1812" s="569"/>
      <c r="BNE1812" s="582"/>
      <c r="BNF1812" s="587"/>
      <c r="BNG1812" s="582"/>
      <c r="BNH1812" s="587"/>
      <c r="BNI1812" s="569"/>
      <c r="BNJ1812" s="569"/>
      <c r="BNK1812" s="569"/>
      <c r="BNL1812" s="618"/>
      <c r="BNM1812" s="653"/>
      <c r="BNN1812" s="545"/>
      <c r="BNO1812" s="651"/>
      <c r="BNP1812" s="653"/>
      <c r="BNQ1812" s="591"/>
      <c r="BNR1812" s="653"/>
      <c r="BNS1812" s="654"/>
      <c r="BNT1812" s="555"/>
      <c r="BNU1812" s="556"/>
      <c r="BNV1812" s="633"/>
      <c r="BNW1812" s="634"/>
      <c r="BNX1812" s="635"/>
      <c r="BNY1812" s="560"/>
      <c r="BNZ1812" s="589"/>
      <c r="BOA1812" s="636"/>
      <c r="BOB1812" s="559"/>
      <c r="BOC1812" s="557"/>
      <c r="BOD1812" s="558"/>
      <c r="BOE1812" s="590"/>
      <c r="BOF1812" s="591"/>
      <c r="BOG1812" s="591"/>
      <c r="BOH1812" s="592"/>
      <c r="BOI1812" s="593"/>
      <c r="BOJ1812" s="591"/>
      <c r="BOK1812" s="591"/>
      <c r="BOL1812" s="591"/>
      <c r="BOM1812" s="592"/>
      <c r="BON1812" s="593"/>
      <c r="BOO1812" s="594"/>
      <c r="BOP1812" s="590"/>
      <c r="BOQ1812" s="591"/>
      <c r="BOR1812" s="591"/>
      <c r="BOS1812" s="591"/>
      <c r="BOT1812" s="591"/>
      <c r="BOU1812" s="591"/>
      <c r="BOV1812" s="591"/>
      <c r="BOW1812" s="560"/>
      <c r="BOX1812" s="560"/>
      <c r="BOY1812" s="592"/>
      <c r="BOZ1812" s="594"/>
      <c r="BPA1812" s="593"/>
      <c r="BPB1812" s="595"/>
      <c r="BPC1812" s="542"/>
      <c r="BPD1812" s="542"/>
      <c r="BPE1812" s="542"/>
      <c r="BPF1812" s="542"/>
      <c r="BPG1812" s="542"/>
      <c r="BPH1812" s="547"/>
      <c r="BPI1812" s="544"/>
      <c r="BPJ1812" s="545"/>
      <c r="BPK1812" s="545"/>
      <c r="BPL1812" s="545"/>
      <c r="BPM1812" s="652"/>
      <c r="BPN1812" s="582"/>
      <c r="BPO1812" s="582"/>
      <c r="BPP1812" s="629"/>
      <c r="BPQ1812" s="630"/>
      <c r="BPR1812" s="630"/>
      <c r="BPS1812" s="630"/>
      <c r="BPT1812" s="630"/>
      <c r="BPU1812" s="631"/>
      <c r="BPV1812" s="587"/>
      <c r="BPW1812" s="569"/>
      <c r="BPX1812" s="582"/>
      <c r="BPY1812" s="587"/>
      <c r="BPZ1812" s="569"/>
      <c r="BQA1812" s="569"/>
      <c r="BQB1812" s="569"/>
      <c r="BQC1812" s="582"/>
      <c r="BQD1812" s="587"/>
      <c r="BQE1812" s="582"/>
      <c r="BQF1812" s="587"/>
      <c r="BQG1812" s="569"/>
      <c r="BQH1812" s="569"/>
      <c r="BQI1812" s="569"/>
      <c r="BQJ1812" s="618"/>
      <c r="BQK1812" s="653"/>
      <c r="BQL1812" s="545"/>
      <c r="BQM1812" s="651"/>
      <c r="BQN1812" s="653"/>
      <c r="BQO1812" s="591"/>
      <c r="BQP1812" s="653"/>
      <c r="BQQ1812" s="654"/>
      <c r="BQR1812" s="555"/>
      <c r="BQS1812" s="556"/>
      <c r="BQT1812" s="633"/>
      <c r="BQU1812" s="634"/>
      <c r="BQV1812" s="635"/>
      <c r="BQW1812" s="560"/>
      <c r="BQX1812" s="589"/>
      <c r="BQY1812" s="636"/>
      <c r="BQZ1812" s="559"/>
      <c r="BRA1812" s="557"/>
      <c r="BRB1812" s="558"/>
      <c r="BRC1812" s="590"/>
      <c r="BRD1812" s="591"/>
      <c r="BRE1812" s="591"/>
      <c r="BRF1812" s="592"/>
      <c r="BRG1812" s="593"/>
      <c r="BRH1812" s="591"/>
      <c r="BRI1812" s="591"/>
      <c r="BRJ1812" s="591"/>
      <c r="BRK1812" s="592"/>
      <c r="BRL1812" s="593"/>
      <c r="BRM1812" s="594"/>
      <c r="BRN1812" s="590"/>
      <c r="BRO1812" s="591"/>
      <c r="BRP1812" s="591"/>
      <c r="BRQ1812" s="591"/>
      <c r="BRR1812" s="591"/>
      <c r="BRS1812" s="591"/>
      <c r="BRT1812" s="591"/>
      <c r="BRU1812" s="560"/>
      <c r="BRV1812" s="560"/>
      <c r="BRW1812" s="592"/>
      <c r="BRX1812" s="594"/>
      <c r="BRY1812" s="593"/>
      <c r="BRZ1812" s="595"/>
      <c r="BSA1812" s="542"/>
      <c r="BSB1812" s="542"/>
      <c r="BSC1812" s="542"/>
      <c r="BSD1812" s="542"/>
      <c r="BSE1812" s="542"/>
      <c r="BSF1812" s="547"/>
      <c r="BSG1812" s="544"/>
      <c r="BSH1812" s="545"/>
      <c r="BSI1812" s="545"/>
      <c r="BSJ1812" s="545"/>
      <c r="BSK1812" s="652"/>
      <c r="BSL1812" s="582"/>
      <c r="BSM1812" s="582"/>
      <c r="BSN1812" s="629"/>
      <c r="BSO1812" s="630"/>
      <c r="BSP1812" s="630"/>
      <c r="BSQ1812" s="630"/>
      <c r="BSR1812" s="630"/>
      <c r="BSS1812" s="631"/>
      <c r="BST1812" s="587"/>
      <c r="BSU1812" s="569"/>
      <c r="BSV1812" s="582"/>
      <c r="BSW1812" s="587"/>
      <c r="BSX1812" s="569"/>
      <c r="BSY1812" s="569"/>
      <c r="BSZ1812" s="569"/>
      <c r="BTA1812" s="582"/>
      <c r="BTB1812" s="587"/>
      <c r="BTC1812" s="582"/>
      <c r="BTD1812" s="587"/>
      <c r="BTE1812" s="569"/>
      <c r="BTF1812" s="569"/>
      <c r="BTG1812" s="569"/>
      <c r="BTH1812" s="618"/>
      <c r="BTI1812" s="653"/>
      <c r="BTJ1812" s="545"/>
      <c r="BTK1812" s="651"/>
      <c r="BTL1812" s="653"/>
      <c r="BTM1812" s="591"/>
      <c r="BTN1812" s="653"/>
      <c r="BTO1812" s="654"/>
      <c r="BTP1812" s="555"/>
      <c r="BTQ1812" s="556"/>
      <c r="BTR1812" s="633"/>
      <c r="BTS1812" s="634"/>
      <c r="BTT1812" s="635"/>
      <c r="BTU1812" s="560"/>
      <c r="BTV1812" s="589"/>
      <c r="BTW1812" s="636"/>
      <c r="BTX1812" s="559"/>
      <c r="BTY1812" s="557"/>
      <c r="BTZ1812" s="558"/>
      <c r="BUA1812" s="590"/>
      <c r="BUB1812" s="591"/>
      <c r="BUC1812" s="591"/>
      <c r="BUD1812" s="592"/>
      <c r="BUE1812" s="593"/>
      <c r="BUF1812" s="591"/>
      <c r="BUG1812" s="591"/>
      <c r="BUH1812" s="591"/>
      <c r="BUI1812" s="592"/>
      <c r="BUJ1812" s="593"/>
      <c r="BUK1812" s="594"/>
      <c r="BUL1812" s="590"/>
      <c r="BUM1812" s="591"/>
      <c r="BUN1812" s="591"/>
      <c r="BUO1812" s="591"/>
      <c r="BUP1812" s="591"/>
      <c r="BUQ1812" s="591"/>
      <c r="BUR1812" s="591"/>
      <c r="BUS1812" s="560"/>
      <c r="BUT1812" s="560"/>
      <c r="BUU1812" s="592"/>
      <c r="BUV1812" s="594"/>
      <c r="BUW1812" s="593"/>
      <c r="BUX1812" s="595"/>
      <c r="BUY1812" s="542"/>
      <c r="BUZ1812" s="542"/>
      <c r="BVA1812" s="542"/>
      <c r="BVB1812" s="542"/>
      <c r="BVC1812" s="542"/>
      <c r="BVD1812" s="547"/>
      <c r="BVE1812" s="544"/>
      <c r="BVF1812" s="545"/>
      <c r="BVG1812" s="545"/>
      <c r="BVH1812" s="545"/>
      <c r="BVI1812" s="652"/>
      <c r="BVJ1812" s="582"/>
      <c r="BVK1812" s="582"/>
      <c r="BVL1812" s="629"/>
      <c r="BVM1812" s="630"/>
      <c r="BVN1812" s="630"/>
      <c r="BVO1812" s="630"/>
      <c r="BVP1812" s="630"/>
      <c r="BVQ1812" s="631"/>
      <c r="BVR1812" s="587"/>
      <c r="BVS1812" s="569"/>
      <c r="BVT1812" s="582"/>
      <c r="BVU1812" s="587"/>
      <c r="BVV1812" s="569"/>
      <c r="BVW1812" s="569"/>
      <c r="BVX1812" s="569"/>
      <c r="BVY1812" s="582"/>
      <c r="BVZ1812" s="587"/>
      <c r="BWA1812" s="582"/>
      <c r="BWB1812" s="587"/>
      <c r="BWC1812" s="569"/>
      <c r="BWD1812" s="569"/>
      <c r="BWE1812" s="569"/>
      <c r="BWF1812" s="618"/>
      <c r="BWG1812" s="653"/>
      <c r="BWH1812" s="545"/>
      <c r="BWI1812" s="651"/>
      <c r="BWJ1812" s="653"/>
      <c r="BWK1812" s="591"/>
      <c r="BWL1812" s="653"/>
      <c r="BWM1812" s="654"/>
      <c r="BWN1812" s="555"/>
      <c r="BWO1812" s="556"/>
      <c r="BWP1812" s="633"/>
      <c r="BWQ1812" s="634"/>
      <c r="BWR1812" s="635"/>
      <c r="BWS1812" s="560"/>
      <c r="BWT1812" s="589"/>
      <c r="BWU1812" s="636"/>
      <c r="BWV1812" s="559"/>
      <c r="BWW1812" s="557"/>
      <c r="BWX1812" s="558"/>
      <c r="BWY1812" s="590"/>
      <c r="BWZ1812" s="591"/>
      <c r="BXA1812" s="591"/>
      <c r="BXB1812" s="592"/>
      <c r="BXC1812" s="593"/>
      <c r="BXD1812" s="591"/>
      <c r="BXE1812" s="591"/>
      <c r="BXF1812" s="591"/>
      <c r="BXG1812" s="592"/>
      <c r="BXH1812" s="593"/>
      <c r="BXI1812" s="594"/>
      <c r="BXJ1812" s="590"/>
      <c r="BXK1812" s="591"/>
      <c r="BXL1812" s="591"/>
      <c r="BXM1812" s="591"/>
      <c r="BXN1812" s="591"/>
      <c r="BXO1812" s="591"/>
      <c r="BXP1812" s="591"/>
      <c r="BXQ1812" s="560"/>
      <c r="BXR1812" s="560"/>
      <c r="BXS1812" s="592"/>
      <c r="BXT1812" s="594"/>
      <c r="BXU1812" s="593"/>
      <c r="BXV1812" s="595"/>
      <c r="BXW1812" s="542"/>
      <c r="BXX1812" s="542"/>
      <c r="BXY1812" s="542"/>
      <c r="BXZ1812" s="542"/>
      <c r="BYA1812" s="542"/>
      <c r="BYB1812" s="547"/>
      <c r="BYC1812" s="544"/>
      <c r="BYD1812" s="545"/>
      <c r="BYE1812" s="545"/>
      <c r="BYF1812" s="545"/>
      <c r="BYG1812" s="652"/>
      <c r="BYH1812" s="582"/>
      <c r="BYI1812" s="582"/>
      <c r="BYJ1812" s="629"/>
      <c r="BYK1812" s="630"/>
      <c r="BYL1812" s="630"/>
      <c r="BYM1812" s="630"/>
      <c r="BYN1812" s="630"/>
      <c r="BYO1812" s="631"/>
      <c r="BYP1812" s="587"/>
      <c r="BYQ1812" s="569"/>
      <c r="BYR1812" s="582"/>
      <c r="BYS1812" s="587"/>
      <c r="BYT1812" s="569"/>
      <c r="BYU1812" s="569"/>
      <c r="BYV1812" s="569"/>
      <c r="BYW1812" s="582"/>
      <c r="BYX1812" s="587"/>
      <c r="BYY1812" s="582"/>
      <c r="BYZ1812" s="587"/>
      <c r="BZA1812" s="569"/>
      <c r="BZB1812" s="569"/>
      <c r="BZC1812" s="569"/>
      <c r="BZD1812" s="618"/>
      <c r="BZE1812" s="653"/>
      <c r="BZF1812" s="545"/>
      <c r="BZG1812" s="651"/>
      <c r="BZH1812" s="653"/>
      <c r="BZI1812" s="591"/>
      <c r="BZJ1812" s="653"/>
      <c r="BZK1812" s="654"/>
      <c r="BZL1812" s="555"/>
      <c r="BZM1812" s="556"/>
      <c r="BZN1812" s="633"/>
      <c r="BZO1812" s="634"/>
      <c r="BZP1812" s="635"/>
      <c r="BZQ1812" s="560"/>
      <c r="BZR1812" s="589"/>
      <c r="BZS1812" s="636"/>
      <c r="BZT1812" s="559"/>
      <c r="BZU1812" s="557"/>
      <c r="BZV1812" s="558"/>
      <c r="BZW1812" s="590"/>
      <c r="BZX1812" s="591"/>
      <c r="BZY1812" s="591"/>
      <c r="BZZ1812" s="592"/>
      <c r="CAA1812" s="593"/>
      <c r="CAB1812" s="591"/>
      <c r="CAC1812" s="591"/>
      <c r="CAD1812" s="591"/>
      <c r="CAE1812" s="592"/>
      <c r="CAF1812" s="593"/>
      <c r="CAG1812" s="594"/>
      <c r="CAH1812" s="590"/>
      <c r="CAI1812" s="591"/>
      <c r="CAJ1812" s="591"/>
      <c r="CAK1812" s="591"/>
      <c r="CAL1812" s="591"/>
      <c r="CAM1812" s="591"/>
      <c r="CAN1812" s="591"/>
      <c r="CAO1812" s="560"/>
      <c r="CAP1812" s="560"/>
      <c r="CAQ1812" s="592"/>
      <c r="CAR1812" s="594"/>
      <c r="CAS1812" s="593"/>
      <c r="CAT1812" s="595"/>
      <c r="CAU1812" s="542"/>
      <c r="CAV1812" s="542"/>
      <c r="CAW1812" s="542"/>
      <c r="CAX1812" s="542"/>
      <c r="CAY1812" s="542"/>
      <c r="CAZ1812" s="547"/>
      <c r="CBA1812" s="544"/>
      <c r="CBB1812" s="545"/>
      <c r="CBC1812" s="545"/>
      <c r="CBD1812" s="545"/>
      <c r="CBE1812" s="652"/>
      <c r="CBF1812" s="582"/>
      <c r="CBG1812" s="582"/>
      <c r="CBH1812" s="629"/>
      <c r="CBI1812" s="630"/>
      <c r="CBJ1812" s="630"/>
      <c r="CBK1812" s="630"/>
      <c r="CBL1812" s="630"/>
      <c r="CBM1812" s="631"/>
      <c r="CBN1812" s="587"/>
      <c r="CBO1812" s="569"/>
      <c r="CBP1812" s="582"/>
      <c r="CBQ1812" s="587"/>
      <c r="CBR1812" s="569"/>
      <c r="CBS1812" s="569"/>
      <c r="CBT1812" s="569"/>
      <c r="CBU1812" s="582"/>
      <c r="CBV1812" s="587"/>
      <c r="CBW1812" s="582"/>
      <c r="CBX1812" s="587"/>
      <c r="CBY1812" s="569"/>
      <c r="CBZ1812" s="569"/>
      <c r="CCA1812" s="569"/>
      <c r="CCB1812" s="618"/>
      <c r="CCC1812" s="653"/>
      <c r="CCD1812" s="545"/>
      <c r="CCE1812" s="651"/>
      <c r="CCF1812" s="653"/>
      <c r="CCG1812" s="591"/>
      <c r="CCH1812" s="653"/>
      <c r="CCI1812" s="654"/>
      <c r="CCJ1812" s="555"/>
      <c r="CCK1812" s="556"/>
      <c r="CCL1812" s="633"/>
      <c r="CCM1812" s="634"/>
      <c r="CCN1812" s="635"/>
      <c r="CCO1812" s="560"/>
      <c r="CCP1812" s="589"/>
      <c r="CCQ1812" s="636"/>
      <c r="CCR1812" s="559"/>
      <c r="CCS1812" s="557"/>
      <c r="CCT1812" s="558"/>
      <c r="CCU1812" s="590"/>
      <c r="CCV1812" s="591"/>
      <c r="CCW1812" s="591"/>
      <c r="CCX1812" s="592"/>
      <c r="CCY1812" s="593"/>
      <c r="CCZ1812" s="591"/>
      <c r="CDA1812" s="591"/>
      <c r="CDB1812" s="591"/>
      <c r="CDC1812" s="592"/>
      <c r="CDD1812" s="593"/>
      <c r="CDE1812" s="594"/>
      <c r="CDF1812" s="590"/>
      <c r="CDG1812" s="591"/>
      <c r="CDH1812" s="591"/>
      <c r="CDI1812" s="591"/>
      <c r="CDJ1812" s="591"/>
      <c r="CDK1812" s="591"/>
      <c r="CDL1812" s="591"/>
      <c r="CDM1812" s="560"/>
      <c r="CDN1812" s="560"/>
      <c r="CDO1812" s="592"/>
      <c r="CDP1812" s="594"/>
      <c r="CDQ1812" s="593"/>
      <c r="CDR1812" s="595"/>
      <c r="CDS1812" s="542"/>
      <c r="CDT1812" s="542"/>
      <c r="CDU1812" s="542"/>
      <c r="CDV1812" s="542"/>
      <c r="CDW1812" s="542"/>
      <c r="CDX1812" s="547"/>
      <c r="CDY1812" s="544"/>
      <c r="CDZ1812" s="545"/>
      <c r="CEA1812" s="545"/>
      <c r="CEB1812" s="545"/>
      <c r="CEC1812" s="652"/>
      <c r="CED1812" s="582"/>
      <c r="CEE1812" s="582"/>
      <c r="CEF1812" s="629"/>
      <c r="CEG1812" s="630"/>
      <c r="CEH1812" s="630"/>
      <c r="CEI1812" s="630"/>
      <c r="CEJ1812" s="630"/>
      <c r="CEK1812" s="631"/>
      <c r="CEL1812" s="587"/>
      <c r="CEM1812" s="569"/>
      <c r="CEN1812" s="582"/>
      <c r="CEO1812" s="587"/>
      <c r="CEP1812" s="569"/>
      <c r="CEQ1812" s="569"/>
      <c r="CER1812" s="569"/>
      <c r="CES1812" s="582"/>
      <c r="CET1812" s="587"/>
      <c r="CEU1812" s="582"/>
      <c r="CEV1812" s="587"/>
      <c r="CEW1812" s="569"/>
      <c r="CEX1812" s="569"/>
      <c r="CEY1812" s="569"/>
      <c r="CEZ1812" s="618"/>
      <c r="CFA1812" s="653"/>
      <c r="CFB1812" s="545"/>
      <c r="CFC1812" s="651"/>
      <c r="CFD1812" s="653"/>
      <c r="CFE1812" s="591"/>
      <c r="CFF1812" s="653"/>
      <c r="CFG1812" s="654"/>
      <c r="CFH1812" s="555"/>
      <c r="CFI1812" s="556"/>
      <c r="CFJ1812" s="633"/>
      <c r="CFK1812" s="634"/>
      <c r="CFL1812" s="635"/>
      <c r="CFM1812" s="560"/>
      <c r="CFN1812" s="589"/>
      <c r="CFO1812" s="636"/>
      <c r="CFP1812" s="559"/>
      <c r="CFQ1812" s="557"/>
      <c r="CFR1812" s="558"/>
      <c r="CFS1812" s="590"/>
      <c r="CFT1812" s="591"/>
      <c r="CFU1812" s="591"/>
      <c r="CFV1812" s="592"/>
      <c r="CFW1812" s="593"/>
      <c r="CFX1812" s="591"/>
      <c r="CFY1812" s="591"/>
      <c r="CFZ1812" s="591"/>
      <c r="CGA1812" s="592"/>
      <c r="CGB1812" s="593"/>
      <c r="CGC1812" s="594"/>
      <c r="CGD1812" s="590"/>
      <c r="CGE1812" s="591"/>
      <c r="CGF1812" s="591"/>
      <c r="CGG1812" s="591"/>
      <c r="CGH1812" s="591"/>
      <c r="CGI1812" s="591"/>
      <c r="CGJ1812" s="591"/>
      <c r="CGK1812" s="560"/>
      <c r="CGL1812" s="560"/>
      <c r="CGM1812" s="592"/>
      <c r="CGN1812" s="594"/>
      <c r="CGO1812" s="593"/>
      <c r="CGP1812" s="595"/>
      <c r="CGQ1812" s="542"/>
      <c r="CGR1812" s="542"/>
      <c r="CGS1812" s="542"/>
      <c r="CGT1812" s="542"/>
      <c r="CGU1812" s="542"/>
      <c r="CGV1812" s="547"/>
      <c r="CGW1812" s="544"/>
      <c r="CGX1812" s="545"/>
      <c r="CGY1812" s="545"/>
      <c r="CGZ1812" s="545"/>
      <c r="CHA1812" s="652"/>
      <c r="CHB1812" s="582"/>
      <c r="CHC1812" s="582"/>
      <c r="CHD1812" s="629"/>
      <c r="CHE1812" s="630"/>
      <c r="CHF1812" s="630"/>
      <c r="CHG1812" s="630"/>
      <c r="CHH1812" s="630"/>
      <c r="CHI1812" s="631"/>
      <c r="CHJ1812" s="587"/>
      <c r="CHK1812" s="569"/>
      <c r="CHL1812" s="582"/>
      <c r="CHM1812" s="587"/>
      <c r="CHN1812" s="569"/>
      <c r="CHO1812" s="569"/>
      <c r="CHP1812" s="569"/>
      <c r="CHQ1812" s="582"/>
      <c r="CHR1812" s="587"/>
      <c r="CHS1812" s="582"/>
      <c r="CHT1812" s="587"/>
      <c r="CHU1812" s="569"/>
      <c r="CHV1812" s="569"/>
      <c r="CHW1812" s="569"/>
      <c r="CHX1812" s="618"/>
      <c r="CHY1812" s="653"/>
      <c r="CHZ1812" s="545"/>
      <c r="CIA1812" s="651"/>
      <c r="CIB1812" s="653"/>
      <c r="CIC1812" s="591"/>
      <c r="CID1812" s="653"/>
      <c r="CIE1812" s="654"/>
      <c r="CIF1812" s="555"/>
      <c r="CIG1812" s="556"/>
      <c r="CIH1812" s="633"/>
      <c r="CII1812" s="634"/>
      <c r="CIJ1812" s="635"/>
      <c r="CIK1812" s="560"/>
      <c r="CIL1812" s="589"/>
      <c r="CIM1812" s="636"/>
      <c r="CIN1812" s="559"/>
      <c r="CIO1812" s="557"/>
      <c r="CIP1812" s="558"/>
      <c r="CIQ1812" s="590"/>
      <c r="CIR1812" s="591"/>
      <c r="CIS1812" s="591"/>
      <c r="CIT1812" s="592"/>
      <c r="CIU1812" s="593"/>
      <c r="CIV1812" s="591"/>
      <c r="CIW1812" s="591"/>
      <c r="CIX1812" s="591"/>
      <c r="CIY1812" s="592"/>
      <c r="CIZ1812" s="593"/>
      <c r="CJA1812" s="594"/>
      <c r="CJB1812" s="590"/>
      <c r="CJC1812" s="591"/>
      <c r="CJD1812" s="591"/>
      <c r="CJE1812" s="591"/>
      <c r="CJF1812" s="591"/>
      <c r="CJG1812" s="591"/>
      <c r="CJH1812" s="591"/>
      <c r="CJI1812" s="560"/>
      <c r="CJJ1812" s="560"/>
      <c r="CJK1812" s="592"/>
      <c r="CJL1812" s="594"/>
      <c r="CJM1812" s="593"/>
      <c r="CJN1812" s="595"/>
      <c r="CJO1812" s="542"/>
      <c r="CJP1812" s="542"/>
      <c r="CJQ1812" s="542"/>
      <c r="CJR1812" s="542"/>
      <c r="CJS1812" s="542"/>
      <c r="CJT1812" s="547"/>
      <c r="CJU1812" s="544"/>
      <c r="CJV1812" s="545"/>
      <c r="CJW1812" s="545"/>
      <c r="CJX1812" s="545"/>
      <c r="CJY1812" s="652"/>
      <c r="CJZ1812" s="582"/>
      <c r="CKA1812" s="582"/>
      <c r="CKB1812" s="629"/>
      <c r="CKC1812" s="630"/>
      <c r="CKD1812" s="630"/>
      <c r="CKE1812" s="630"/>
      <c r="CKF1812" s="630"/>
      <c r="CKG1812" s="631"/>
      <c r="CKH1812" s="587"/>
      <c r="CKI1812" s="569"/>
      <c r="CKJ1812" s="582"/>
      <c r="CKK1812" s="587"/>
      <c r="CKL1812" s="569"/>
      <c r="CKM1812" s="569"/>
      <c r="CKN1812" s="569"/>
      <c r="CKO1812" s="582"/>
      <c r="CKP1812" s="587"/>
      <c r="CKQ1812" s="582"/>
      <c r="CKR1812" s="587"/>
      <c r="CKS1812" s="569"/>
      <c r="CKT1812" s="569"/>
      <c r="CKU1812" s="569"/>
      <c r="CKV1812" s="618"/>
      <c r="CKW1812" s="653"/>
      <c r="CKX1812" s="545"/>
      <c r="CKY1812" s="651"/>
      <c r="CKZ1812" s="653"/>
      <c r="CLA1812" s="591"/>
      <c r="CLB1812" s="653"/>
      <c r="CLC1812" s="654"/>
      <c r="CLD1812" s="555"/>
      <c r="CLE1812" s="556"/>
      <c r="CLF1812" s="633"/>
      <c r="CLG1812" s="634"/>
      <c r="CLH1812" s="635"/>
      <c r="CLI1812" s="560"/>
      <c r="CLJ1812" s="589"/>
      <c r="CLK1812" s="636"/>
      <c r="CLL1812" s="559"/>
      <c r="CLM1812" s="557"/>
      <c r="CLN1812" s="558"/>
      <c r="CLO1812" s="590"/>
      <c r="CLP1812" s="591"/>
      <c r="CLQ1812" s="591"/>
      <c r="CLR1812" s="592"/>
      <c r="CLS1812" s="593"/>
      <c r="CLT1812" s="591"/>
      <c r="CLU1812" s="591"/>
      <c r="CLV1812" s="591"/>
      <c r="CLW1812" s="592"/>
      <c r="CLX1812" s="593"/>
      <c r="CLY1812" s="594"/>
      <c r="CLZ1812" s="590"/>
      <c r="CMA1812" s="591"/>
      <c r="CMB1812" s="591"/>
      <c r="CMC1812" s="591"/>
      <c r="CMD1812" s="591"/>
      <c r="CME1812" s="591"/>
      <c r="CMF1812" s="591"/>
      <c r="CMG1812" s="560"/>
      <c r="CMH1812" s="560"/>
      <c r="CMI1812" s="592"/>
      <c r="CMJ1812" s="594"/>
      <c r="CMK1812" s="593"/>
      <c r="CML1812" s="595"/>
      <c r="CMM1812" s="542"/>
      <c r="CMN1812" s="542"/>
      <c r="CMO1812" s="542"/>
      <c r="CMP1812" s="542"/>
      <c r="CMQ1812" s="542"/>
      <c r="CMR1812" s="547"/>
      <c r="CMS1812" s="544"/>
      <c r="CMT1812" s="545"/>
      <c r="CMU1812" s="545"/>
      <c r="CMV1812" s="545"/>
      <c r="CMW1812" s="652"/>
      <c r="CMX1812" s="582"/>
      <c r="CMY1812" s="582"/>
      <c r="CMZ1812" s="629"/>
      <c r="CNA1812" s="630"/>
      <c r="CNB1812" s="630"/>
      <c r="CNC1812" s="630"/>
      <c r="CND1812" s="630"/>
      <c r="CNE1812" s="631"/>
      <c r="CNF1812" s="587"/>
      <c r="CNG1812" s="569"/>
      <c r="CNH1812" s="582"/>
      <c r="CNI1812" s="587"/>
      <c r="CNJ1812" s="569"/>
      <c r="CNK1812" s="569"/>
      <c r="CNL1812" s="569"/>
      <c r="CNM1812" s="582"/>
      <c r="CNN1812" s="587"/>
      <c r="CNO1812" s="582"/>
      <c r="CNP1812" s="587"/>
      <c r="CNQ1812" s="569"/>
      <c r="CNR1812" s="569"/>
      <c r="CNS1812" s="569"/>
      <c r="CNT1812" s="618"/>
      <c r="CNU1812" s="653"/>
      <c r="CNV1812" s="545"/>
      <c r="CNW1812" s="651"/>
      <c r="CNX1812" s="653"/>
      <c r="CNY1812" s="591"/>
      <c r="CNZ1812" s="653"/>
      <c r="COA1812" s="654"/>
      <c r="COB1812" s="555"/>
      <c r="COC1812" s="556"/>
      <c r="COD1812" s="633"/>
      <c r="COE1812" s="634"/>
      <c r="COF1812" s="635"/>
      <c r="COG1812" s="560"/>
      <c r="COH1812" s="589"/>
      <c r="COI1812" s="636"/>
      <c r="COJ1812" s="559"/>
      <c r="COK1812" s="557"/>
      <c r="COL1812" s="558"/>
      <c r="COM1812" s="590"/>
      <c r="CON1812" s="591"/>
      <c r="COO1812" s="591"/>
      <c r="COP1812" s="592"/>
      <c r="COQ1812" s="593"/>
      <c r="COR1812" s="591"/>
      <c r="COS1812" s="591"/>
      <c r="COT1812" s="591"/>
      <c r="COU1812" s="592"/>
      <c r="COV1812" s="593"/>
      <c r="COW1812" s="594"/>
      <c r="COX1812" s="590"/>
      <c r="COY1812" s="591"/>
      <c r="COZ1812" s="591"/>
      <c r="CPA1812" s="591"/>
      <c r="CPB1812" s="591"/>
      <c r="CPC1812" s="591"/>
      <c r="CPD1812" s="591"/>
      <c r="CPE1812" s="560"/>
      <c r="CPF1812" s="560"/>
      <c r="CPG1812" s="592"/>
      <c r="CPH1812" s="594"/>
      <c r="CPI1812" s="593"/>
      <c r="CPJ1812" s="595"/>
      <c r="CPK1812" s="542"/>
      <c r="CPL1812" s="542"/>
      <c r="CPM1812" s="542"/>
      <c r="CPN1812" s="542"/>
      <c r="CPO1812" s="542"/>
      <c r="CPP1812" s="547"/>
      <c r="CPQ1812" s="544"/>
      <c r="CPR1812" s="545"/>
      <c r="CPS1812" s="545"/>
      <c r="CPT1812" s="545"/>
      <c r="CPU1812" s="652"/>
      <c r="CPV1812" s="582"/>
      <c r="CPW1812" s="582"/>
      <c r="CPX1812" s="629"/>
      <c r="CPY1812" s="630"/>
      <c r="CPZ1812" s="630"/>
      <c r="CQA1812" s="630"/>
      <c r="CQB1812" s="630"/>
      <c r="CQC1812" s="631"/>
      <c r="CQD1812" s="587"/>
      <c r="CQE1812" s="569"/>
      <c r="CQF1812" s="582"/>
      <c r="CQG1812" s="587"/>
      <c r="CQH1812" s="569"/>
      <c r="CQI1812" s="569"/>
      <c r="CQJ1812" s="569"/>
      <c r="CQK1812" s="582"/>
      <c r="CQL1812" s="587"/>
      <c r="CQM1812" s="582"/>
      <c r="CQN1812" s="587"/>
      <c r="CQO1812" s="569"/>
      <c r="CQP1812" s="569"/>
      <c r="CQQ1812" s="569"/>
      <c r="CQR1812" s="618"/>
      <c r="CQS1812" s="653"/>
      <c r="CQT1812" s="545"/>
      <c r="CQU1812" s="651"/>
      <c r="CQV1812" s="653"/>
      <c r="CQW1812" s="591"/>
      <c r="CQX1812" s="653"/>
      <c r="CQY1812" s="654"/>
      <c r="CQZ1812" s="555"/>
      <c r="CRA1812" s="556"/>
      <c r="CRB1812" s="633"/>
      <c r="CRC1812" s="634"/>
      <c r="CRD1812" s="635"/>
      <c r="CRE1812" s="560"/>
      <c r="CRF1812" s="589"/>
      <c r="CRG1812" s="636"/>
      <c r="CRH1812" s="559"/>
      <c r="CRI1812" s="557"/>
      <c r="CRJ1812" s="558"/>
      <c r="CRK1812" s="590"/>
      <c r="CRL1812" s="591"/>
      <c r="CRM1812" s="591"/>
      <c r="CRN1812" s="592"/>
      <c r="CRO1812" s="593"/>
      <c r="CRP1812" s="591"/>
      <c r="CRQ1812" s="591"/>
      <c r="CRR1812" s="591"/>
      <c r="CRS1812" s="592"/>
      <c r="CRT1812" s="593"/>
      <c r="CRU1812" s="594"/>
      <c r="CRV1812" s="590"/>
      <c r="CRW1812" s="591"/>
      <c r="CRX1812" s="591"/>
      <c r="CRY1812" s="591"/>
      <c r="CRZ1812" s="591"/>
      <c r="CSA1812" s="591"/>
      <c r="CSB1812" s="591"/>
      <c r="CSC1812" s="560"/>
      <c r="CSD1812" s="560"/>
      <c r="CSE1812" s="592"/>
      <c r="CSF1812" s="594"/>
      <c r="CSG1812" s="593"/>
      <c r="CSH1812" s="595"/>
      <c r="CSI1812" s="542"/>
      <c r="CSJ1812" s="542"/>
      <c r="CSK1812" s="542"/>
      <c r="CSL1812" s="542"/>
      <c r="CSM1812" s="542"/>
      <c r="CSN1812" s="547"/>
      <c r="CSO1812" s="544"/>
      <c r="CSP1812" s="545"/>
      <c r="CSQ1812" s="545"/>
      <c r="CSR1812" s="545"/>
      <c r="CSS1812" s="652"/>
      <c r="CST1812" s="582"/>
      <c r="CSU1812" s="582"/>
      <c r="CSV1812" s="629"/>
      <c r="CSW1812" s="630"/>
      <c r="CSX1812" s="630"/>
      <c r="CSY1812" s="630"/>
      <c r="CSZ1812" s="630"/>
      <c r="CTA1812" s="631"/>
      <c r="CTB1812" s="587"/>
      <c r="CTC1812" s="569"/>
      <c r="CTD1812" s="582"/>
      <c r="CTE1812" s="587"/>
      <c r="CTF1812" s="569"/>
      <c r="CTG1812" s="569"/>
      <c r="CTH1812" s="569"/>
      <c r="CTI1812" s="582"/>
      <c r="CTJ1812" s="587"/>
      <c r="CTK1812" s="582"/>
      <c r="CTL1812" s="587"/>
      <c r="CTM1812" s="569"/>
      <c r="CTN1812" s="569"/>
      <c r="CTO1812" s="569"/>
      <c r="CTP1812" s="618"/>
      <c r="CTQ1812" s="653"/>
      <c r="CTR1812" s="545"/>
      <c r="CTS1812" s="651"/>
      <c r="CTT1812" s="653"/>
      <c r="CTU1812" s="591"/>
      <c r="CTV1812" s="653"/>
      <c r="CTW1812" s="654"/>
      <c r="CTX1812" s="555"/>
      <c r="CTY1812" s="556"/>
      <c r="CTZ1812" s="633"/>
      <c r="CUA1812" s="634"/>
      <c r="CUB1812" s="635"/>
      <c r="CUC1812" s="560"/>
      <c r="CUD1812" s="589"/>
      <c r="CUE1812" s="636"/>
      <c r="CUF1812" s="559"/>
      <c r="CUG1812" s="557"/>
      <c r="CUH1812" s="558"/>
      <c r="CUI1812" s="590"/>
      <c r="CUJ1812" s="591"/>
      <c r="CUK1812" s="591"/>
      <c r="CUL1812" s="592"/>
      <c r="CUM1812" s="593"/>
      <c r="CUN1812" s="591"/>
      <c r="CUO1812" s="591"/>
      <c r="CUP1812" s="591"/>
      <c r="CUQ1812" s="592"/>
      <c r="CUR1812" s="593"/>
      <c r="CUS1812" s="594"/>
      <c r="CUT1812" s="590"/>
      <c r="CUU1812" s="591"/>
      <c r="CUV1812" s="591"/>
      <c r="CUW1812" s="591"/>
      <c r="CUX1812" s="591"/>
      <c r="CUY1812" s="591"/>
      <c r="CUZ1812" s="591"/>
      <c r="CVA1812" s="560"/>
      <c r="CVB1812" s="560"/>
      <c r="CVC1812" s="592"/>
      <c r="CVD1812" s="594"/>
      <c r="CVE1812" s="593"/>
      <c r="CVF1812" s="595"/>
      <c r="CVG1812" s="542"/>
      <c r="CVH1812" s="542"/>
      <c r="CVI1812" s="542"/>
      <c r="CVJ1812" s="542"/>
      <c r="CVK1812" s="542"/>
      <c r="CVL1812" s="547"/>
      <c r="CVM1812" s="544"/>
      <c r="CVN1812" s="545"/>
      <c r="CVO1812" s="545"/>
      <c r="CVP1812" s="545"/>
      <c r="CVQ1812" s="652"/>
      <c r="CVR1812" s="582"/>
      <c r="CVS1812" s="582"/>
      <c r="CVT1812" s="629"/>
      <c r="CVU1812" s="630"/>
      <c r="CVV1812" s="630"/>
      <c r="CVW1812" s="630"/>
      <c r="CVX1812" s="630"/>
      <c r="CVY1812" s="631"/>
      <c r="CVZ1812" s="587"/>
      <c r="CWA1812" s="569"/>
      <c r="CWB1812" s="582"/>
      <c r="CWC1812" s="587"/>
      <c r="CWD1812" s="569"/>
      <c r="CWE1812" s="569"/>
      <c r="CWF1812" s="569"/>
      <c r="CWG1812" s="582"/>
      <c r="CWH1812" s="587"/>
      <c r="CWI1812" s="582"/>
      <c r="CWJ1812" s="587"/>
      <c r="CWK1812" s="569"/>
      <c r="CWL1812" s="569"/>
      <c r="CWM1812" s="569"/>
      <c r="CWN1812" s="618"/>
      <c r="CWO1812" s="653"/>
      <c r="CWP1812" s="545"/>
      <c r="CWQ1812" s="651"/>
      <c r="CWR1812" s="653"/>
      <c r="CWS1812" s="591"/>
      <c r="CWT1812" s="653"/>
      <c r="CWU1812" s="654"/>
      <c r="CWV1812" s="555"/>
      <c r="CWW1812" s="556"/>
      <c r="CWX1812" s="633"/>
      <c r="CWY1812" s="634"/>
      <c r="CWZ1812" s="635"/>
      <c r="CXA1812" s="560"/>
      <c r="CXB1812" s="589"/>
      <c r="CXC1812" s="636"/>
      <c r="CXD1812" s="559"/>
      <c r="CXE1812" s="557"/>
      <c r="CXF1812" s="558"/>
      <c r="CXG1812" s="590"/>
      <c r="CXH1812" s="591"/>
      <c r="CXI1812" s="591"/>
      <c r="CXJ1812" s="592"/>
      <c r="CXK1812" s="593"/>
      <c r="CXL1812" s="591"/>
      <c r="CXM1812" s="591"/>
      <c r="CXN1812" s="591"/>
      <c r="CXO1812" s="592"/>
      <c r="CXP1812" s="593"/>
      <c r="CXQ1812" s="594"/>
      <c r="CXR1812" s="590"/>
      <c r="CXS1812" s="591"/>
      <c r="CXT1812" s="591"/>
      <c r="CXU1812" s="591"/>
      <c r="CXV1812" s="591"/>
      <c r="CXW1812" s="591"/>
      <c r="CXX1812" s="591"/>
      <c r="CXY1812" s="560"/>
      <c r="CXZ1812" s="560"/>
      <c r="CYA1812" s="592"/>
      <c r="CYB1812" s="594"/>
      <c r="CYC1812" s="593"/>
      <c r="CYD1812" s="595"/>
      <c r="CYE1812" s="542"/>
      <c r="CYF1812" s="542"/>
      <c r="CYG1812" s="542"/>
      <c r="CYH1812" s="542"/>
      <c r="CYI1812" s="542"/>
      <c r="CYJ1812" s="547"/>
      <c r="CYK1812" s="544"/>
      <c r="CYL1812" s="545"/>
      <c r="CYM1812" s="545"/>
      <c r="CYN1812" s="545"/>
      <c r="CYO1812" s="652"/>
      <c r="CYP1812" s="582"/>
      <c r="CYQ1812" s="582"/>
      <c r="CYR1812" s="629"/>
      <c r="CYS1812" s="630"/>
      <c r="CYT1812" s="630"/>
      <c r="CYU1812" s="630"/>
      <c r="CYV1812" s="630"/>
      <c r="CYW1812" s="631"/>
      <c r="CYX1812" s="587"/>
      <c r="CYY1812" s="569"/>
      <c r="CYZ1812" s="582"/>
      <c r="CZA1812" s="587"/>
      <c r="CZB1812" s="569"/>
      <c r="CZC1812" s="569"/>
      <c r="CZD1812" s="569"/>
      <c r="CZE1812" s="582"/>
      <c r="CZF1812" s="587"/>
      <c r="CZG1812" s="582"/>
      <c r="CZH1812" s="587"/>
      <c r="CZI1812" s="569"/>
      <c r="CZJ1812" s="569"/>
      <c r="CZK1812" s="569"/>
      <c r="CZL1812" s="618"/>
      <c r="CZM1812" s="653"/>
      <c r="CZN1812" s="545"/>
      <c r="CZO1812" s="651"/>
      <c r="CZP1812" s="653"/>
      <c r="CZQ1812" s="591"/>
      <c r="CZR1812" s="653"/>
      <c r="CZS1812" s="654"/>
      <c r="CZT1812" s="555"/>
      <c r="CZU1812" s="556"/>
      <c r="CZV1812" s="633"/>
      <c r="CZW1812" s="634"/>
      <c r="CZX1812" s="635"/>
      <c r="CZY1812" s="560"/>
      <c r="CZZ1812" s="589"/>
      <c r="DAA1812" s="636"/>
      <c r="DAB1812" s="559"/>
      <c r="DAC1812" s="557"/>
      <c r="DAD1812" s="558"/>
      <c r="DAE1812" s="590"/>
      <c r="DAF1812" s="591"/>
      <c r="DAG1812" s="591"/>
      <c r="DAH1812" s="592"/>
      <c r="DAI1812" s="593"/>
      <c r="DAJ1812" s="591"/>
      <c r="DAK1812" s="591"/>
      <c r="DAL1812" s="591"/>
      <c r="DAM1812" s="592"/>
      <c r="DAN1812" s="593"/>
      <c r="DAO1812" s="594"/>
      <c r="DAP1812" s="590"/>
      <c r="DAQ1812" s="591"/>
      <c r="DAR1812" s="591"/>
      <c r="DAS1812" s="591"/>
      <c r="DAT1812" s="591"/>
      <c r="DAU1812" s="591"/>
      <c r="DAV1812" s="591"/>
      <c r="DAW1812" s="560"/>
      <c r="DAX1812" s="560"/>
      <c r="DAY1812" s="592"/>
      <c r="DAZ1812" s="594"/>
      <c r="DBA1812" s="593"/>
      <c r="DBB1812" s="595"/>
      <c r="DBC1812" s="542"/>
      <c r="DBD1812" s="542"/>
      <c r="DBE1812" s="542"/>
      <c r="DBF1812" s="542"/>
      <c r="DBG1812" s="542"/>
      <c r="DBH1812" s="547"/>
      <c r="DBI1812" s="544"/>
      <c r="DBJ1812" s="545"/>
      <c r="DBK1812" s="545"/>
      <c r="DBL1812" s="545"/>
      <c r="DBM1812" s="652"/>
      <c r="DBN1812" s="582"/>
      <c r="DBO1812" s="582"/>
      <c r="DBP1812" s="629"/>
      <c r="DBQ1812" s="630"/>
      <c r="DBR1812" s="630"/>
      <c r="DBS1812" s="630"/>
      <c r="DBT1812" s="630"/>
      <c r="DBU1812" s="631"/>
      <c r="DBV1812" s="587"/>
      <c r="DBW1812" s="569"/>
      <c r="DBX1812" s="582"/>
      <c r="DBY1812" s="587"/>
      <c r="DBZ1812" s="569"/>
      <c r="DCA1812" s="569"/>
      <c r="DCB1812" s="569"/>
      <c r="DCC1812" s="582"/>
      <c r="DCD1812" s="587"/>
      <c r="DCE1812" s="582"/>
      <c r="DCF1812" s="587"/>
      <c r="DCG1812" s="569"/>
      <c r="DCH1812" s="569"/>
      <c r="DCI1812" s="569"/>
      <c r="DCJ1812" s="618"/>
      <c r="DCK1812" s="653"/>
      <c r="DCL1812" s="545"/>
      <c r="DCM1812" s="651"/>
      <c r="DCN1812" s="653"/>
      <c r="DCO1812" s="591"/>
      <c r="DCP1812" s="653"/>
      <c r="DCQ1812" s="654"/>
      <c r="DCR1812" s="555"/>
      <c r="DCS1812" s="556"/>
      <c r="DCT1812" s="633"/>
      <c r="DCU1812" s="634"/>
      <c r="DCV1812" s="635"/>
      <c r="DCW1812" s="560"/>
      <c r="DCX1812" s="589"/>
      <c r="DCY1812" s="636"/>
      <c r="DCZ1812" s="559"/>
      <c r="DDA1812" s="557"/>
      <c r="DDB1812" s="558"/>
      <c r="DDC1812" s="590"/>
      <c r="DDD1812" s="591"/>
      <c r="DDE1812" s="591"/>
      <c r="DDF1812" s="592"/>
      <c r="DDG1812" s="593"/>
      <c r="DDH1812" s="591"/>
      <c r="DDI1812" s="591"/>
      <c r="DDJ1812" s="591"/>
      <c r="DDK1812" s="592"/>
      <c r="DDL1812" s="593"/>
      <c r="DDM1812" s="594"/>
      <c r="DDN1812" s="590"/>
      <c r="DDO1812" s="591"/>
      <c r="DDP1812" s="591"/>
      <c r="DDQ1812" s="591"/>
      <c r="DDR1812" s="591"/>
      <c r="DDS1812" s="591"/>
      <c r="DDT1812" s="591"/>
      <c r="DDU1812" s="560"/>
      <c r="DDV1812" s="560"/>
      <c r="DDW1812" s="592"/>
      <c r="DDX1812" s="594"/>
      <c r="DDY1812" s="593"/>
      <c r="DDZ1812" s="595"/>
      <c r="DEA1812" s="542"/>
      <c r="DEB1812" s="542"/>
      <c r="DEC1812" s="542"/>
      <c r="DED1812" s="542"/>
      <c r="DEE1812" s="542"/>
      <c r="DEF1812" s="547"/>
      <c r="DEG1812" s="544"/>
      <c r="DEH1812" s="545"/>
      <c r="DEI1812" s="545"/>
      <c r="DEJ1812" s="545"/>
      <c r="DEK1812" s="652"/>
      <c r="DEL1812" s="582"/>
      <c r="DEM1812" s="582"/>
      <c r="DEN1812" s="629"/>
      <c r="DEO1812" s="630"/>
      <c r="DEP1812" s="630"/>
      <c r="DEQ1812" s="630"/>
      <c r="DER1812" s="630"/>
      <c r="DES1812" s="631"/>
      <c r="DET1812" s="587"/>
      <c r="DEU1812" s="569"/>
      <c r="DEV1812" s="582"/>
      <c r="DEW1812" s="587"/>
      <c r="DEX1812" s="569"/>
      <c r="DEY1812" s="569"/>
      <c r="DEZ1812" s="569"/>
      <c r="DFA1812" s="582"/>
      <c r="DFB1812" s="587"/>
      <c r="DFC1812" s="582"/>
      <c r="DFD1812" s="587"/>
      <c r="DFE1812" s="569"/>
      <c r="DFF1812" s="569"/>
      <c r="DFG1812" s="569"/>
      <c r="DFH1812" s="618"/>
      <c r="DFI1812" s="653"/>
      <c r="DFJ1812" s="545"/>
      <c r="DFK1812" s="651"/>
      <c r="DFL1812" s="653"/>
      <c r="DFM1812" s="591"/>
      <c r="DFN1812" s="653"/>
      <c r="DFO1812" s="654"/>
      <c r="DFP1812" s="555"/>
      <c r="DFQ1812" s="556"/>
      <c r="DFR1812" s="633"/>
      <c r="DFS1812" s="634"/>
      <c r="DFT1812" s="635"/>
      <c r="DFU1812" s="560"/>
      <c r="DFV1812" s="589"/>
      <c r="DFW1812" s="636"/>
      <c r="DFX1812" s="559"/>
      <c r="DFY1812" s="557"/>
      <c r="DFZ1812" s="558"/>
      <c r="DGA1812" s="590"/>
      <c r="DGB1812" s="591"/>
      <c r="DGC1812" s="591"/>
      <c r="DGD1812" s="592"/>
      <c r="DGE1812" s="593"/>
      <c r="DGF1812" s="591"/>
      <c r="DGG1812" s="591"/>
      <c r="DGH1812" s="591"/>
      <c r="DGI1812" s="592"/>
      <c r="DGJ1812" s="593"/>
      <c r="DGK1812" s="594"/>
      <c r="DGL1812" s="590"/>
      <c r="DGM1812" s="591"/>
      <c r="DGN1812" s="591"/>
      <c r="DGO1812" s="591"/>
      <c r="DGP1812" s="591"/>
      <c r="DGQ1812" s="591"/>
      <c r="DGR1812" s="591"/>
      <c r="DGS1812" s="560"/>
      <c r="DGT1812" s="560"/>
      <c r="DGU1812" s="592"/>
      <c r="DGV1812" s="594"/>
      <c r="DGW1812" s="593"/>
      <c r="DGX1812" s="595"/>
      <c r="DGY1812" s="542"/>
      <c r="DGZ1812" s="542"/>
      <c r="DHA1812" s="542"/>
      <c r="DHB1812" s="542"/>
      <c r="DHC1812" s="542"/>
      <c r="DHD1812" s="547"/>
      <c r="DHE1812" s="544"/>
      <c r="DHF1812" s="545"/>
      <c r="DHG1812" s="545"/>
      <c r="DHH1812" s="545"/>
      <c r="DHI1812" s="652"/>
      <c r="DHJ1812" s="582"/>
      <c r="DHK1812" s="582"/>
      <c r="DHL1812" s="629"/>
      <c r="DHM1812" s="630"/>
      <c r="DHN1812" s="630"/>
      <c r="DHO1812" s="630"/>
      <c r="DHP1812" s="630"/>
      <c r="DHQ1812" s="631"/>
      <c r="DHR1812" s="587"/>
      <c r="DHS1812" s="569"/>
      <c r="DHT1812" s="582"/>
      <c r="DHU1812" s="587"/>
      <c r="DHV1812" s="569"/>
      <c r="DHW1812" s="569"/>
      <c r="DHX1812" s="569"/>
      <c r="DHY1812" s="582"/>
      <c r="DHZ1812" s="587"/>
      <c r="DIA1812" s="582"/>
      <c r="DIB1812" s="587"/>
      <c r="DIC1812" s="569"/>
      <c r="DID1812" s="569"/>
      <c r="DIE1812" s="569"/>
      <c r="DIF1812" s="618"/>
      <c r="DIG1812" s="653"/>
      <c r="DIH1812" s="545"/>
      <c r="DII1812" s="651"/>
      <c r="DIJ1812" s="653"/>
      <c r="DIK1812" s="591"/>
      <c r="DIL1812" s="653"/>
      <c r="DIM1812" s="654"/>
      <c r="DIN1812" s="555"/>
      <c r="DIO1812" s="556"/>
      <c r="DIP1812" s="633"/>
      <c r="DIQ1812" s="634"/>
      <c r="DIR1812" s="635"/>
      <c r="DIS1812" s="560"/>
      <c r="DIT1812" s="589"/>
      <c r="DIU1812" s="636"/>
      <c r="DIV1812" s="559"/>
      <c r="DIW1812" s="557"/>
      <c r="DIX1812" s="558"/>
      <c r="DIY1812" s="590"/>
      <c r="DIZ1812" s="591"/>
      <c r="DJA1812" s="591"/>
      <c r="DJB1812" s="592"/>
      <c r="DJC1812" s="593"/>
      <c r="DJD1812" s="591"/>
      <c r="DJE1812" s="591"/>
      <c r="DJF1812" s="591"/>
      <c r="DJG1812" s="592"/>
      <c r="DJH1812" s="593"/>
      <c r="DJI1812" s="594"/>
      <c r="DJJ1812" s="590"/>
      <c r="DJK1812" s="591"/>
      <c r="DJL1812" s="591"/>
      <c r="DJM1812" s="591"/>
      <c r="DJN1812" s="591"/>
      <c r="DJO1812" s="591"/>
      <c r="DJP1812" s="591"/>
      <c r="DJQ1812" s="560"/>
      <c r="DJR1812" s="560"/>
      <c r="DJS1812" s="592"/>
      <c r="DJT1812" s="594"/>
      <c r="DJU1812" s="593"/>
      <c r="DJV1812" s="595"/>
      <c r="DJW1812" s="542"/>
      <c r="DJX1812" s="542"/>
      <c r="DJY1812" s="542"/>
      <c r="DJZ1812" s="542"/>
      <c r="DKA1812" s="542"/>
      <c r="DKB1812" s="547"/>
      <c r="DKC1812" s="544"/>
      <c r="DKD1812" s="545"/>
      <c r="DKE1812" s="545"/>
      <c r="DKF1812" s="545"/>
      <c r="DKG1812" s="652"/>
      <c r="DKH1812" s="582"/>
      <c r="DKI1812" s="582"/>
      <c r="DKJ1812" s="629"/>
      <c r="DKK1812" s="630"/>
      <c r="DKL1812" s="630"/>
      <c r="DKM1812" s="630"/>
      <c r="DKN1812" s="630"/>
      <c r="DKO1812" s="631"/>
      <c r="DKP1812" s="587"/>
      <c r="DKQ1812" s="569"/>
      <c r="DKR1812" s="582"/>
      <c r="DKS1812" s="587"/>
      <c r="DKT1812" s="569"/>
      <c r="DKU1812" s="569"/>
      <c r="DKV1812" s="569"/>
      <c r="DKW1812" s="582"/>
      <c r="DKX1812" s="587"/>
      <c r="DKY1812" s="582"/>
      <c r="DKZ1812" s="587"/>
      <c r="DLA1812" s="569"/>
      <c r="DLB1812" s="569"/>
      <c r="DLC1812" s="569"/>
      <c r="DLD1812" s="618"/>
      <c r="DLE1812" s="653"/>
      <c r="DLF1812" s="545"/>
      <c r="DLG1812" s="651"/>
      <c r="DLH1812" s="653"/>
      <c r="DLI1812" s="591"/>
      <c r="DLJ1812" s="653"/>
      <c r="DLK1812" s="654"/>
      <c r="DLL1812" s="555"/>
      <c r="DLM1812" s="556"/>
      <c r="DLN1812" s="633"/>
      <c r="DLO1812" s="634"/>
      <c r="DLP1812" s="635"/>
      <c r="DLQ1812" s="560"/>
      <c r="DLR1812" s="589"/>
      <c r="DLS1812" s="636"/>
      <c r="DLT1812" s="559"/>
      <c r="DLU1812" s="557"/>
      <c r="DLV1812" s="558"/>
      <c r="DLW1812" s="590"/>
      <c r="DLX1812" s="591"/>
      <c r="DLY1812" s="591"/>
      <c r="DLZ1812" s="592"/>
      <c r="DMA1812" s="593"/>
      <c r="DMB1812" s="591"/>
      <c r="DMC1812" s="591"/>
      <c r="DMD1812" s="591"/>
      <c r="DME1812" s="592"/>
      <c r="DMF1812" s="593"/>
      <c r="DMG1812" s="594"/>
      <c r="DMH1812" s="590"/>
      <c r="DMI1812" s="591"/>
      <c r="DMJ1812" s="591"/>
      <c r="DMK1812" s="591"/>
      <c r="DML1812" s="591"/>
      <c r="DMM1812" s="591"/>
      <c r="DMN1812" s="591"/>
      <c r="DMO1812" s="560"/>
      <c r="DMP1812" s="560"/>
      <c r="DMQ1812" s="592"/>
      <c r="DMR1812" s="594"/>
      <c r="DMS1812" s="593"/>
      <c r="DMT1812" s="595"/>
      <c r="DMU1812" s="542"/>
      <c r="DMV1812" s="542"/>
      <c r="DMW1812" s="542"/>
      <c r="DMX1812" s="542"/>
      <c r="DMY1812" s="542"/>
      <c r="DMZ1812" s="547"/>
      <c r="DNA1812" s="544"/>
      <c r="DNB1812" s="545"/>
      <c r="DNC1812" s="545"/>
      <c r="DND1812" s="545"/>
      <c r="DNE1812" s="652"/>
      <c r="DNF1812" s="582"/>
      <c r="DNG1812" s="582"/>
      <c r="DNH1812" s="629"/>
      <c r="DNI1812" s="630"/>
      <c r="DNJ1812" s="630"/>
      <c r="DNK1812" s="630"/>
      <c r="DNL1812" s="630"/>
      <c r="DNM1812" s="631"/>
      <c r="DNN1812" s="587"/>
      <c r="DNO1812" s="569"/>
      <c r="DNP1812" s="582"/>
      <c r="DNQ1812" s="587"/>
      <c r="DNR1812" s="569"/>
      <c r="DNS1812" s="569"/>
      <c r="DNT1812" s="569"/>
      <c r="DNU1812" s="582"/>
      <c r="DNV1812" s="587"/>
      <c r="DNW1812" s="582"/>
      <c r="DNX1812" s="587"/>
      <c r="DNY1812" s="569"/>
      <c r="DNZ1812" s="569"/>
      <c r="DOA1812" s="569"/>
      <c r="DOB1812" s="618"/>
      <c r="DOC1812" s="653"/>
      <c r="DOD1812" s="545"/>
      <c r="DOE1812" s="651"/>
      <c r="DOF1812" s="653"/>
      <c r="DOG1812" s="591"/>
      <c r="DOH1812" s="653"/>
      <c r="DOI1812" s="654"/>
      <c r="DOJ1812" s="555"/>
      <c r="DOK1812" s="556"/>
      <c r="DOL1812" s="633"/>
      <c r="DOM1812" s="634"/>
      <c r="DON1812" s="635"/>
      <c r="DOO1812" s="560"/>
      <c r="DOP1812" s="589"/>
      <c r="DOQ1812" s="636"/>
      <c r="DOR1812" s="559"/>
      <c r="DOS1812" s="557"/>
      <c r="DOT1812" s="558"/>
      <c r="DOU1812" s="590"/>
      <c r="DOV1812" s="591"/>
      <c r="DOW1812" s="591"/>
      <c r="DOX1812" s="592"/>
      <c r="DOY1812" s="593"/>
      <c r="DOZ1812" s="591"/>
      <c r="DPA1812" s="591"/>
      <c r="DPB1812" s="591"/>
      <c r="DPC1812" s="592"/>
      <c r="DPD1812" s="593"/>
      <c r="DPE1812" s="594"/>
      <c r="DPF1812" s="590"/>
      <c r="DPG1812" s="591"/>
      <c r="DPH1812" s="591"/>
      <c r="DPI1812" s="591"/>
      <c r="DPJ1812" s="591"/>
      <c r="DPK1812" s="591"/>
      <c r="DPL1812" s="591"/>
      <c r="DPM1812" s="560"/>
      <c r="DPN1812" s="560"/>
      <c r="DPO1812" s="592"/>
      <c r="DPP1812" s="594"/>
      <c r="DPQ1812" s="593"/>
      <c r="DPR1812" s="595"/>
      <c r="DPS1812" s="542"/>
      <c r="DPT1812" s="542"/>
      <c r="DPU1812" s="542"/>
      <c r="DPV1812" s="542"/>
      <c r="DPW1812" s="542"/>
      <c r="DPX1812" s="547"/>
      <c r="DPY1812" s="544"/>
      <c r="DPZ1812" s="545"/>
      <c r="DQA1812" s="545"/>
      <c r="DQB1812" s="545"/>
      <c r="DQC1812" s="652"/>
      <c r="DQD1812" s="582"/>
      <c r="DQE1812" s="582"/>
      <c r="DQF1812" s="629"/>
      <c r="DQG1812" s="630"/>
      <c r="DQH1812" s="630"/>
      <c r="DQI1812" s="630"/>
      <c r="DQJ1812" s="630"/>
      <c r="DQK1812" s="631"/>
      <c r="DQL1812" s="587"/>
      <c r="DQM1812" s="569"/>
      <c r="DQN1812" s="582"/>
      <c r="DQO1812" s="587"/>
      <c r="DQP1812" s="569"/>
      <c r="DQQ1812" s="569"/>
      <c r="DQR1812" s="569"/>
      <c r="DQS1812" s="582"/>
      <c r="DQT1812" s="587"/>
      <c r="DQU1812" s="582"/>
      <c r="DQV1812" s="587"/>
      <c r="DQW1812" s="569"/>
      <c r="DQX1812" s="569"/>
      <c r="DQY1812" s="569"/>
      <c r="DQZ1812" s="618"/>
      <c r="DRA1812" s="653"/>
      <c r="DRB1812" s="545"/>
      <c r="DRC1812" s="651"/>
      <c r="DRD1812" s="653"/>
      <c r="DRE1812" s="591"/>
      <c r="DRF1812" s="653"/>
      <c r="DRG1812" s="654"/>
      <c r="DRH1812" s="555"/>
      <c r="DRI1812" s="556"/>
      <c r="DRJ1812" s="633"/>
      <c r="DRK1812" s="634"/>
      <c r="DRL1812" s="635"/>
      <c r="DRM1812" s="560"/>
      <c r="DRN1812" s="589"/>
      <c r="DRO1812" s="636"/>
      <c r="DRP1812" s="559"/>
      <c r="DRQ1812" s="557"/>
      <c r="DRR1812" s="558"/>
      <c r="DRS1812" s="590"/>
      <c r="DRT1812" s="591"/>
      <c r="DRU1812" s="591"/>
      <c r="DRV1812" s="592"/>
      <c r="DRW1812" s="593"/>
      <c r="DRX1812" s="591"/>
      <c r="DRY1812" s="591"/>
      <c r="DRZ1812" s="591"/>
      <c r="DSA1812" s="592"/>
      <c r="DSB1812" s="593"/>
      <c r="DSC1812" s="594"/>
      <c r="DSD1812" s="590"/>
      <c r="DSE1812" s="591"/>
      <c r="DSF1812" s="591"/>
      <c r="DSG1812" s="591"/>
      <c r="DSH1812" s="591"/>
      <c r="DSI1812" s="591"/>
      <c r="DSJ1812" s="591"/>
      <c r="DSK1812" s="560"/>
      <c r="DSL1812" s="560"/>
      <c r="DSM1812" s="592"/>
      <c r="DSN1812" s="594"/>
      <c r="DSO1812" s="593"/>
      <c r="DSP1812" s="595"/>
      <c r="DSQ1812" s="542"/>
      <c r="DSR1812" s="542"/>
      <c r="DSS1812" s="542"/>
      <c r="DST1812" s="542"/>
      <c r="DSU1812" s="542"/>
      <c r="DSV1812" s="547"/>
      <c r="DSW1812" s="544"/>
      <c r="DSX1812" s="545"/>
      <c r="DSY1812" s="545"/>
      <c r="DSZ1812" s="545"/>
      <c r="DTA1812" s="652"/>
      <c r="DTB1812" s="582"/>
      <c r="DTC1812" s="582"/>
      <c r="DTD1812" s="629"/>
      <c r="DTE1812" s="630"/>
      <c r="DTF1812" s="630"/>
      <c r="DTG1812" s="630"/>
      <c r="DTH1812" s="630"/>
      <c r="DTI1812" s="631"/>
      <c r="DTJ1812" s="587"/>
      <c r="DTK1812" s="569"/>
      <c r="DTL1812" s="582"/>
      <c r="DTM1812" s="587"/>
      <c r="DTN1812" s="569"/>
      <c r="DTO1812" s="569"/>
      <c r="DTP1812" s="569"/>
      <c r="DTQ1812" s="582"/>
      <c r="DTR1812" s="587"/>
      <c r="DTS1812" s="582"/>
      <c r="DTT1812" s="587"/>
      <c r="DTU1812" s="569"/>
      <c r="DTV1812" s="569"/>
      <c r="DTW1812" s="569"/>
      <c r="DTX1812" s="618"/>
      <c r="DTY1812" s="653"/>
      <c r="DTZ1812" s="545"/>
      <c r="DUA1812" s="651"/>
      <c r="DUB1812" s="653"/>
      <c r="DUC1812" s="591"/>
      <c r="DUD1812" s="653"/>
      <c r="DUE1812" s="654"/>
      <c r="DUF1812" s="555"/>
      <c r="DUG1812" s="556"/>
      <c r="DUH1812" s="633"/>
      <c r="DUI1812" s="634"/>
      <c r="DUJ1812" s="635"/>
      <c r="DUK1812" s="560"/>
      <c r="DUL1812" s="589"/>
      <c r="DUM1812" s="636"/>
      <c r="DUN1812" s="559"/>
      <c r="DUO1812" s="557"/>
      <c r="DUP1812" s="558"/>
      <c r="DUQ1812" s="590"/>
      <c r="DUR1812" s="591"/>
      <c r="DUS1812" s="591"/>
      <c r="DUT1812" s="592"/>
      <c r="DUU1812" s="593"/>
      <c r="DUV1812" s="591"/>
      <c r="DUW1812" s="591"/>
      <c r="DUX1812" s="591"/>
      <c r="DUY1812" s="592"/>
      <c r="DUZ1812" s="593"/>
      <c r="DVA1812" s="594"/>
      <c r="DVB1812" s="590"/>
      <c r="DVC1812" s="591"/>
      <c r="DVD1812" s="591"/>
      <c r="DVE1812" s="591"/>
      <c r="DVF1812" s="591"/>
      <c r="DVG1812" s="591"/>
      <c r="DVH1812" s="591"/>
      <c r="DVI1812" s="560"/>
      <c r="DVJ1812" s="560"/>
      <c r="DVK1812" s="592"/>
      <c r="DVL1812" s="594"/>
      <c r="DVM1812" s="593"/>
      <c r="DVN1812" s="595"/>
      <c r="DVO1812" s="542"/>
      <c r="DVP1812" s="542"/>
      <c r="DVQ1812" s="542"/>
      <c r="DVR1812" s="542"/>
      <c r="DVS1812" s="542"/>
      <c r="DVT1812" s="547"/>
      <c r="DVU1812" s="544"/>
      <c r="DVV1812" s="545"/>
      <c r="DVW1812" s="545"/>
      <c r="DVX1812" s="545"/>
      <c r="DVY1812" s="652"/>
      <c r="DVZ1812" s="582"/>
      <c r="DWA1812" s="582"/>
      <c r="DWB1812" s="629"/>
      <c r="DWC1812" s="630"/>
      <c r="DWD1812" s="630"/>
      <c r="DWE1812" s="630"/>
      <c r="DWF1812" s="630"/>
      <c r="DWG1812" s="631"/>
      <c r="DWH1812" s="587"/>
      <c r="DWI1812" s="569"/>
      <c r="DWJ1812" s="582"/>
      <c r="DWK1812" s="587"/>
      <c r="DWL1812" s="569"/>
      <c r="DWM1812" s="569"/>
      <c r="DWN1812" s="569"/>
      <c r="DWO1812" s="582"/>
      <c r="DWP1812" s="587"/>
      <c r="DWQ1812" s="582"/>
      <c r="DWR1812" s="587"/>
      <c r="DWS1812" s="569"/>
      <c r="DWT1812" s="569"/>
      <c r="DWU1812" s="569"/>
      <c r="DWV1812" s="618"/>
      <c r="DWW1812" s="653"/>
      <c r="DWX1812" s="545"/>
      <c r="DWY1812" s="651"/>
      <c r="DWZ1812" s="653"/>
      <c r="DXA1812" s="591"/>
      <c r="DXB1812" s="653"/>
      <c r="DXC1812" s="654"/>
      <c r="DXD1812" s="555"/>
      <c r="DXE1812" s="556"/>
      <c r="DXF1812" s="633"/>
      <c r="DXG1812" s="634"/>
      <c r="DXH1812" s="635"/>
      <c r="DXI1812" s="560"/>
      <c r="DXJ1812" s="589"/>
      <c r="DXK1812" s="636"/>
      <c r="DXL1812" s="559"/>
      <c r="DXM1812" s="557"/>
      <c r="DXN1812" s="558"/>
      <c r="DXO1812" s="590"/>
      <c r="DXP1812" s="591"/>
      <c r="DXQ1812" s="591"/>
      <c r="DXR1812" s="592"/>
      <c r="DXS1812" s="593"/>
      <c r="DXT1812" s="591"/>
      <c r="DXU1812" s="591"/>
      <c r="DXV1812" s="591"/>
      <c r="DXW1812" s="592"/>
      <c r="DXX1812" s="593"/>
      <c r="DXY1812" s="594"/>
      <c r="DXZ1812" s="590"/>
      <c r="DYA1812" s="591"/>
      <c r="DYB1812" s="591"/>
      <c r="DYC1812" s="591"/>
      <c r="DYD1812" s="591"/>
      <c r="DYE1812" s="591"/>
      <c r="DYF1812" s="591"/>
      <c r="DYG1812" s="560"/>
      <c r="DYH1812" s="560"/>
      <c r="DYI1812" s="592"/>
      <c r="DYJ1812" s="594"/>
      <c r="DYK1812" s="593"/>
      <c r="DYL1812" s="595"/>
      <c r="DYM1812" s="542"/>
      <c r="DYN1812" s="542"/>
      <c r="DYO1812" s="542"/>
      <c r="DYP1812" s="542"/>
      <c r="DYQ1812" s="542"/>
      <c r="DYR1812" s="547"/>
      <c r="DYS1812" s="544"/>
      <c r="DYT1812" s="545"/>
      <c r="DYU1812" s="545"/>
      <c r="DYV1812" s="545"/>
      <c r="DYW1812" s="652"/>
      <c r="DYX1812" s="582"/>
      <c r="DYY1812" s="582"/>
      <c r="DYZ1812" s="629"/>
      <c r="DZA1812" s="630"/>
      <c r="DZB1812" s="630"/>
      <c r="DZC1812" s="630"/>
      <c r="DZD1812" s="630"/>
      <c r="DZE1812" s="631"/>
      <c r="DZF1812" s="587"/>
      <c r="DZG1812" s="569"/>
      <c r="DZH1812" s="582"/>
      <c r="DZI1812" s="587"/>
      <c r="DZJ1812" s="569"/>
      <c r="DZK1812" s="569"/>
      <c r="DZL1812" s="569"/>
      <c r="DZM1812" s="582"/>
      <c r="DZN1812" s="587"/>
      <c r="DZO1812" s="582"/>
      <c r="DZP1812" s="587"/>
      <c r="DZQ1812" s="569"/>
      <c r="DZR1812" s="569"/>
      <c r="DZS1812" s="569"/>
      <c r="DZT1812" s="618"/>
      <c r="DZU1812" s="653"/>
      <c r="DZV1812" s="545"/>
      <c r="DZW1812" s="651"/>
      <c r="DZX1812" s="653"/>
      <c r="DZY1812" s="591"/>
      <c r="DZZ1812" s="653"/>
      <c r="EAA1812" s="654"/>
      <c r="EAB1812" s="555"/>
      <c r="EAC1812" s="556"/>
      <c r="EAD1812" s="633"/>
      <c r="EAE1812" s="634"/>
      <c r="EAF1812" s="635"/>
      <c r="EAG1812" s="560"/>
      <c r="EAH1812" s="589"/>
      <c r="EAI1812" s="636"/>
      <c r="EAJ1812" s="559"/>
      <c r="EAK1812" s="557"/>
      <c r="EAL1812" s="558"/>
      <c r="EAM1812" s="590"/>
      <c r="EAN1812" s="591"/>
      <c r="EAO1812" s="591"/>
      <c r="EAP1812" s="592"/>
      <c r="EAQ1812" s="593"/>
      <c r="EAR1812" s="591"/>
      <c r="EAS1812" s="591"/>
      <c r="EAT1812" s="591"/>
      <c r="EAU1812" s="592"/>
      <c r="EAV1812" s="593"/>
      <c r="EAW1812" s="594"/>
      <c r="EAX1812" s="590"/>
      <c r="EAY1812" s="591"/>
      <c r="EAZ1812" s="591"/>
      <c r="EBA1812" s="591"/>
      <c r="EBB1812" s="591"/>
      <c r="EBC1812" s="591"/>
      <c r="EBD1812" s="591"/>
      <c r="EBE1812" s="560"/>
      <c r="EBF1812" s="560"/>
      <c r="EBG1812" s="592"/>
      <c r="EBH1812" s="594"/>
      <c r="EBI1812" s="593"/>
      <c r="EBJ1812" s="595"/>
      <c r="EBK1812" s="542"/>
      <c r="EBL1812" s="542"/>
      <c r="EBM1812" s="542"/>
      <c r="EBN1812" s="542"/>
      <c r="EBO1812" s="542"/>
      <c r="EBP1812" s="547"/>
      <c r="EBQ1812" s="544"/>
      <c r="EBR1812" s="545"/>
      <c r="EBS1812" s="545"/>
      <c r="EBT1812" s="545"/>
      <c r="EBU1812" s="652"/>
      <c r="EBV1812" s="582"/>
      <c r="EBW1812" s="582"/>
      <c r="EBX1812" s="629"/>
      <c r="EBY1812" s="630"/>
      <c r="EBZ1812" s="630"/>
      <c r="ECA1812" s="630"/>
      <c r="ECB1812" s="630"/>
      <c r="ECC1812" s="631"/>
      <c r="ECD1812" s="587"/>
      <c r="ECE1812" s="569"/>
      <c r="ECF1812" s="582"/>
      <c r="ECG1812" s="587"/>
      <c r="ECH1812" s="569"/>
      <c r="ECI1812" s="569"/>
      <c r="ECJ1812" s="569"/>
      <c r="ECK1812" s="582"/>
      <c r="ECL1812" s="587"/>
      <c r="ECM1812" s="582"/>
      <c r="ECN1812" s="587"/>
      <c r="ECO1812" s="569"/>
      <c r="ECP1812" s="569"/>
      <c r="ECQ1812" s="569"/>
      <c r="ECR1812" s="618"/>
      <c r="ECS1812" s="653"/>
      <c r="ECT1812" s="545"/>
      <c r="ECU1812" s="651"/>
      <c r="ECV1812" s="653"/>
      <c r="ECW1812" s="591"/>
      <c r="ECX1812" s="653"/>
      <c r="ECY1812" s="654"/>
      <c r="ECZ1812" s="555"/>
      <c r="EDA1812" s="556"/>
      <c r="EDB1812" s="633"/>
      <c r="EDC1812" s="634"/>
      <c r="EDD1812" s="635"/>
      <c r="EDE1812" s="560"/>
      <c r="EDF1812" s="589"/>
      <c r="EDG1812" s="636"/>
      <c r="EDH1812" s="559"/>
      <c r="EDI1812" s="557"/>
      <c r="EDJ1812" s="558"/>
      <c r="EDK1812" s="590"/>
      <c r="EDL1812" s="591"/>
      <c r="EDM1812" s="591"/>
      <c r="EDN1812" s="592"/>
      <c r="EDO1812" s="593"/>
      <c r="EDP1812" s="591"/>
      <c r="EDQ1812" s="591"/>
      <c r="EDR1812" s="591"/>
      <c r="EDS1812" s="592"/>
      <c r="EDT1812" s="593"/>
      <c r="EDU1812" s="594"/>
      <c r="EDV1812" s="590"/>
      <c r="EDW1812" s="591"/>
      <c r="EDX1812" s="591"/>
      <c r="EDY1812" s="591"/>
      <c r="EDZ1812" s="591"/>
      <c r="EEA1812" s="591"/>
      <c r="EEB1812" s="591"/>
      <c r="EEC1812" s="560"/>
      <c r="EED1812" s="560"/>
      <c r="EEE1812" s="592"/>
      <c r="EEF1812" s="594"/>
      <c r="EEG1812" s="593"/>
      <c r="EEH1812" s="595"/>
      <c r="EEI1812" s="542"/>
      <c r="EEJ1812" s="542"/>
      <c r="EEK1812" s="542"/>
      <c r="EEL1812" s="542"/>
      <c r="EEM1812" s="542"/>
      <c r="EEN1812" s="547"/>
      <c r="EEO1812" s="544"/>
      <c r="EEP1812" s="545"/>
      <c r="EEQ1812" s="545"/>
      <c r="EER1812" s="545"/>
      <c r="EES1812" s="652"/>
      <c r="EET1812" s="582"/>
      <c r="EEU1812" s="582"/>
      <c r="EEV1812" s="629"/>
      <c r="EEW1812" s="630"/>
      <c r="EEX1812" s="630"/>
      <c r="EEY1812" s="630"/>
      <c r="EEZ1812" s="630"/>
      <c r="EFA1812" s="631"/>
      <c r="EFB1812" s="587"/>
      <c r="EFC1812" s="569"/>
      <c r="EFD1812" s="582"/>
      <c r="EFE1812" s="587"/>
      <c r="EFF1812" s="569"/>
      <c r="EFG1812" s="569"/>
      <c r="EFH1812" s="569"/>
      <c r="EFI1812" s="582"/>
      <c r="EFJ1812" s="587"/>
      <c r="EFK1812" s="582"/>
      <c r="EFL1812" s="587"/>
      <c r="EFM1812" s="569"/>
      <c r="EFN1812" s="569"/>
      <c r="EFO1812" s="569"/>
      <c r="EFP1812" s="618"/>
      <c r="EFQ1812" s="653"/>
      <c r="EFR1812" s="545"/>
      <c r="EFS1812" s="651"/>
      <c r="EFT1812" s="653"/>
      <c r="EFU1812" s="591"/>
      <c r="EFV1812" s="653"/>
      <c r="EFW1812" s="654"/>
      <c r="EFX1812" s="555"/>
      <c r="EFY1812" s="556"/>
      <c r="EFZ1812" s="633"/>
      <c r="EGA1812" s="634"/>
      <c r="EGB1812" s="635"/>
      <c r="EGC1812" s="560"/>
      <c r="EGD1812" s="589"/>
      <c r="EGE1812" s="636"/>
      <c r="EGF1812" s="559"/>
      <c r="EGG1812" s="557"/>
      <c r="EGH1812" s="558"/>
      <c r="EGI1812" s="590"/>
      <c r="EGJ1812" s="591"/>
      <c r="EGK1812" s="591"/>
      <c r="EGL1812" s="592"/>
      <c r="EGM1812" s="593"/>
      <c r="EGN1812" s="591"/>
      <c r="EGO1812" s="591"/>
      <c r="EGP1812" s="591"/>
      <c r="EGQ1812" s="592"/>
      <c r="EGR1812" s="593"/>
      <c r="EGS1812" s="594"/>
      <c r="EGT1812" s="590"/>
      <c r="EGU1812" s="591"/>
      <c r="EGV1812" s="591"/>
      <c r="EGW1812" s="591"/>
      <c r="EGX1812" s="591"/>
      <c r="EGY1812" s="591"/>
      <c r="EGZ1812" s="591"/>
      <c r="EHA1812" s="560"/>
      <c r="EHB1812" s="560"/>
      <c r="EHC1812" s="592"/>
      <c r="EHD1812" s="594"/>
      <c r="EHE1812" s="593"/>
      <c r="EHF1812" s="595"/>
      <c r="EHG1812" s="542"/>
      <c r="EHH1812" s="542"/>
      <c r="EHI1812" s="542"/>
      <c r="EHJ1812" s="542"/>
      <c r="EHK1812" s="542"/>
      <c r="EHL1812" s="547"/>
      <c r="EHM1812" s="544"/>
      <c r="EHN1812" s="545"/>
      <c r="EHO1812" s="545"/>
      <c r="EHP1812" s="545"/>
      <c r="EHQ1812" s="652"/>
      <c r="EHR1812" s="582"/>
      <c r="EHS1812" s="582"/>
      <c r="EHT1812" s="629"/>
      <c r="EHU1812" s="630"/>
      <c r="EHV1812" s="630"/>
      <c r="EHW1812" s="630"/>
      <c r="EHX1812" s="630"/>
      <c r="EHY1812" s="631"/>
      <c r="EHZ1812" s="587"/>
      <c r="EIA1812" s="569"/>
      <c r="EIB1812" s="582"/>
      <c r="EIC1812" s="587"/>
      <c r="EID1812" s="569"/>
      <c r="EIE1812" s="569"/>
      <c r="EIF1812" s="569"/>
      <c r="EIG1812" s="582"/>
      <c r="EIH1812" s="587"/>
      <c r="EII1812" s="582"/>
      <c r="EIJ1812" s="587"/>
      <c r="EIK1812" s="569"/>
      <c r="EIL1812" s="569"/>
      <c r="EIM1812" s="569"/>
      <c r="EIN1812" s="618"/>
      <c r="EIO1812" s="653"/>
      <c r="EIP1812" s="545"/>
      <c r="EIQ1812" s="651"/>
      <c r="EIR1812" s="653"/>
      <c r="EIS1812" s="591"/>
      <c r="EIT1812" s="653"/>
      <c r="EIU1812" s="654"/>
      <c r="EIV1812" s="555"/>
      <c r="EIW1812" s="556"/>
      <c r="EIX1812" s="633"/>
      <c r="EIY1812" s="634"/>
      <c r="EIZ1812" s="635"/>
      <c r="EJA1812" s="560"/>
      <c r="EJB1812" s="589"/>
      <c r="EJC1812" s="636"/>
      <c r="EJD1812" s="559"/>
      <c r="EJE1812" s="557"/>
      <c r="EJF1812" s="558"/>
      <c r="EJG1812" s="590"/>
      <c r="EJH1812" s="591"/>
      <c r="EJI1812" s="591"/>
      <c r="EJJ1812" s="592"/>
      <c r="EJK1812" s="593"/>
      <c r="EJL1812" s="591"/>
      <c r="EJM1812" s="591"/>
      <c r="EJN1812" s="591"/>
      <c r="EJO1812" s="592"/>
      <c r="EJP1812" s="593"/>
      <c r="EJQ1812" s="594"/>
      <c r="EJR1812" s="590"/>
      <c r="EJS1812" s="591"/>
      <c r="EJT1812" s="591"/>
      <c r="EJU1812" s="591"/>
      <c r="EJV1812" s="591"/>
      <c r="EJW1812" s="591"/>
      <c r="EJX1812" s="591"/>
      <c r="EJY1812" s="560"/>
      <c r="EJZ1812" s="560"/>
      <c r="EKA1812" s="592"/>
      <c r="EKB1812" s="594"/>
      <c r="EKC1812" s="593"/>
      <c r="EKD1812" s="595"/>
      <c r="EKE1812" s="542"/>
      <c r="EKF1812" s="542"/>
      <c r="EKG1812" s="542"/>
      <c r="EKH1812" s="542"/>
      <c r="EKI1812" s="542"/>
      <c r="EKJ1812" s="547"/>
      <c r="EKK1812" s="544"/>
      <c r="EKL1812" s="545"/>
      <c r="EKM1812" s="545"/>
      <c r="EKN1812" s="545"/>
      <c r="EKO1812" s="652"/>
      <c r="EKP1812" s="582"/>
      <c r="EKQ1812" s="582"/>
      <c r="EKR1812" s="629"/>
      <c r="EKS1812" s="630"/>
      <c r="EKT1812" s="630"/>
      <c r="EKU1812" s="630"/>
      <c r="EKV1812" s="630"/>
      <c r="EKW1812" s="631"/>
      <c r="EKX1812" s="587"/>
      <c r="EKY1812" s="569"/>
      <c r="EKZ1812" s="582"/>
      <c r="ELA1812" s="587"/>
      <c r="ELB1812" s="569"/>
      <c r="ELC1812" s="569"/>
      <c r="ELD1812" s="569"/>
      <c r="ELE1812" s="582"/>
      <c r="ELF1812" s="587"/>
      <c r="ELG1812" s="582"/>
      <c r="ELH1812" s="587"/>
      <c r="ELI1812" s="569"/>
      <c r="ELJ1812" s="569"/>
      <c r="ELK1812" s="569"/>
      <c r="ELL1812" s="618"/>
      <c r="ELM1812" s="653"/>
      <c r="ELN1812" s="545"/>
      <c r="ELO1812" s="651"/>
      <c r="ELP1812" s="653"/>
      <c r="ELQ1812" s="591"/>
      <c r="ELR1812" s="653"/>
      <c r="ELS1812" s="654"/>
      <c r="ELT1812" s="555"/>
      <c r="ELU1812" s="556"/>
      <c r="ELV1812" s="633"/>
      <c r="ELW1812" s="634"/>
      <c r="ELX1812" s="635"/>
      <c r="ELY1812" s="560"/>
      <c r="ELZ1812" s="589"/>
      <c r="EMA1812" s="636"/>
      <c r="EMB1812" s="559"/>
      <c r="EMC1812" s="557"/>
      <c r="EMD1812" s="558"/>
      <c r="EME1812" s="590"/>
      <c r="EMF1812" s="591"/>
      <c r="EMG1812" s="591"/>
      <c r="EMH1812" s="592"/>
      <c r="EMI1812" s="593"/>
      <c r="EMJ1812" s="591"/>
      <c r="EMK1812" s="591"/>
      <c r="EML1812" s="591"/>
      <c r="EMM1812" s="592"/>
      <c r="EMN1812" s="593"/>
      <c r="EMO1812" s="594"/>
      <c r="EMP1812" s="590"/>
      <c r="EMQ1812" s="591"/>
      <c r="EMR1812" s="591"/>
      <c r="EMS1812" s="591"/>
      <c r="EMT1812" s="591"/>
      <c r="EMU1812" s="591"/>
      <c r="EMV1812" s="591"/>
      <c r="EMW1812" s="560"/>
      <c r="EMX1812" s="560"/>
      <c r="EMY1812" s="592"/>
      <c r="EMZ1812" s="594"/>
      <c r="ENA1812" s="593"/>
      <c r="ENB1812" s="595"/>
      <c r="ENC1812" s="542"/>
      <c r="END1812" s="542"/>
      <c r="ENE1812" s="542"/>
      <c r="ENF1812" s="542"/>
      <c r="ENG1812" s="542"/>
      <c r="ENH1812" s="547"/>
      <c r="ENI1812" s="544"/>
      <c r="ENJ1812" s="545"/>
      <c r="ENK1812" s="545"/>
      <c r="ENL1812" s="545"/>
      <c r="ENM1812" s="652"/>
      <c r="ENN1812" s="582"/>
      <c r="ENO1812" s="582"/>
      <c r="ENP1812" s="629"/>
      <c r="ENQ1812" s="630"/>
      <c r="ENR1812" s="630"/>
      <c r="ENS1812" s="630"/>
      <c r="ENT1812" s="630"/>
      <c r="ENU1812" s="631"/>
      <c r="ENV1812" s="587"/>
      <c r="ENW1812" s="569"/>
      <c r="ENX1812" s="582"/>
      <c r="ENY1812" s="587"/>
      <c r="ENZ1812" s="569"/>
      <c r="EOA1812" s="569"/>
      <c r="EOB1812" s="569"/>
      <c r="EOC1812" s="582"/>
      <c r="EOD1812" s="587"/>
      <c r="EOE1812" s="582"/>
      <c r="EOF1812" s="587"/>
      <c r="EOG1812" s="569"/>
      <c r="EOH1812" s="569"/>
      <c r="EOI1812" s="569"/>
      <c r="EOJ1812" s="618"/>
      <c r="EOK1812" s="653"/>
      <c r="EOL1812" s="545"/>
      <c r="EOM1812" s="651"/>
      <c r="EON1812" s="653"/>
      <c r="EOO1812" s="591"/>
      <c r="EOP1812" s="653"/>
      <c r="EOQ1812" s="654"/>
      <c r="EOR1812" s="555"/>
      <c r="EOS1812" s="556"/>
      <c r="EOT1812" s="633"/>
      <c r="EOU1812" s="634"/>
      <c r="EOV1812" s="635"/>
      <c r="EOW1812" s="560"/>
      <c r="EOX1812" s="589"/>
      <c r="EOY1812" s="636"/>
      <c r="EOZ1812" s="559"/>
      <c r="EPA1812" s="557"/>
      <c r="EPB1812" s="558"/>
      <c r="EPC1812" s="590"/>
      <c r="EPD1812" s="591"/>
      <c r="EPE1812" s="591"/>
      <c r="EPF1812" s="592"/>
      <c r="EPG1812" s="593"/>
      <c r="EPH1812" s="591"/>
      <c r="EPI1812" s="591"/>
      <c r="EPJ1812" s="591"/>
      <c r="EPK1812" s="592"/>
      <c r="EPL1812" s="593"/>
      <c r="EPM1812" s="594"/>
      <c r="EPN1812" s="590"/>
      <c r="EPO1812" s="591"/>
      <c r="EPP1812" s="591"/>
      <c r="EPQ1812" s="591"/>
      <c r="EPR1812" s="591"/>
      <c r="EPS1812" s="591"/>
      <c r="EPT1812" s="591"/>
      <c r="EPU1812" s="560"/>
      <c r="EPV1812" s="560"/>
      <c r="EPW1812" s="592"/>
      <c r="EPX1812" s="594"/>
      <c r="EPY1812" s="593"/>
      <c r="EPZ1812" s="595"/>
      <c r="EQA1812" s="542"/>
      <c r="EQB1812" s="542"/>
      <c r="EQC1812" s="542"/>
      <c r="EQD1812" s="542"/>
      <c r="EQE1812" s="542"/>
      <c r="EQF1812" s="547"/>
      <c r="EQG1812" s="544"/>
      <c r="EQH1812" s="545"/>
      <c r="EQI1812" s="545"/>
      <c r="EQJ1812" s="545"/>
      <c r="EQK1812" s="652"/>
      <c r="EQL1812" s="582"/>
      <c r="EQM1812" s="582"/>
      <c r="EQN1812" s="629"/>
      <c r="EQO1812" s="630"/>
      <c r="EQP1812" s="630"/>
      <c r="EQQ1812" s="630"/>
      <c r="EQR1812" s="630"/>
      <c r="EQS1812" s="631"/>
      <c r="EQT1812" s="587"/>
      <c r="EQU1812" s="569"/>
      <c r="EQV1812" s="582"/>
      <c r="EQW1812" s="587"/>
      <c r="EQX1812" s="569"/>
      <c r="EQY1812" s="569"/>
      <c r="EQZ1812" s="569"/>
      <c r="ERA1812" s="582"/>
      <c r="ERB1812" s="587"/>
      <c r="ERC1812" s="582"/>
      <c r="ERD1812" s="587"/>
      <c r="ERE1812" s="569"/>
      <c r="ERF1812" s="569"/>
      <c r="ERG1812" s="569"/>
      <c r="ERH1812" s="618"/>
      <c r="ERI1812" s="653"/>
      <c r="ERJ1812" s="545"/>
      <c r="ERK1812" s="651"/>
      <c r="ERL1812" s="653"/>
      <c r="ERM1812" s="591"/>
      <c r="ERN1812" s="653"/>
      <c r="ERO1812" s="654"/>
      <c r="ERP1812" s="555"/>
      <c r="ERQ1812" s="556"/>
      <c r="ERR1812" s="633"/>
      <c r="ERS1812" s="634"/>
      <c r="ERT1812" s="635"/>
      <c r="ERU1812" s="560"/>
      <c r="ERV1812" s="589"/>
      <c r="ERW1812" s="636"/>
      <c r="ERX1812" s="559"/>
      <c r="ERY1812" s="557"/>
      <c r="ERZ1812" s="558"/>
      <c r="ESA1812" s="590"/>
      <c r="ESB1812" s="591"/>
      <c r="ESC1812" s="591"/>
      <c r="ESD1812" s="592"/>
      <c r="ESE1812" s="593"/>
      <c r="ESF1812" s="591"/>
      <c r="ESG1812" s="591"/>
      <c r="ESH1812" s="591"/>
      <c r="ESI1812" s="592"/>
      <c r="ESJ1812" s="593"/>
      <c r="ESK1812" s="594"/>
      <c r="ESL1812" s="590"/>
      <c r="ESM1812" s="591"/>
      <c r="ESN1812" s="591"/>
      <c r="ESO1812" s="591"/>
      <c r="ESP1812" s="591"/>
      <c r="ESQ1812" s="591"/>
      <c r="ESR1812" s="591"/>
      <c r="ESS1812" s="560"/>
      <c r="EST1812" s="560"/>
      <c r="ESU1812" s="592"/>
      <c r="ESV1812" s="594"/>
      <c r="ESW1812" s="593"/>
      <c r="ESX1812" s="595"/>
      <c r="ESY1812" s="542"/>
      <c r="ESZ1812" s="542"/>
      <c r="ETA1812" s="542"/>
      <c r="ETB1812" s="542"/>
      <c r="ETC1812" s="542"/>
      <c r="ETD1812" s="547"/>
      <c r="ETE1812" s="544"/>
      <c r="ETF1812" s="545"/>
      <c r="ETG1812" s="545"/>
      <c r="ETH1812" s="545"/>
      <c r="ETI1812" s="652"/>
      <c r="ETJ1812" s="582"/>
      <c r="ETK1812" s="582"/>
      <c r="ETL1812" s="629"/>
      <c r="ETM1812" s="630"/>
      <c r="ETN1812" s="630"/>
      <c r="ETO1812" s="630"/>
      <c r="ETP1812" s="630"/>
      <c r="ETQ1812" s="631"/>
      <c r="ETR1812" s="587"/>
      <c r="ETS1812" s="569"/>
      <c r="ETT1812" s="582"/>
      <c r="ETU1812" s="587"/>
      <c r="ETV1812" s="569"/>
      <c r="ETW1812" s="569"/>
      <c r="ETX1812" s="569"/>
      <c r="ETY1812" s="582"/>
      <c r="ETZ1812" s="587"/>
      <c r="EUA1812" s="582"/>
      <c r="EUB1812" s="587"/>
      <c r="EUC1812" s="569"/>
      <c r="EUD1812" s="569"/>
      <c r="EUE1812" s="569"/>
      <c r="EUF1812" s="618"/>
      <c r="EUG1812" s="653"/>
      <c r="EUH1812" s="545"/>
      <c r="EUI1812" s="651"/>
      <c r="EUJ1812" s="653"/>
      <c r="EUK1812" s="591"/>
      <c r="EUL1812" s="653"/>
      <c r="EUM1812" s="654"/>
      <c r="EUN1812" s="555"/>
      <c r="EUO1812" s="556"/>
      <c r="EUP1812" s="633"/>
      <c r="EUQ1812" s="634"/>
      <c r="EUR1812" s="635"/>
      <c r="EUS1812" s="560"/>
      <c r="EUT1812" s="589"/>
      <c r="EUU1812" s="636"/>
      <c r="EUV1812" s="559"/>
      <c r="EUW1812" s="557"/>
      <c r="EUX1812" s="558"/>
      <c r="EUY1812" s="590"/>
      <c r="EUZ1812" s="591"/>
      <c r="EVA1812" s="591"/>
      <c r="EVB1812" s="592"/>
      <c r="EVC1812" s="593"/>
      <c r="EVD1812" s="591"/>
      <c r="EVE1812" s="591"/>
      <c r="EVF1812" s="591"/>
      <c r="EVG1812" s="592"/>
      <c r="EVH1812" s="593"/>
      <c r="EVI1812" s="594"/>
      <c r="EVJ1812" s="590"/>
      <c r="EVK1812" s="591"/>
      <c r="EVL1812" s="591"/>
      <c r="EVM1812" s="591"/>
      <c r="EVN1812" s="591"/>
      <c r="EVO1812" s="591"/>
      <c r="EVP1812" s="591"/>
      <c r="EVQ1812" s="560"/>
      <c r="EVR1812" s="560"/>
      <c r="EVS1812" s="592"/>
      <c r="EVT1812" s="594"/>
      <c r="EVU1812" s="593"/>
      <c r="EVV1812" s="595"/>
      <c r="EVW1812" s="542"/>
      <c r="EVX1812" s="542"/>
      <c r="EVY1812" s="542"/>
      <c r="EVZ1812" s="542"/>
      <c r="EWA1812" s="542"/>
      <c r="EWB1812" s="547"/>
      <c r="EWC1812" s="544"/>
      <c r="EWD1812" s="545"/>
      <c r="EWE1812" s="545"/>
      <c r="EWF1812" s="545"/>
      <c r="EWG1812" s="652"/>
      <c r="EWH1812" s="582"/>
      <c r="EWI1812" s="582"/>
      <c r="EWJ1812" s="629"/>
      <c r="EWK1812" s="630"/>
      <c r="EWL1812" s="630"/>
      <c r="EWM1812" s="630"/>
      <c r="EWN1812" s="630"/>
      <c r="EWO1812" s="631"/>
      <c r="EWP1812" s="587"/>
      <c r="EWQ1812" s="569"/>
      <c r="EWR1812" s="582"/>
      <c r="EWS1812" s="587"/>
      <c r="EWT1812" s="569"/>
      <c r="EWU1812" s="569"/>
      <c r="EWV1812" s="569"/>
      <c r="EWW1812" s="582"/>
      <c r="EWX1812" s="587"/>
      <c r="EWY1812" s="582"/>
      <c r="EWZ1812" s="587"/>
      <c r="EXA1812" s="569"/>
      <c r="EXB1812" s="569"/>
      <c r="EXC1812" s="569"/>
      <c r="EXD1812" s="618"/>
      <c r="EXE1812" s="653"/>
      <c r="EXF1812" s="545"/>
      <c r="EXG1812" s="651"/>
      <c r="EXH1812" s="653"/>
      <c r="EXI1812" s="591"/>
      <c r="EXJ1812" s="653"/>
      <c r="EXK1812" s="654"/>
      <c r="EXL1812" s="555"/>
      <c r="EXM1812" s="556"/>
      <c r="EXN1812" s="633"/>
      <c r="EXO1812" s="634"/>
      <c r="EXP1812" s="635"/>
      <c r="EXQ1812" s="560"/>
      <c r="EXR1812" s="589"/>
      <c r="EXS1812" s="636"/>
      <c r="EXT1812" s="559"/>
      <c r="EXU1812" s="557"/>
      <c r="EXV1812" s="558"/>
      <c r="EXW1812" s="590"/>
      <c r="EXX1812" s="591"/>
      <c r="EXY1812" s="591"/>
      <c r="EXZ1812" s="592"/>
      <c r="EYA1812" s="593"/>
      <c r="EYB1812" s="591"/>
      <c r="EYC1812" s="591"/>
      <c r="EYD1812" s="591"/>
      <c r="EYE1812" s="592"/>
      <c r="EYF1812" s="593"/>
      <c r="EYG1812" s="594"/>
      <c r="EYH1812" s="590"/>
      <c r="EYI1812" s="591"/>
      <c r="EYJ1812" s="591"/>
      <c r="EYK1812" s="591"/>
      <c r="EYL1812" s="591"/>
      <c r="EYM1812" s="591"/>
      <c r="EYN1812" s="591"/>
      <c r="EYO1812" s="560"/>
      <c r="EYP1812" s="560"/>
      <c r="EYQ1812" s="592"/>
      <c r="EYR1812" s="594"/>
      <c r="EYS1812" s="593"/>
      <c r="EYT1812" s="595"/>
      <c r="EYU1812" s="542"/>
      <c r="EYV1812" s="542"/>
      <c r="EYW1812" s="542"/>
      <c r="EYX1812" s="542"/>
      <c r="EYY1812" s="542"/>
      <c r="EYZ1812" s="547"/>
      <c r="EZA1812" s="544"/>
      <c r="EZB1812" s="545"/>
      <c r="EZC1812" s="545"/>
      <c r="EZD1812" s="545"/>
      <c r="EZE1812" s="652"/>
      <c r="EZF1812" s="582"/>
      <c r="EZG1812" s="582"/>
      <c r="EZH1812" s="629"/>
      <c r="EZI1812" s="630"/>
      <c r="EZJ1812" s="630"/>
      <c r="EZK1812" s="630"/>
      <c r="EZL1812" s="630"/>
      <c r="EZM1812" s="631"/>
      <c r="EZN1812" s="587"/>
      <c r="EZO1812" s="569"/>
      <c r="EZP1812" s="582"/>
      <c r="EZQ1812" s="587"/>
      <c r="EZR1812" s="569"/>
      <c r="EZS1812" s="569"/>
      <c r="EZT1812" s="569"/>
      <c r="EZU1812" s="582"/>
      <c r="EZV1812" s="587"/>
      <c r="EZW1812" s="582"/>
      <c r="EZX1812" s="587"/>
      <c r="EZY1812" s="569"/>
      <c r="EZZ1812" s="569"/>
      <c r="FAA1812" s="569"/>
      <c r="FAB1812" s="618"/>
      <c r="FAC1812" s="653"/>
      <c r="FAD1812" s="545"/>
      <c r="FAE1812" s="651"/>
      <c r="FAF1812" s="653"/>
      <c r="FAG1812" s="591"/>
      <c r="FAH1812" s="653"/>
      <c r="FAI1812" s="654"/>
      <c r="FAJ1812" s="555"/>
      <c r="FAK1812" s="556"/>
      <c r="FAL1812" s="633"/>
      <c r="FAM1812" s="634"/>
      <c r="FAN1812" s="635"/>
      <c r="FAO1812" s="560"/>
      <c r="FAP1812" s="589"/>
      <c r="FAQ1812" s="636"/>
      <c r="FAR1812" s="559"/>
      <c r="FAS1812" s="557"/>
      <c r="FAT1812" s="558"/>
      <c r="FAU1812" s="590"/>
      <c r="FAV1812" s="591"/>
      <c r="FAW1812" s="591"/>
      <c r="FAX1812" s="592"/>
      <c r="FAY1812" s="593"/>
      <c r="FAZ1812" s="591"/>
      <c r="FBA1812" s="591"/>
      <c r="FBB1812" s="591"/>
      <c r="FBC1812" s="592"/>
      <c r="FBD1812" s="593"/>
      <c r="FBE1812" s="594"/>
      <c r="FBF1812" s="590"/>
      <c r="FBG1812" s="591"/>
      <c r="FBH1812" s="591"/>
      <c r="FBI1812" s="591"/>
      <c r="FBJ1812" s="591"/>
      <c r="FBK1812" s="591"/>
      <c r="FBL1812" s="591"/>
      <c r="FBM1812" s="560"/>
      <c r="FBN1812" s="560"/>
      <c r="FBO1812" s="592"/>
      <c r="FBP1812" s="594"/>
      <c r="FBQ1812" s="593"/>
      <c r="FBR1812" s="595"/>
      <c r="FBS1812" s="542"/>
      <c r="FBT1812" s="542"/>
      <c r="FBU1812" s="542"/>
      <c r="FBV1812" s="542"/>
      <c r="FBW1812" s="542"/>
      <c r="FBX1812" s="547"/>
      <c r="FBY1812" s="544"/>
      <c r="FBZ1812" s="545"/>
      <c r="FCA1812" s="545"/>
      <c r="FCB1812" s="545"/>
      <c r="FCC1812" s="652"/>
      <c r="FCD1812" s="582"/>
      <c r="FCE1812" s="582"/>
      <c r="FCF1812" s="629"/>
      <c r="FCG1812" s="630"/>
      <c r="FCH1812" s="630"/>
      <c r="FCI1812" s="630"/>
      <c r="FCJ1812" s="630"/>
      <c r="FCK1812" s="631"/>
      <c r="FCL1812" s="587"/>
      <c r="FCM1812" s="569"/>
      <c r="FCN1812" s="582"/>
      <c r="FCO1812" s="587"/>
      <c r="FCP1812" s="569"/>
      <c r="FCQ1812" s="569"/>
      <c r="FCR1812" s="569"/>
      <c r="FCS1812" s="582"/>
      <c r="FCT1812" s="587"/>
      <c r="FCU1812" s="582"/>
      <c r="FCV1812" s="587"/>
      <c r="FCW1812" s="569"/>
      <c r="FCX1812" s="569"/>
      <c r="FCY1812" s="569"/>
      <c r="FCZ1812" s="618"/>
      <c r="FDA1812" s="653"/>
      <c r="FDB1812" s="545"/>
      <c r="FDC1812" s="651"/>
      <c r="FDD1812" s="653"/>
      <c r="FDE1812" s="591"/>
      <c r="FDF1812" s="653"/>
      <c r="FDG1812" s="654"/>
      <c r="FDH1812" s="555"/>
      <c r="FDI1812" s="556"/>
      <c r="FDJ1812" s="633"/>
      <c r="FDK1812" s="634"/>
      <c r="FDL1812" s="635"/>
      <c r="FDM1812" s="560"/>
      <c r="FDN1812" s="589"/>
      <c r="FDO1812" s="636"/>
      <c r="FDP1812" s="559"/>
      <c r="FDQ1812" s="557"/>
      <c r="FDR1812" s="558"/>
      <c r="FDS1812" s="590"/>
      <c r="FDT1812" s="591"/>
      <c r="FDU1812" s="591"/>
      <c r="FDV1812" s="592"/>
      <c r="FDW1812" s="593"/>
      <c r="FDX1812" s="591"/>
      <c r="FDY1812" s="591"/>
      <c r="FDZ1812" s="591"/>
      <c r="FEA1812" s="592"/>
      <c r="FEB1812" s="593"/>
      <c r="FEC1812" s="594"/>
      <c r="FED1812" s="590"/>
      <c r="FEE1812" s="591"/>
      <c r="FEF1812" s="591"/>
      <c r="FEG1812" s="591"/>
      <c r="FEH1812" s="591"/>
      <c r="FEI1812" s="591"/>
      <c r="FEJ1812" s="591"/>
      <c r="FEK1812" s="560"/>
      <c r="FEL1812" s="560"/>
      <c r="FEM1812" s="592"/>
      <c r="FEN1812" s="594"/>
      <c r="FEO1812" s="593"/>
      <c r="FEP1812" s="595"/>
      <c r="FEQ1812" s="542"/>
      <c r="FER1812" s="542"/>
      <c r="FES1812" s="542"/>
      <c r="FET1812" s="542"/>
      <c r="FEU1812" s="542"/>
      <c r="FEV1812" s="547"/>
      <c r="FEW1812" s="544"/>
      <c r="FEX1812" s="545"/>
      <c r="FEY1812" s="545"/>
      <c r="FEZ1812" s="545"/>
      <c r="FFA1812" s="652"/>
      <c r="FFB1812" s="582"/>
      <c r="FFC1812" s="582"/>
      <c r="FFD1812" s="629"/>
      <c r="FFE1812" s="630"/>
      <c r="FFF1812" s="630"/>
      <c r="FFG1812" s="630"/>
      <c r="FFH1812" s="630"/>
      <c r="FFI1812" s="631"/>
      <c r="FFJ1812" s="587"/>
      <c r="FFK1812" s="569"/>
      <c r="FFL1812" s="582"/>
      <c r="FFM1812" s="587"/>
      <c r="FFN1812" s="569"/>
      <c r="FFO1812" s="569"/>
      <c r="FFP1812" s="569"/>
      <c r="FFQ1812" s="582"/>
      <c r="FFR1812" s="587"/>
      <c r="FFS1812" s="582"/>
      <c r="FFT1812" s="587"/>
      <c r="FFU1812" s="569"/>
      <c r="FFV1812" s="569"/>
      <c r="FFW1812" s="569"/>
      <c r="FFX1812" s="618"/>
      <c r="FFY1812" s="653"/>
      <c r="FFZ1812" s="545"/>
      <c r="FGA1812" s="651"/>
      <c r="FGB1812" s="653"/>
      <c r="FGC1812" s="591"/>
      <c r="FGD1812" s="653"/>
      <c r="FGE1812" s="654"/>
      <c r="FGF1812" s="555"/>
      <c r="FGG1812" s="556"/>
      <c r="FGH1812" s="633"/>
      <c r="FGI1812" s="634"/>
      <c r="FGJ1812" s="635"/>
      <c r="FGK1812" s="560"/>
      <c r="FGL1812" s="589"/>
      <c r="FGM1812" s="636"/>
      <c r="FGN1812" s="559"/>
      <c r="FGO1812" s="557"/>
      <c r="FGP1812" s="558"/>
      <c r="FGQ1812" s="590"/>
      <c r="FGR1812" s="591"/>
      <c r="FGS1812" s="591"/>
      <c r="FGT1812" s="592"/>
      <c r="FGU1812" s="593"/>
      <c r="FGV1812" s="591"/>
      <c r="FGW1812" s="591"/>
      <c r="FGX1812" s="591"/>
      <c r="FGY1812" s="592"/>
      <c r="FGZ1812" s="593"/>
      <c r="FHA1812" s="594"/>
      <c r="FHB1812" s="590"/>
      <c r="FHC1812" s="591"/>
      <c r="FHD1812" s="591"/>
      <c r="FHE1812" s="591"/>
      <c r="FHF1812" s="591"/>
      <c r="FHG1812" s="591"/>
      <c r="FHH1812" s="591"/>
      <c r="FHI1812" s="560"/>
      <c r="FHJ1812" s="560"/>
      <c r="FHK1812" s="592"/>
      <c r="FHL1812" s="594"/>
      <c r="FHM1812" s="593"/>
      <c r="FHN1812" s="595"/>
      <c r="FHO1812" s="542"/>
      <c r="FHP1812" s="542"/>
      <c r="FHQ1812" s="542"/>
      <c r="FHR1812" s="542"/>
      <c r="FHS1812" s="542"/>
      <c r="FHT1812" s="547"/>
      <c r="FHU1812" s="544"/>
      <c r="FHV1812" s="545"/>
      <c r="FHW1812" s="545"/>
      <c r="FHX1812" s="545"/>
      <c r="FHY1812" s="652"/>
      <c r="FHZ1812" s="582"/>
      <c r="FIA1812" s="582"/>
      <c r="FIB1812" s="629"/>
      <c r="FIC1812" s="630"/>
      <c r="FID1812" s="630"/>
      <c r="FIE1812" s="630"/>
      <c r="FIF1812" s="630"/>
      <c r="FIG1812" s="631"/>
      <c r="FIH1812" s="587"/>
      <c r="FII1812" s="569"/>
      <c r="FIJ1812" s="582"/>
      <c r="FIK1812" s="587"/>
      <c r="FIL1812" s="569"/>
      <c r="FIM1812" s="569"/>
      <c r="FIN1812" s="569"/>
      <c r="FIO1812" s="582"/>
      <c r="FIP1812" s="587"/>
      <c r="FIQ1812" s="582"/>
      <c r="FIR1812" s="587"/>
      <c r="FIS1812" s="569"/>
      <c r="FIT1812" s="569"/>
      <c r="FIU1812" s="569"/>
      <c r="FIV1812" s="618"/>
      <c r="FIW1812" s="653"/>
      <c r="FIX1812" s="545"/>
      <c r="FIY1812" s="651"/>
      <c r="FIZ1812" s="653"/>
      <c r="FJA1812" s="591"/>
      <c r="FJB1812" s="653"/>
      <c r="FJC1812" s="654"/>
      <c r="FJD1812" s="555"/>
      <c r="FJE1812" s="556"/>
      <c r="FJF1812" s="633"/>
      <c r="FJG1812" s="634"/>
      <c r="FJH1812" s="635"/>
      <c r="FJI1812" s="560"/>
      <c r="FJJ1812" s="589"/>
      <c r="FJK1812" s="636"/>
      <c r="FJL1812" s="559"/>
      <c r="FJM1812" s="557"/>
      <c r="FJN1812" s="558"/>
      <c r="FJO1812" s="590"/>
      <c r="FJP1812" s="591"/>
      <c r="FJQ1812" s="591"/>
      <c r="FJR1812" s="592"/>
      <c r="FJS1812" s="593"/>
      <c r="FJT1812" s="591"/>
      <c r="FJU1812" s="591"/>
      <c r="FJV1812" s="591"/>
      <c r="FJW1812" s="592"/>
      <c r="FJX1812" s="593"/>
      <c r="FJY1812" s="594"/>
      <c r="FJZ1812" s="590"/>
      <c r="FKA1812" s="591"/>
      <c r="FKB1812" s="591"/>
      <c r="FKC1812" s="591"/>
      <c r="FKD1812" s="591"/>
      <c r="FKE1812" s="591"/>
      <c r="FKF1812" s="591"/>
      <c r="FKG1812" s="560"/>
      <c r="FKH1812" s="560"/>
      <c r="FKI1812" s="592"/>
      <c r="FKJ1812" s="594"/>
      <c r="FKK1812" s="593"/>
      <c r="FKL1812" s="595"/>
      <c r="FKM1812" s="542"/>
      <c r="FKN1812" s="542"/>
      <c r="FKO1812" s="542"/>
      <c r="FKP1812" s="542"/>
      <c r="FKQ1812" s="542"/>
      <c r="FKR1812" s="547"/>
      <c r="FKS1812" s="544"/>
      <c r="FKT1812" s="545"/>
      <c r="FKU1812" s="545"/>
      <c r="FKV1812" s="545"/>
      <c r="FKW1812" s="652"/>
      <c r="FKX1812" s="582"/>
      <c r="FKY1812" s="582"/>
      <c r="FKZ1812" s="629"/>
      <c r="FLA1812" s="630"/>
      <c r="FLB1812" s="630"/>
      <c r="FLC1812" s="630"/>
      <c r="FLD1812" s="630"/>
      <c r="FLE1812" s="631"/>
      <c r="FLF1812" s="587"/>
      <c r="FLG1812" s="569"/>
      <c r="FLH1812" s="582"/>
      <c r="FLI1812" s="587"/>
      <c r="FLJ1812" s="569"/>
      <c r="FLK1812" s="569"/>
      <c r="FLL1812" s="569"/>
      <c r="FLM1812" s="582"/>
      <c r="FLN1812" s="587"/>
      <c r="FLO1812" s="582"/>
      <c r="FLP1812" s="587"/>
      <c r="FLQ1812" s="569"/>
      <c r="FLR1812" s="569"/>
      <c r="FLS1812" s="569"/>
      <c r="FLT1812" s="618"/>
      <c r="FLU1812" s="653"/>
      <c r="FLV1812" s="545"/>
      <c r="FLW1812" s="651"/>
      <c r="FLX1812" s="653"/>
      <c r="FLY1812" s="591"/>
      <c r="FLZ1812" s="653"/>
      <c r="FMA1812" s="654"/>
      <c r="FMB1812" s="555"/>
      <c r="FMC1812" s="556"/>
      <c r="FMD1812" s="633"/>
      <c r="FME1812" s="634"/>
      <c r="FMF1812" s="635"/>
      <c r="FMG1812" s="560"/>
      <c r="FMH1812" s="589"/>
      <c r="FMI1812" s="636"/>
      <c r="FMJ1812" s="559"/>
      <c r="FMK1812" s="557"/>
      <c r="FML1812" s="558"/>
      <c r="FMM1812" s="590"/>
      <c r="FMN1812" s="591"/>
      <c r="FMO1812" s="591"/>
      <c r="FMP1812" s="592"/>
      <c r="FMQ1812" s="593"/>
      <c r="FMR1812" s="591"/>
      <c r="FMS1812" s="591"/>
      <c r="FMT1812" s="591"/>
      <c r="FMU1812" s="592"/>
      <c r="FMV1812" s="593"/>
      <c r="FMW1812" s="594"/>
      <c r="FMX1812" s="590"/>
      <c r="FMY1812" s="591"/>
      <c r="FMZ1812" s="591"/>
      <c r="FNA1812" s="591"/>
      <c r="FNB1812" s="591"/>
      <c r="FNC1812" s="591"/>
      <c r="FND1812" s="591"/>
      <c r="FNE1812" s="560"/>
      <c r="FNF1812" s="560"/>
      <c r="FNG1812" s="592"/>
      <c r="FNH1812" s="594"/>
      <c r="FNI1812" s="593"/>
      <c r="FNJ1812" s="595"/>
      <c r="FNK1812" s="542"/>
      <c r="FNL1812" s="542"/>
      <c r="FNM1812" s="542"/>
      <c r="FNN1812" s="542"/>
      <c r="FNO1812" s="542"/>
      <c r="FNP1812" s="547"/>
      <c r="FNQ1812" s="544"/>
      <c r="FNR1812" s="545"/>
      <c r="FNS1812" s="545"/>
      <c r="FNT1812" s="545"/>
      <c r="FNU1812" s="652"/>
      <c r="FNV1812" s="582"/>
      <c r="FNW1812" s="582"/>
      <c r="FNX1812" s="629"/>
      <c r="FNY1812" s="630"/>
      <c r="FNZ1812" s="630"/>
      <c r="FOA1812" s="630"/>
      <c r="FOB1812" s="630"/>
      <c r="FOC1812" s="631"/>
      <c r="FOD1812" s="587"/>
      <c r="FOE1812" s="569"/>
      <c r="FOF1812" s="582"/>
      <c r="FOG1812" s="587"/>
      <c r="FOH1812" s="569"/>
      <c r="FOI1812" s="569"/>
      <c r="FOJ1812" s="569"/>
      <c r="FOK1812" s="582"/>
      <c r="FOL1812" s="587"/>
      <c r="FOM1812" s="582"/>
      <c r="FON1812" s="587"/>
      <c r="FOO1812" s="569"/>
      <c r="FOP1812" s="569"/>
      <c r="FOQ1812" s="569"/>
      <c r="FOR1812" s="618"/>
      <c r="FOS1812" s="653"/>
      <c r="FOT1812" s="545"/>
      <c r="FOU1812" s="651"/>
      <c r="FOV1812" s="653"/>
      <c r="FOW1812" s="591"/>
      <c r="FOX1812" s="653"/>
      <c r="FOY1812" s="654"/>
      <c r="FOZ1812" s="555"/>
      <c r="FPA1812" s="556"/>
      <c r="FPB1812" s="633"/>
      <c r="FPC1812" s="634"/>
      <c r="FPD1812" s="635"/>
      <c r="FPE1812" s="560"/>
      <c r="FPF1812" s="589"/>
      <c r="FPG1812" s="636"/>
      <c r="FPH1812" s="559"/>
      <c r="FPI1812" s="557"/>
      <c r="FPJ1812" s="558"/>
      <c r="FPK1812" s="590"/>
      <c r="FPL1812" s="591"/>
      <c r="FPM1812" s="591"/>
      <c r="FPN1812" s="592"/>
      <c r="FPO1812" s="593"/>
      <c r="FPP1812" s="591"/>
      <c r="FPQ1812" s="591"/>
      <c r="FPR1812" s="591"/>
      <c r="FPS1812" s="592"/>
      <c r="FPT1812" s="593"/>
      <c r="FPU1812" s="594"/>
      <c r="FPV1812" s="590"/>
      <c r="FPW1812" s="591"/>
      <c r="FPX1812" s="591"/>
      <c r="FPY1812" s="591"/>
      <c r="FPZ1812" s="591"/>
      <c r="FQA1812" s="591"/>
      <c r="FQB1812" s="591"/>
      <c r="FQC1812" s="560"/>
      <c r="FQD1812" s="560"/>
      <c r="FQE1812" s="592"/>
      <c r="FQF1812" s="594"/>
      <c r="FQG1812" s="593"/>
      <c r="FQH1812" s="595"/>
      <c r="FQI1812" s="542"/>
      <c r="FQJ1812" s="542"/>
      <c r="FQK1812" s="542"/>
      <c r="FQL1812" s="542"/>
      <c r="FQM1812" s="542"/>
      <c r="FQN1812" s="547"/>
      <c r="FQO1812" s="544"/>
      <c r="FQP1812" s="545"/>
      <c r="FQQ1812" s="545"/>
      <c r="FQR1812" s="545"/>
      <c r="FQS1812" s="652"/>
      <c r="FQT1812" s="582"/>
      <c r="FQU1812" s="582"/>
      <c r="FQV1812" s="629"/>
      <c r="FQW1812" s="630"/>
      <c r="FQX1812" s="630"/>
      <c r="FQY1812" s="630"/>
      <c r="FQZ1812" s="630"/>
      <c r="FRA1812" s="631"/>
      <c r="FRB1812" s="587"/>
      <c r="FRC1812" s="569"/>
      <c r="FRD1812" s="582"/>
      <c r="FRE1812" s="587"/>
      <c r="FRF1812" s="569"/>
      <c r="FRG1812" s="569"/>
      <c r="FRH1812" s="569"/>
      <c r="FRI1812" s="582"/>
      <c r="FRJ1812" s="587"/>
      <c r="FRK1812" s="582"/>
      <c r="FRL1812" s="587"/>
      <c r="FRM1812" s="569"/>
      <c r="FRN1812" s="569"/>
      <c r="FRO1812" s="569"/>
      <c r="FRP1812" s="618"/>
      <c r="FRQ1812" s="653"/>
      <c r="FRR1812" s="545"/>
      <c r="FRS1812" s="651"/>
      <c r="FRT1812" s="653"/>
      <c r="FRU1812" s="591"/>
      <c r="FRV1812" s="653"/>
      <c r="FRW1812" s="654"/>
      <c r="FRX1812" s="555"/>
      <c r="FRY1812" s="556"/>
      <c r="FRZ1812" s="633"/>
      <c r="FSA1812" s="634"/>
      <c r="FSB1812" s="635"/>
      <c r="FSC1812" s="560"/>
      <c r="FSD1812" s="589"/>
      <c r="FSE1812" s="636"/>
      <c r="FSF1812" s="559"/>
      <c r="FSG1812" s="557"/>
      <c r="FSH1812" s="558"/>
      <c r="FSI1812" s="590"/>
      <c r="FSJ1812" s="591"/>
      <c r="FSK1812" s="591"/>
      <c r="FSL1812" s="592"/>
      <c r="FSM1812" s="593"/>
      <c r="FSN1812" s="591"/>
      <c r="FSO1812" s="591"/>
      <c r="FSP1812" s="591"/>
      <c r="FSQ1812" s="592"/>
      <c r="FSR1812" s="593"/>
      <c r="FSS1812" s="594"/>
      <c r="FST1812" s="590"/>
      <c r="FSU1812" s="591"/>
      <c r="FSV1812" s="591"/>
      <c r="FSW1812" s="591"/>
      <c r="FSX1812" s="591"/>
      <c r="FSY1812" s="591"/>
      <c r="FSZ1812" s="591"/>
      <c r="FTA1812" s="560"/>
      <c r="FTB1812" s="560"/>
      <c r="FTC1812" s="592"/>
      <c r="FTD1812" s="594"/>
      <c r="FTE1812" s="593"/>
      <c r="FTF1812" s="595"/>
      <c r="FTG1812" s="542"/>
      <c r="FTH1812" s="542"/>
      <c r="FTI1812" s="542"/>
      <c r="FTJ1812" s="542"/>
      <c r="FTK1812" s="542"/>
      <c r="FTL1812" s="547"/>
      <c r="FTM1812" s="544"/>
      <c r="FTN1812" s="545"/>
      <c r="FTO1812" s="545"/>
      <c r="FTP1812" s="545"/>
      <c r="FTQ1812" s="652"/>
      <c r="FTR1812" s="582"/>
      <c r="FTS1812" s="582"/>
      <c r="FTT1812" s="629"/>
      <c r="FTU1812" s="630"/>
      <c r="FTV1812" s="630"/>
      <c r="FTW1812" s="630"/>
      <c r="FTX1812" s="630"/>
      <c r="FTY1812" s="631"/>
      <c r="FTZ1812" s="587"/>
      <c r="FUA1812" s="569"/>
      <c r="FUB1812" s="582"/>
      <c r="FUC1812" s="587"/>
      <c r="FUD1812" s="569"/>
      <c r="FUE1812" s="569"/>
      <c r="FUF1812" s="569"/>
      <c r="FUG1812" s="582"/>
      <c r="FUH1812" s="587"/>
      <c r="FUI1812" s="582"/>
      <c r="FUJ1812" s="587"/>
      <c r="FUK1812" s="569"/>
      <c r="FUL1812" s="569"/>
      <c r="FUM1812" s="569"/>
      <c r="FUN1812" s="618"/>
      <c r="FUO1812" s="653"/>
      <c r="FUP1812" s="545"/>
      <c r="FUQ1812" s="651"/>
      <c r="FUR1812" s="653"/>
      <c r="FUS1812" s="591"/>
      <c r="FUT1812" s="653"/>
      <c r="FUU1812" s="654"/>
      <c r="FUV1812" s="555"/>
      <c r="FUW1812" s="556"/>
      <c r="FUX1812" s="633"/>
      <c r="FUY1812" s="634"/>
      <c r="FUZ1812" s="635"/>
      <c r="FVA1812" s="560"/>
      <c r="FVB1812" s="589"/>
      <c r="FVC1812" s="636"/>
      <c r="FVD1812" s="559"/>
      <c r="FVE1812" s="557"/>
      <c r="FVF1812" s="558"/>
      <c r="FVG1812" s="590"/>
      <c r="FVH1812" s="591"/>
      <c r="FVI1812" s="591"/>
      <c r="FVJ1812" s="592"/>
      <c r="FVK1812" s="593"/>
      <c r="FVL1812" s="591"/>
      <c r="FVM1812" s="591"/>
      <c r="FVN1812" s="591"/>
      <c r="FVO1812" s="592"/>
      <c r="FVP1812" s="593"/>
      <c r="FVQ1812" s="594"/>
      <c r="FVR1812" s="590"/>
      <c r="FVS1812" s="591"/>
      <c r="FVT1812" s="591"/>
      <c r="FVU1812" s="591"/>
      <c r="FVV1812" s="591"/>
      <c r="FVW1812" s="591"/>
      <c r="FVX1812" s="591"/>
      <c r="FVY1812" s="560"/>
      <c r="FVZ1812" s="560"/>
      <c r="FWA1812" s="592"/>
      <c r="FWB1812" s="594"/>
      <c r="FWC1812" s="593"/>
      <c r="FWD1812" s="595"/>
      <c r="FWE1812" s="542"/>
      <c r="FWF1812" s="542"/>
      <c r="FWG1812" s="542"/>
      <c r="FWH1812" s="542"/>
      <c r="FWI1812" s="542"/>
      <c r="FWJ1812" s="547"/>
      <c r="FWK1812" s="544"/>
      <c r="FWL1812" s="545"/>
      <c r="FWM1812" s="545"/>
      <c r="FWN1812" s="545"/>
      <c r="FWO1812" s="652"/>
      <c r="FWP1812" s="582"/>
      <c r="FWQ1812" s="582"/>
      <c r="FWR1812" s="629"/>
      <c r="FWS1812" s="630"/>
      <c r="FWT1812" s="630"/>
      <c r="FWU1812" s="630"/>
      <c r="FWV1812" s="630"/>
      <c r="FWW1812" s="631"/>
      <c r="FWX1812" s="587"/>
      <c r="FWY1812" s="569"/>
      <c r="FWZ1812" s="582"/>
      <c r="FXA1812" s="587"/>
      <c r="FXB1812" s="569"/>
      <c r="FXC1812" s="569"/>
      <c r="FXD1812" s="569"/>
      <c r="FXE1812" s="582"/>
      <c r="FXF1812" s="587"/>
      <c r="FXG1812" s="582"/>
      <c r="FXH1812" s="587"/>
      <c r="FXI1812" s="569"/>
      <c r="FXJ1812" s="569"/>
      <c r="FXK1812" s="569"/>
      <c r="FXL1812" s="618"/>
      <c r="FXM1812" s="653"/>
      <c r="FXN1812" s="545"/>
      <c r="FXO1812" s="651"/>
      <c r="FXP1812" s="653"/>
      <c r="FXQ1812" s="591"/>
      <c r="FXR1812" s="653"/>
      <c r="FXS1812" s="654"/>
      <c r="FXT1812" s="555"/>
      <c r="FXU1812" s="556"/>
      <c r="FXV1812" s="633"/>
      <c r="FXW1812" s="634"/>
      <c r="FXX1812" s="635"/>
      <c r="FXY1812" s="560"/>
      <c r="FXZ1812" s="589"/>
      <c r="FYA1812" s="636"/>
      <c r="FYB1812" s="559"/>
      <c r="FYC1812" s="557"/>
      <c r="FYD1812" s="558"/>
      <c r="FYE1812" s="590"/>
      <c r="FYF1812" s="591"/>
      <c r="FYG1812" s="591"/>
      <c r="FYH1812" s="592"/>
      <c r="FYI1812" s="593"/>
      <c r="FYJ1812" s="591"/>
      <c r="FYK1812" s="591"/>
      <c r="FYL1812" s="591"/>
      <c r="FYM1812" s="592"/>
      <c r="FYN1812" s="593"/>
      <c r="FYO1812" s="594"/>
      <c r="FYP1812" s="590"/>
      <c r="FYQ1812" s="591"/>
      <c r="FYR1812" s="591"/>
      <c r="FYS1812" s="591"/>
      <c r="FYT1812" s="591"/>
      <c r="FYU1812" s="591"/>
      <c r="FYV1812" s="591"/>
      <c r="FYW1812" s="560"/>
      <c r="FYX1812" s="560"/>
      <c r="FYY1812" s="592"/>
      <c r="FYZ1812" s="594"/>
      <c r="FZA1812" s="593"/>
      <c r="FZB1812" s="595"/>
      <c r="FZC1812" s="542"/>
      <c r="FZD1812" s="542"/>
      <c r="FZE1812" s="542"/>
      <c r="FZF1812" s="542"/>
      <c r="FZG1812" s="542"/>
      <c r="FZH1812" s="547"/>
      <c r="FZI1812" s="544"/>
      <c r="FZJ1812" s="545"/>
      <c r="FZK1812" s="545"/>
      <c r="FZL1812" s="545"/>
      <c r="FZM1812" s="652"/>
      <c r="FZN1812" s="582"/>
      <c r="FZO1812" s="582"/>
      <c r="FZP1812" s="629"/>
      <c r="FZQ1812" s="630"/>
      <c r="FZR1812" s="630"/>
      <c r="FZS1812" s="630"/>
      <c r="FZT1812" s="630"/>
      <c r="FZU1812" s="631"/>
      <c r="FZV1812" s="587"/>
      <c r="FZW1812" s="569"/>
      <c r="FZX1812" s="582"/>
      <c r="FZY1812" s="587"/>
      <c r="FZZ1812" s="569"/>
      <c r="GAA1812" s="569"/>
      <c r="GAB1812" s="569"/>
      <c r="GAC1812" s="582"/>
      <c r="GAD1812" s="587"/>
      <c r="GAE1812" s="582"/>
      <c r="GAF1812" s="587"/>
      <c r="GAG1812" s="569"/>
      <c r="GAH1812" s="569"/>
      <c r="GAI1812" s="569"/>
      <c r="GAJ1812" s="618"/>
      <c r="GAK1812" s="653"/>
      <c r="GAL1812" s="545"/>
      <c r="GAM1812" s="651"/>
      <c r="GAN1812" s="653"/>
      <c r="GAO1812" s="591"/>
      <c r="GAP1812" s="653"/>
      <c r="GAQ1812" s="654"/>
      <c r="GAR1812" s="555"/>
      <c r="GAS1812" s="556"/>
      <c r="GAT1812" s="633"/>
      <c r="GAU1812" s="634"/>
      <c r="GAV1812" s="635"/>
      <c r="GAW1812" s="560"/>
      <c r="GAX1812" s="589"/>
      <c r="GAY1812" s="636"/>
      <c r="GAZ1812" s="559"/>
      <c r="GBA1812" s="557"/>
      <c r="GBB1812" s="558"/>
      <c r="GBC1812" s="590"/>
      <c r="GBD1812" s="591"/>
      <c r="GBE1812" s="591"/>
      <c r="GBF1812" s="592"/>
      <c r="GBG1812" s="593"/>
      <c r="GBH1812" s="591"/>
      <c r="GBI1812" s="591"/>
      <c r="GBJ1812" s="591"/>
      <c r="GBK1812" s="592"/>
      <c r="GBL1812" s="593"/>
      <c r="GBM1812" s="594"/>
      <c r="GBN1812" s="590"/>
      <c r="GBO1812" s="591"/>
      <c r="GBP1812" s="591"/>
      <c r="GBQ1812" s="591"/>
      <c r="GBR1812" s="591"/>
      <c r="GBS1812" s="591"/>
      <c r="GBT1812" s="591"/>
      <c r="GBU1812" s="560"/>
      <c r="GBV1812" s="560"/>
      <c r="GBW1812" s="592"/>
      <c r="GBX1812" s="594"/>
      <c r="GBY1812" s="593"/>
      <c r="GBZ1812" s="595"/>
      <c r="GCA1812" s="542"/>
      <c r="GCB1812" s="542"/>
      <c r="GCC1812" s="542"/>
      <c r="GCD1812" s="542"/>
      <c r="GCE1812" s="542"/>
      <c r="GCF1812" s="547"/>
      <c r="GCG1812" s="544"/>
      <c r="GCH1812" s="545"/>
      <c r="GCI1812" s="545"/>
      <c r="GCJ1812" s="545"/>
      <c r="GCK1812" s="652"/>
      <c r="GCL1812" s="582"/>
      <c r="GCM1812" s="582"/>
      <c r="GCN1812" s="629"/>
      <c r="GCO1812" s="630"/>
      <c r="GCP1812" s="630"/>
      <c r="GCQ1812" s="630"/>
      <c r="GCR1812" s="630"/>
      <c r="GCS1812" s="631"/>
      <c r="GCT1812" s="587"/>
      <c r="GCU1812" s="569"/>
      <c r="GCV1812" s="582"/>
      <c r="GCW1812" s="587"/>
      <c r="GCX1812" s="569"/>
      <c r="GCY1812" s="569"/>
      <c r="GCZ1812" s="569"/>
      <c r="GDA1812" s="582"/>
      <c r="GDB1812" s="587"/>
      <c r="GDC1812" s="582"/>
      <c r="GDD1812" s="587"/>
      <c r="GDE1812" s="569"/>
      <c r="GDF1812" s="569"/>
      <c r="GDG1812" s="569"/>
      <c r="GDH1812" s="618"/>
      <c r="GDI1812" s="653"/>
      <c r="GDJ1812" s="545"/>
      <c r="GDK1812" s="651"/>
      <c r="GDL1812" s="653"/>
      <c r="GDM1812" s="591"/>
      <c r="GDN1812" s="653"/>
      <c r="GDO1812" s="654"/>
      <c r="GDP1812" s="555"/>
      <c r="GDQ1812" s="556"/>
      <c r="GDR1812" s="633"/>
      <c r="GDS1812" s="634"/>
      <c r="GDT1812" s="635"/>
      <c r="GDU1812" s="560"/>
      <c r="GDV1812" s="589"/>
      <c r="GDW1812" s="636"/>
      <c r="GDX1812" s="559"/>
      <c r="GDY1812" s="557"/>
      <c r="GDZ1812" s="558"/>
      <c r="GEA1812" s="590"/>
      <c r="GEB1812" s="591"/>
      <c r="GEC1812" s="591"/>
      <c r="GED1812" s="592"/>
      <c r="GEE1812" s="593"/>
      <c r="GEF1812" s="591"/>
      <c r="GEG1812" s="591"/>
      <c r="GEH1812" s="591"/>
      <c r="GEI1812" s="592"/>
      <c r="GEJ1812" s="593"/>
      <c r="GEK1812" s="594"/>
      <c r="GEL1812" s="590"/>
      <c r="GEM1812" s="591"/>
      <c r="GEN1812" s="591"/>
      <c r="GEO1812" s="591"/>
      <c r="GEP1812" s="591"/>
      <c r="GEQ1812" s="591"/>
      <c r="GER1812" s="591"/>
      <c r="GES1812" s="560"/>
      <c r="GET1812" s="560"/>
      <c r="GEU1812" s="592"/>
      <c r="GEV1812" s="594"/>
      <c r="GEW1812" s="593"/>
      <c r="GEX1812" s="595"/>
      <c r="GEY1812" s="542"/>
      <c r="GEZ1812" s="542"/>
      <c r="GFA1812" s="542"/>
      <c r="GFB1812" s="542"/>
      <c r="GFC1812" s="542"/>
      <c r="GFD1812" s="547"/>
      <c r="GFE1812" s="544"/>
      <c r="GFF1812" s="545"/>
      <c r="GFG1812" s="545"/>
      <c r="GFH1812" s="545"/>
      <c r="GFI1812" s="652"/>
      <c r="GFJ1812" s="582"/>
      <c r="GFK1812" s="582"/>
      <c r="GFL1812" s="629"/>
      <c r="GFM1812" s="630"/>
      <c r="GFN1812" s="630"/>
      <c r="GFO1812" s="630"/>
      <c r="GFP1812" s="630"/>
      <c r="GFQ1812" s="631"/>
      <c r="GFR1812" s="587"/>
      <c r="GFS1812" s="569"/>
      <c r="GFT1812" s="582"/>
      <c r="GFU1812" s="587"/>
      <c r="GFV1812" s="569"/>
      <c r="GFW1812" s="569"/>
      <c r="GFX1812" s="569"/>
      <c r="GFY1812" s="582"/>
      <c r="GFZ1812" s="587"/>
      <c r="GGA1812" s="582"/>
      <c r="GGB1812" s="587"/>
      <c r="GGC1812" s="569"/>
      <c r="GGD1812" s="569"/>
      <c r="GGE1812" s="569"/>
      <c r="GGF1812" s="618"/>
      <c r="GGG1812" s="653"/>
      <c r="GGH1812" s="545"/>
      <c r="GGI1812" s="651"/>
      <c r="GGJ1812" s="653"/>
      <c r="GGK1812" s="591"/>
      <c r="GGL1812" s="653"/>
      <c r="GGM1812" s="654"/>
      <c r="GGN1812" s="555"/>
      <c r="GGO1812" s="556"/>
      <c r="GGP1812" s="633"/>
      <c r="GGQ1812" s="634"/>
      <c r="GGR1812" s="635"/>
      <c r="GGS1812" s="560"/>
      <c r="GGT1812" s="589"/>
      <c r="GGU1812" s="636"/>
      <c r="GGV1812" s="559"/>
      <c r="GGW1812" s="557"/>
      <c r="GGX1812" s="558"/>
      <c r="GGY1812" s="590"/>
      <c r="GGZ1812" s="591"/>
      <c r="GHA1812" s="591"/>
      <c r="GHB1812" s="592"/>
      <c r="GHC1812" s="593"/>
      <c r="GHD1812" s="591"/>
      <c r="GHE1812" s="591"/>
      <c r="GHF1812" s="591"/>
      <c r="GHG1812" s="592"/>
      <c r="GHH1812" s="593"/>
      <c r="GHI1812" s="594"/>
      <c r="GHJ1812" s="590"/>
      <c r="GHK1812" s="591"/>
      <c r="GHL1812" s="591"/>
      <c r="GHM1812" s="591"/>
      <c r="GHN1812" s="591"/>
      <c r="GHO1812" s="591"/>
      <c r="GHP1812" s="591"/>
      <c r="GHQ1812" s="560"/>
      <c r="GHR1812" s="560"/>
      <c r="GHS1812" s="592"/>
      <c r="GHT1812" s="594"/>
      <c r="GHU1812" s="593"/>
      <c r="GHV1812" s="595"/>
      <c r="GHW1812" s="542"/>
      <c r="GHX1812" s="542"/>
      <c r="GHY1812" s="542"/>
      <c r="GHZ1812" s="542"/>
      <c r="GIA1812" s="542"/>
      <c r="GIB1812" s="547"/>
      <c r="GIC1812" s="544"/>
      <c r="GID1812" s="545"/>
      <c r="GIE1812" s="545"/>
      <c r="GIF1812" s="545"/>
      <c r="GIG1812" s="652"/>
      <c r="GIH1812" s="582"/>
      <c r="GII1812" s="582"/>
      <c r="GIJ1812" s="629"/>
      <c r="GIK1812" s="630"/>
      <c r="GIL1812" s="630"/>
      <c r="GIM1812" s="630"/>
      <c r="GIN1812" s="630"/>
      <c r="GIO1812" s="631"/>
      <c r="GIP1812" s="587"/>
      <c r="GIQ1812" s="569"/>
      <c r="GIR1812" s="582"/>
      <c r="GIS1812" s="587"/>
      <c r="GIT1812" s="569"/>
      <c r="GIU1812" s="569"/>
      <c r="GIV1812" s="569"/>
      <c r="GIW1812" s="582"/>
      <c r="GIX1812" s="587"/>
      <c r="GIY1812" s="582"/>
      <c r="GIZ1812" s="587"/>
      <c r="GJA1812" s="569"/>
      <c r="GJB1812" s="569"/>
      <c r="GJC1812" s="569"/>
      <c r="GJD1812" s="618"/>
      <c r="GJE1812" s="653"/>
      <c r="GJF1812" s="545"/>
      <c r="GJG1812" s="651"/>
      <c r="GJH1812" s="653"/>
      <c r="GJI1812" s="591"/>
      <c r="GJJ1812" s="653"/>
      <c r="GJK1812" s="654"/>
      <c r="GJL1812" s="555"/>
      <c r="GJM1812" s="556"/>
      <c r="GJN1812" s="633"/>
      <c r="GJO1812" s="634"/>
      <c r="GJP1812" s="635"/>
      <c r="GJQ1812" s="560"/>
      <c r="GJR1812" s="589"/>
      <c r="GJS1812" s="636"/>
      <c r="GJT1812" s="559"/>
      <c r="GJU1812" s="557"/>
      <c r="GJV1812" s="558"/>
      <c r="GJW1812" s="590"/>
      <c r="GJX1812" s="591"/>
      <c r="GJY1812" s="591"/>
      <c r="GJZ1812" s="592"/>
      <c r="GKA1812" s="593"/>
      <c r="GKB1812" s="591"/>
      <c r="GKC1812" s="591"/>
      <c r="GKD1812" s="591"/>
      <c r="GKE1812" s="592"/>
      <c r="GKF1812" s="593"/>
      <c r="GKG1812" s="594"/>
      <c r="GKH1812" s="590"/>
      <c r="GKI1812" s="591"/>
      <c r="GKJ1812" s="591"/>
      <c r="GKK1812" s="591"/>
      <c r="GKL1812" s="591"/>
      <c r="GKM1812" s="591"/>
      <c r="GKN1812" s="591"/>
      <c r="GKO1812" s="560"/>
      <c r="GKP1812" s="560"/>
      <c r="GKQ1812" s="592"/>
      <c r="GKR1812" s="594"/>
      <c r="GKS1812" s="593"/>
      <c r="GKT1812" s="595"/>
      <c r="GKU1812" s="542"/>
      <c r="GKV1812" s="542"/>
      <c r="GKW1812" s="542"/>
      <c r="GKX1812" s="542"/>
      <c r="GKY1812" s="542"/>
      <c r="GKZ1812" s="547"/>
      <c r="GLA1812" s="544"/>
      <c r="GLB1812" s="545"/>
      <c r="GLC1812" s="545"/>
      <c r="GLD1812" s="545"/>
      <c r="GLE1812" s="652"/>
      <c r="GLF1812" s="582"/>
      <c r="GLG1812" s="582"/>
      <c r="GLH1812" s="629"/>
      <c r="GLI1812" s="630"/>
      <c r="GLJ1812" s="630"/>
      <c r="GLK1812" s="630"/>
      <c r="GLL1812" s="630"/>
      <c r="GLM1812" s="631"/>
      <c r="GLN1812" s="587"/>
      <c r="GLO1812" s="569"/>
      <c r="GLP1812" s="582"/>
      <c r="GLQ1812" s="587"/>
      <c r="GLR1812" s="569"/>
      <c r="GLS1812" s="569"/>
      <c r="GLT1812" s="569"/>
      <c r="GLU1812" s="582"/>
      <c r="GLV1812" s="587"/>
      <c r="GLW1812" s="582"/>
      <c r="GLX1812" s="587"/>
      <c r="GLY1812" s="569"/>
      <c r="GLZ1812" s="569"/>
      <c r="GMA1812" s="569"/>
      <c r="GMB1812" s="618"/>
      <c r="GMC1812" s="653"/>
      <c r="GMD1812" s="545"/>
      <c r="GME1812" s="651"/>
      <c r="GMF1812" s="653"/>
      <c r="GMG1812" s="591"/>
      <c r="GMH1812" s="653"/>
      <c r="GMI1812" s="654"/>
      <c r="GMJ1812" s="555"/>
      <c r="GMK1812" s="556"/>
      <c r="GML1812" s="633"/>
      <c r="GMM1812" s="634"/>
      <c r="GMN1812" s="635"/>
      <c r="GMO1812" s="560"/>
      <c r="GMP1812" s="589"/>
      <c r="GMQ1812" s="636"/>
      <c r="GMR1812" s="559"/>
      <c r="GMS1812" s="557"/>
      <c r="GMT1812" s="558"/>
      <c r="GMU1812" s="590"/>
      <c r="GMV1812" s="591"/>
      <c r="GMW1812" s="591"/>
      <c r="GMX1812" s="592"/>
      <c r="GMY1812" s="593"/>
      <c r="GMZ1812" s="591"/>
      <c r="GNA1812" s="591"/>
      <c r="GNB1812" s="591"/>
      <c r="GNC1812" s="592"/>
      <c r="GND1812" s="593"/>
      <c r="GNE1812" s="594"/>
      <c r="GNF1812" s="590"/>
      <c r="GNG1812" s="591"/>
      <c r="GNH1812" s="591"/>
      <c r="GNI1812" s="591"/>
      <c r="GNJ1812" s="591"/>
      <c r="GNK1812" s="591"/>
      <c r="GNL1812" s="591"/>
      <c r="GNM1812" s="560"/>
      <c r="GNN1812" s="560"/>
      <c r="GNO1812" s="592"/>
      <c r="GNP1812" s="594"/>
      <c r="GNQ1812" s="593"/>
      <c r="GNR1812" s="595"/>
      <c r="GNS1812" s="542"/>
      <c r="GNT1812" s="542"/>
      <c r="GNU1812" s="542"/>
      <c r="GNV1812" s="542"/>
      <c r="GNW1812" s="542"/>
      <c r="GNX1812" s="547"/>
      <c r="GNY1812" s="544"/>
      <c r="GNZ1812" s="545"/>
      <c r="GOA1812" s="545"/>
      <c r="GOB1812" s="545"/>
      <c r="GOC1812" s="652"/>
      <c r="GOD1812" s="582"/>
      <c r="GOE1812" s="582"/>
      <c r="GOF1812" s="629"/>
      <c r="GOG1812" s="630"/>
      <c r="GOH1812" s="630"/>
      <c r="GOI1812" s="630"/>
      <c r="GOJ1812" s="630"/>
      <c r="GOK1812" s="631"/>
      <c r="GOL1812" s="587"/>
      <c r="GOM1812" s="569"/>
      <c r="GON1812" s="582"/>
      <c r="GOO1812" s="587"/>
      <c r="GOP1812" s="569"/>
      <c r="GOQ1812" s="569"/>
      <c r="GOR1812" s="569"/>
      <c r="GOS1812" s="582"/>
      <c r="GOT1812" s="587"/>
      <c r="GOU1812" s="582"/>
      <c r="GOV1812" s="587"/>
      <c r="GOW1812" s="569"/>
      <c r="GOX1812" s="569"/>
      <c r="GOY1812" s="569"/>
      <c r="GOZ1812" s="618"/>
      <c r="GPA1812" s="653"/>
      <c r="GPB1812" s="545"/>
      <c r="GPC1812" s="651"/>
      <c r="GPD1812" s="653"/>
      <c r="GPE1812" s="591"/>
      <c r="GPF1812" s="653"/>
      <c r="GPG1812" s="654"/>
      <c r="GPH1812" s="555"/>
      <c r="GPI1812" s="556"/>
      <c r="GPJ1812" s="633"/>
      <c r="GPK1812" s="634"/>
      <c r="GPL1812" s="635"/>
      <c r="GPM1812" s="560"/>
      <c r="GPN1812" s="589"/>
      <c r="GPO1812" s="636"/>
      <c r="GPP1812" s="559"/>
      <c r="GPQ1812" s="557"/>
      <c r="GPR1812" s="558"/>
      <c r="GPS1812" s="590"/>
      <c r="GPT1812" s="591"/>
      <c r="GPU1812" s="591"/>
      <c r="GPV1812" s="592"/>
      <c r="GPW1812" s="593"/>
      <c r="GPX1812" s="591"/>
      <c r="GPY1812" s="591"/>
      <c r="GPZ1812" s="591"/>
      <c r="GQA1812" s="592"/>
      <c r="GQB1812" s="593"/>
      <c r="GQC1812" s="594"/>
      <c r="GQD1812" s="590"/>
      <c r="GQE1812" s="591"/>
      <c r="GQF1812" s="591"/>
      <c r="GQG1812" s="591"/>
      <c r="GQH1812" s="591"/>
      <c r="GQI1812" s="591"/>
      <c r="GQJ1812" s="591"/>
      <c r="GQK1812" s="560"/>
      <c r="GQL1812" s="560"/>
      <c r="GQM1812" s="592"/>
      <c r="GQN1812" s="594"/>
      <c r="GQO1812" s="593"/>
      <c r="GQP1812" s="595"/>
      <c r="GQQ1812" s="542"/>
      <c r="GQR1812" s="542"/>
      <c r="GQS1812" s="542"/>
      <c r="GQT1812" s="542"/>
      <c r="GQU1812" s="542"/>
      <c r="GQV1812" s="547"/>
      <c r="GQW1812" s="544"/>
      <c r="GQX1812" s="545"/>
      <c r="GQY1812" s="545"/>
      <c r="GQZ1812" s="545"/>
      <c r="GRA1812" s="652"/>
      <c r="GRB1812" s="582"/>
      <c r="GRC1812" s="582"/>
      <c r="GRD1812" s="629"/>
      <c r="GRE1812" s="630"/>
      <c r="GRF1812" s="630"/>
      <c r="GRG1812" s="630"/>
      <c r="GRH1812" s="630"/>
      <c r="GRI1812" s="631"/>
      <c r="GRJ1812" s="587"/>
      <c r="GRK1812" s="569"/>
      <c r="GRL1812" s="582"/>
      <c r="GRM1812" s="587"/>
      <c r="GRN1812" s="569"/>
      <c r="GRO1812" s="569"/>
      <c r="GRP1812" s="569"/>
      <c r="GRQ1812" s="582"/>
      <c r="GRR1812" s="587"/>
      <c r="GRS1812" s="582"/>
      <c r="GRT1812" s="587"/>
      <c r="GRU1812" s="569"/>
      <c r="GRV1812" s="569"/>
      <c r="GRW1812" s="569"/>
      <c r="GRX1812" s="618"/>
      <c r="GRY1812" s="653"/>
      <c r="GRZ1812" s="545"/>
      <c r="GSA1812" s="651"/>
      <c r="GSB1812" s="653"/>
      <c r="GSC1812" s="591"/>
      <c r="GSD1812" s="653"/>
      <c r="GSE1812" s="654"/>
      <c r="GSF1812" s="555"/>
      <c r="GSG1812" s="556"/>
      <c r="GSH1812" s="633"/>
      <c r="GSI1812" s="634"/>
      <c r="GSJ1812" s="635"/>
      <c r="GSK1812" s="560"/>
      <c r="GSL1812" s="589"/>
      <c r="GSM1812" s="636"/>
      <c r="GSN1812" s="559"/>
      <c r="GSO1812" s="557"/>
      <c r="GSP1812" s="558"/>
      <c r="GSQ1812" s="590"/>
      <c r="GSR1812" s="591"/>
      <c r="GSS1812" s="591"/>
      <c r="GST1812" s="592"/>
      <c r="GSU1812" s="593"/>
      <c r="GSV1812" s="591"/>
      <c r="GSW1812" s="591"/>
      <c r="GSX1812" s="591"/>
      <c r="GSY1812" s="592"/>
      <c r="GSZ1812" s="593"/>
      <c r="GTA1812" s="594"/>
      <c r="GTB1812" s="590"/>
      <c r="GTC1812" s="591"/>
      <c r="GTD1812" s="591"/>
      <c r="GTE1812" s="591"/>
      <c r="GTF1812" s="591"/>
      <c r="GTG1812" s="591"/>
      <c r="GTH1812" s="591"/>
      <c r="GTI1812" s="560"/>
      <c r="GTJ1812" s="560"/>
      <c r="GTK1812" s="592"/>
      <c r="GTL1812" s="594"/>
      <c r="GTM1812" s="593"/>
      <c r="GTN1812" s="595"/>
      <c r="GTO1812" s="542"/>
      <c r="GTP1812" s="542"/>
      <c r="GTQ1812" s="542"/>
      <c r="GTR1812" s="542"/>
      <c r="GTS1812" s="542"/>
      <c r="GTT1812" s="547"/>
      <c r="GTU1812" s="544"/>
      <c r="GTV1812" s="545"/>
      <c r="GTW1812" s="545"/>
      <c r="GTX1812" s="545"/>
      <c r="GTY1812" s="652"/>
      <c r="GTZ1812" s="582"/>
      <c r="GUA1812" s="582"/>
      <c r="GUB1812" s="629"/>
      <c r="GUC1812" s="630"/>
      <c r="GUD1812" s="630"/>
      <c r="GUE1812" s="630"/>
      <c r="GUF1812" s="630"/>
      <c r="GUG1812" s="631"/>
      <c r="GUH1812" s="587"/>
      <c r="GUI1812" s="569"/>
      <c r="GUJ1812" s="582"/>
      <c r="GUK1812" s="587"/>
      <c r="GUL1812" s="569"/>
      <c r="GUM1812" s="569"/>
      <c r="GUN1812" s="569"/>
      <c r="GUO1812" s="582"/>
      <c r="GUP1812" s="587"/>
      <c r="GUQ1812" s="582"/>
      <c r="GUR1812" s="587"/>
      <c r="GUS1812" s="569"/>
      <c r="GUT1812" s="569"/>
      <c r="GUU1812" s="569"/>
      <c r="GUV1812" s="618"/>
      <c r="GUW1812" s="653"/>
      <c r="GUX1812" s="545"/>
      <c r="GUY1812" s="651"/>
      <c r="GUZ1812" s="653"/>
      <c r="GVA1812" s="591"/>
      <c r="GVB1812" s="653"/>
      <c r="GVC1812" s="654"/>
      <c r="GVD1812" s="555"/>
      <c r="GVE1812" s="556"/>
      <c r="GVF1812" s="633"/>
      <c r="GVG1812" s="634"/>
      <c r="GVH1812" s="635"/>
      <c r="GVI1812" s="560"/>
      <c r="GVJ1812" s="589"/>
      <c r="GVK1812" s="636"/>
      <c r="GVL1812" s="559"/>
      <c r="GVM1812" s="557"/>
      <c r="GVN1812" s="558"/>
      <c r="GVO1812" s="590"/>
      <c r="GVP1812" s="591"/>
      <c r="GVQ1812" s="591"/>
      <c r="GVR1812" s="592"/>
      <c r="GVS1812" s="593"/>
      <c r="GVT1812" s="591"/>
      <c r="GVU1812" s="591"/>
      <c r="GVV1812" s="591"/>
      <c r="GVW1812" s="592"/>
      <c r="GVX1812" s="593"/>
      <c r="GVY1812" s="594"/>
      <c r="GVZ1812" s="590"/>
      <c r="GWA1812" s="591"/>
      <c r="GWB1812" s="591"/>
      <c r="GWC1812" s="591"/>
      <c r="GWD1812" s="591"/>
      <c r="GWE1812" s="591"/>
      <c r="GWF1812" s="591"/>
      <c r="GWG1812" s="560"/>
      <c r="GWH1812" s="560"/>
      <c r="GWI1812" s="592"/>
      <c r="GWJ1812" s="594"/>
      <c r="GWK1812" s="593"/>
      <c r="GWL1812" s="595"/>
      <c r="GWM1812" s="542"/>
      <c r="GWN1812" s="542"/>
      <c r="GWO1812" s="542"/>
      <c r="GWP1812" s="542"/>
      <c r="GWQ1812" s="542"/>
      <c r="GWR1812" s="547"/>
      <c r="GWS1812" s="544"/>
      <c r="GWT1812" s="545"/>
      <c r="GWU1812" s="545"/>
      <c r="GWV1812" s="545"/>
      <c r="GWW1812" s="652"/>
      <c r="GWX1812" s="582"/>
      <c r="GWY1812" s="582"/>
      <c r="GWZ1812" s="629"/>
      <c r="GXA1812" s="630"/>
      <c r="GXB1812" s="630"/>
      <c r="GXC1812" s="630"/>
      <c r="GXD1812" s="630"/>
      <c r="GXE1812" s="631"/>
      <c r="GXF1812" s="587"/>
      <c r="GXG1812" s="569"/>
      <c r="GXH1812" s="582"/>
      <c r="GXI1812" s="587"/>
      <c r="GXJ1812" s="569"/>
      <c r="GXK1812" s="569"/>
      <c r="GXL1812" s="569"/>
      <c r="GXM1812" s="582"/>
      <c r="GXN1812" s="587"/>
      <c r="GXO1812" s="582"/>
      <c r="GXP1812" s="587"/>
      <c r="GXQ1812" s="569"/>
      <c r="GXR1812" s="569"/>
      <c r="GXS1812" s="569"/>
      <c r="GXT1812" s="618"/>
      <c r="GXU1812" s="653"/>
      <c r="GXV1812" s="545"/>
      <c r="GXW1812" s="651"/>
      <c r="GXX1812" s="653"/>
      <c r="GXY1812" s="591"/>
      <c r="GXZ1812" s="653"/>
      <c r="GYA1812" s="654"/>
      <c r="GYB1812" s="555"/>
      <c r="GYC1812" s="556"/>
      <c r="GYD1812" s="633"/>
      <c r="GYE1812" s="634"/>
      <c r="GYF1812" s="635"/>
      <c r="GYG1812" s="560"/>
      <c r="GYH1812" s="589"/>
      <c r="GYI1812" s="636"/>
      <c r="GYJ1812" s="559"/>
      <c r="GYK1812" s="557"/>
      <c r="GYL1812" s="558"/>
      <c r="GYM1812" s="590"/>
      <c r="GYN1812" s="591"/>
      <c r="GYO1812" s="591"/>
      <c r="GYP1812" s="592"/>
      <c r="GYQ1812" s="593"/>
      <c r="GYR1812" s="591"/>
      <c r="GYS1812" s="591"/>
      <c r="GYT1812" s="591"/>
      <c r="GYU1812" s="592"/>
      <c r="GYV1812" s="593"/>
      <c r="GYW1812" s="594"/>
      <c r="GYX1812" s="590"/>
      <c r="GYY1812" s="591"/>
      <c r="GYZ1812" s="591"/>
      <c r="GZA1812" s="591"/>
      <c r="GZB1812" s="591"/>
      <c r="GZC1812" s="591"/>
      <c r="GZD1812" s="591"/>
      <c r="GZE1812" s="560"/>
      <c r="GZF1812" s="560"/>
      <c r="GZG1812" s="592"/>
      <c r="GZH1812" s="594"/>
      <c r="GZI1812" s="593"/>
      <c r="GZJ1812" s="595"/>
      <c r="GZK1812" s="542"/>
      <c r="GZL1812" s="542"/>
      <c r="GZM1812" s="542"/>
      <c r="GZN1812" s="542"/>
      <c r="GZO1812" s="542"/>
      <c r="GZP1812" s="547"/>
      <c r="GZQ1812" s="544"/>
      <c r="GZR1812" s="545"/>
      <c r="GZS1812" s="545"/>
      <c r="GZT1812" s="545"/>
      <c r="GZU1812" s="652"/>
      <c r="GZV1812" s="582"/>
      <c r="GZW1812" s="582"/>
      <c r="GZX1812" s="629"/>
      <c r="GZY1812" s="630"/>
      <c r="GZZ1812" s="630"/>
      <c r="HAA1812" s="630"/>
      <c r="HAB1812" s="630"/>
      <c r="HAC1812" s="631"/>
      <c r="HAD1812" s="587"/>
      <c r="HAE1812" s="569"/>
      <c r="HAF1812" s="582"/>
      <c r="HAG1812" s="587"/>
      <c r="HAH1812" s="569"/>
      <c r="HAI1812" s="569"/>
      <c r="HAJ1812" s="569"/>
      <c r="HAK1812" s="582"/>
      <c r="HAL1812" s="587"/>
      <c r="HAM1812" s="582"/>
      <c r="HAN1812" s="587"/>
      <c r="HAO1812" s="569"/>
      <c r="HAP1812" s="569"/>
      <c r="HAQ1812" s="569"/>
      <c r="HAR1812" s="618"/>
      <c r="HAS1812" s="653"/>
      <c r="HAT1812" s="545"/>
      <c r="HAU1812" s="651"/>
      <c r="HAV1812" s="653"/>
      <c r="HAW1812" s="591"/>
      <c r="HAX1812" s="653"/>
      <c r="HAY1812" s="654"/>
      <c r="HAZ1812" s="555"/>
      <c r="HBA1812" s="556"/>
      <c r="HBB1812" s="633"/>
      <c r="HBC1812" s="634"/>
      <c r="HBD1812" s="635"/>
      <c r="HBE1812" s="560"/>
      <c r="HBF1812" s="589"/>
      <c r="HBG1812" s="636"/>
      <c r="HBH1812" s="559"/>
      <c r="HBI1812" s="557"/>
      <c r="HBJ1812" s="558"/>
      <c r="HBK1812" s="590"/>
      <c r="HBL1812" s="591"/>
      <c r="HBM1812" s="591"/>
      <c r="HBN1812" s="592"/>
      <c r="HBO1812" s="593"/>
      <c r="HBP1812" s="591"/>
      <c r="HBQ1812" s="591"/>
      <c r="HBR1812" s="591"/>
      <c r="HBS1812" s="592"/>
      <c r="HBT1812" s="593"/>
      <c r="HBU1812" s="594"/>
      <c r="HBV1812" s="590"/>
      <c r="HBW1812" s="591"/>
      <c r="HBX1812" s="591"/>
      <c r="HBY1812" s="591"/>
      <c r="HBZ1812" s="591"/>
      <c r="HCA1812" s="591"/>
      <c r="HCB1812" s="591"/>
      <c r="HCC1812" s="560"/>
      <c r="HCD1812" s="560"/>
      <c r="HCE1812" s="592"/>
      <c r="HCF1812" s="594"/>
      <c r="HCG1812" s="593"/>
      <c r="HCH1812" s="595"/>
      <c r="HCI1812" s="542"/>
      <c r="HCJ1812" s="542"/>
      <c r="HCK1812" s="542"/>
      <c r="HCL1812" s="542"/>
      <c r="HCM1812" s="542"/>
      <c r="HCN1812" s="547"/>
      <c r="HCO1812" s="544"/>
      <c r="HCP1812" s="545"/>
      <c r="HCQ1812" s="545"/>
      <c r="HCR1812" s="545"/>
      <c r="HCS1812" s="652"/>
      <c r="HCT1812" s="582"/>
      <c r="HCU1812" s="582"/>
      <c r="HCV1812" s="629"/>
      <c r="HCW1812" s="630"/>
      <c r="HCX1812" s="630"/>
      <c r="HCY1812" s="630"/>
      <c r="HCZ1812" s="630"/>
      <c r="HDA1812" s="631"/>
      <c r="HDB1812" s="587"/>
      <c r="HDC1812" s="569"/>
      <c r="HDD1812" s="582"/>
      <c r="HDE1812" s="587"/>
      <c r="HDF1812" s="569"/>
      <c r="HDG1812" s="569"/>
      <c r="HDH1812" s="569"/>
      <c r="HDI1812" s="582"/>
      <c r="HDJ1812" s="587"/>
      <c r="HDK1812" s="582"/>
      <c r="HDL1812" s="587"/>
      <c r="HDM1812" s="569"/>
      <c r="HDN1812" s="569"/>
      <c r="HDO1812" s="569"/>
      <c r="HDP1812" s="618"/>
      <c r="HDQ1812" s="653"/>
      <c r="HDR1812" s="545"/>
      <c r="HDS1812" s="651"/>
      <c r="HDT1812" s="653"/>
      <c r="HDU1812" s="591"/>
      <c r="HDV1812" s="653"/>
      <c r="HDW1812" s="654"/>
      <c r="HDX1812" s="555"/>
      <c r="HDY1812" s="556"/>
      <c r="HDZ1812" s="633"/>
      <c r="HEA1812" s="634"/>
      <c r="HEB1812" s="635"/>
      <c r="HEC1812" s="560"/>
      <c r="HED1812" s="589"/>
      <c r="HEE1812" s="636"/>
      <c r="HEF1812" s="559"/>
      <c r="HEG1812" s="557"/>
      <c r="HEH1812" s="558"/>
      <c r="HEI1812" s="590"/>
      <c r="HEJ1812" s="591"/>
      <c r="HEK1812" s="591"/>
      <c r="HEL1812" s="592"/>
      <c r="HEM1812" s="593"/>
      <c r="HEN1812" s="591"/>
      <c r="HEO1812" s="591"/>
      <c r="HEP1812" s="591"/>
      <c r="HEQ1812" s="592"/>
      <c r="HER1812" s="593"/>
      <c r="HES1812" s="594"/>
      <c r="HET1812" s="590"/>
      <c r="HEU1812" s="591"/>
      <c r="HEV1812" s="591"/>
      <c r="HEW1812" s="591"/>
      <c r="HEX1812" s="591"/>
      <c r="HEY1812" s="591"/>
      <c r="HEZ1812" s="591"/>
      <c r="HFA1812" s="560"/>
      <c r="HFB1812" s="560"/>
      <c r="HFC1812" s="592"/>
      <c r="HFD1812" s="594"/>
      <c r="HFE1812" s="593"/>
      <c r="HFF1812" s="595"/>
      <c r="HFG1812" s="542"/>
      <c r="HFH1812" s="542"/>
      <c r="HFI1812" s="542"/>
      <c r="HFJ1812" s="542"/>
      <c r="HFK1812" s="542"/>
      <c r="HFL1812" s="547"/>
      <c r="HFM1812" s="544"/>
      <c r="HFN1812" s="545"/>
      <c r="HFO1812" s="545"/>
      <c r="HFP1812" s="545"/>
      <c r="HFQ1812" s="652"/>
      <c r="HFR1812" s="582"/>
      <c r="HFS1812" s="582"/>
      <c r="HFT1812" s="629"/>
      <c r="HFU1812" s="630"/>
      <c r="HFV1812" s="630"/>
      <c r="HFW1812" s="630"/>
      <c r="HFX1812" s="630"/>
      <c r="HFY1812" s="631"/>
      <c r="HFZ1812" s="587"/>
      <c r="HGA1812" s="569"/>
      <c r="HGB1812" s="582"/>
      <c r="HGC1812" s="587"/>
      <c r="HGD1812" s="569"/>
      <c r="HGE1812" s="569"/>
      <c r="HGF1812" s="569"/>
      <c r="HGG1812" s="582"/>
      <c r="HGH1812" s="587"/>
      <c r="HGI1812" s="582"/>
      <c r="HGJ1812" s="587"/>
      <c r="HGK1812" s="569"/>
      <c r="HGL1812" s="569"/>
      <c r="HGM1812" s="569"/>
      <c r="HGN1812" s="618"/>
      <c r="HGO1812" s="653"/>
      <c r="HGP1812" s="545"/>
      <c r="HGQ1812" s="651"/>
      <c r="HGR1812" s="653"/>
      <c r="HGS1812" s="591"/>
      <c r="HGT1812" s="653"/>
      <c r="HGU1812" s="654"/>
      <c r="HGV1812" s="555"/>
      <c r="HGW1812" s="556"/>
      <c r="HGX1812" s="633"/>
      <c r="HGY1812" s="634"/>
      <c r="HGZ1812" s="635"/>
      <c r="HHA1812" s="560"/>
      <c r="HHB1812" s="589"/>
      <c r="HHC1812" s="636"/>
      <c r="HHD1812" s="559"/>
      <c r="HHE1812" s="557"/>
      <c r="HHF1812" s="558"/>
      <c r="HHG1812" s="590"/>
      <c r="HHH1812" s="591"/>
      <c r="HHI1812" s="591"/>
      <c r="HHJ1812" s="592"/>
      <c r="HHK1812" s="593"/>
      <c r="HHL1812" s="591"/>
      <c r="HHM1812" s="591"/>
      <c r="HHN1812" s="591"/>
      <c r="HHO1812" s="592"/>
      <c r="HHP1812" s="593"/>
      <c r="HHQ1812" s="594"/>
      <c r="HHR1812" s="590"/>
      <c r="HHS1812" s="591"/>
      <c r="HHT1812" s="591"/>
      <c r="HHU1812" s="591"/>
      <c r="HHV1812" s="591"/>
      <c r="HHW1812" s="591"/>
      <c r="HHX1812" s="591"/>
      <c r="HHY1812" s="560"/>
      <c r="HHZ1812" s="560"/>
      <c r="HIA1812" s="592"/>
      <c r="HIB1812" s="594"/>
      <c r="HIC1812" s="593"/>
      <c r="HID1812" s="595"/>
      <c r="HIE1812" s="542"/>
      <c r="HIF1812" s="542"/>
      <c r="HIG1812" s="542"/>
      <c r="HIH1812" s="542"/>
      <c r="HII1812" s="542"/>
      <c r="HIJ1812" s="547"/>
      <c r="HIK1812" s="544"/>
      <c r="HIL1812" s="545"/>
      <c r="HIM1812" s="545"/>
      <c r="HIN1812" s="545"/>
      <c r="HIO1812" s="652"/>
      <c r="HIP1812" s="582"/>
      <c r="HIQ1812" s="582"/>
      <c r="HIR1812" s="629"/>
      <c r="HIS1812" s="630"/>
      <c r="HIT1812" s="630"/>
      <c r="HIU1812" s="630"/>
      <c r="HIV1812" s="630"/>
      <c r="HIW1812" s="631"/>
      <c r="HIX1812" s="587"/>
      <c r="HIY1812" s="569"/>
      <c r="HIZ1812" s="582"/>
      <c r="HJA1812" s="587"/>
      <c r="HJB1812" s="569"/>
      <c r="HJC1812" s="569"/>
      <c r="HJD1812" s="569"/>
      <c r="HJE1812" s="582"/>
      <c r="HJF1812" s="587"/>
      <c r="HJG1812" s="582"/>
      <c r="HJH1812" s="587"/>
      <c r="HJI1812" s="569"/>
      <c r="HJJ1812" s="569"/>
      <c r="HJK1812" s="569"/>
      <c r="HJL1812" s="618"/>
      <c r="HJM1812" s="653"/>
      <c r="HJN1812" s="545"/>
      <c r="HJO1812" s="651"/>
      <c r="HJP1812" s="653"/>
      <c r="HJQ1812" s="591"/>
      <c r="HJR1812" s="653"/>
      <c r="HJS1812" s="654"/>
      <c r="HJT1812" s="555"/>
      <c r="HJU1812" s="556"/>
      <c r="HJV1812" s="633"/>
      <c r="HJW1812" s="634"/>
      <c r="HJX1812" s="635"/>
      <c r="HJY1812" s="560"/>
      <c r="HJZ1812" s="589"/>
      <c r="HKA1812" s="636"/>
      <c r="HKB1812" s="559"/>
      <c r="HKC1812" s="557"/>
      <c r="HKD1812" s="558"/>
      <c r="HKE1812" s="590"/>
      <c r="HKF1812" s="591"/>
      <c r="HKG1812" s="591"/>
      <c r="HKH1812" s="592"/>
      <c r="HKI1812" s="593"/>
      <c r="HKJ1812" s="591"/>
      <c r="HKK1812" s="591"/>
      <c r="HKL1812" s="591"/>
      <c r="HKM1812" s="592"/>
      <c r="HKN1812" s="593"/>
      <c r="HKO1812" s="594"/>
      <c r="HKP1812" s="590"/>
      <c r="HKQ1812" s="591"/>
      <c r="HKR1812" s="591"/>
      <c r="HKS1812" s="591"/>
      <c r="HKT1812" s="591"/>
      <c r="HKU1812" s="591"/>
      <c r="HKV1812" s="591"/>
      <c r="HKW1812" s="560"/>
      <c r="HKX1812" s="560"/>
      <c r="HKY1812" s="592"/>
      <c r="HKZ1812" s="594"/>
      <c r="HLA1812" s="593"/>
      <c r="HLB1812" s="595"/>
      <c r="HLC1812" s="542"/>
      <c r="HLD1812" s="542"/>
      <c r="HLE1812" s="542"/>
      <c r="HLF1812" s="542"/>
      <c r="HLG1812" s="542"/>
      <c r="HLH1812" s="547"/>
      <c r="HLI1812" s="544"/>
      <c r="HLJ1812" s="545"/>
      <c r="HLK1812" s="545"/>
      <c r="HLL1812" s="545"/>
      <c r="HLM1812" s="652"/>
      <c r="HLN1812" s="582"/>
      <c r="HLO1812" s="582"/>
      <c r="HLP1812" s="629"/>
      <c r="HLQ1812" s="630"/>
      <c r="HLR1812" s="630"/>
      <c r="HLS1812" s="630"/>
      <c r="HLT1812" s="630"/>
      <c r="HLU1812" s="631"/>
      <c r="HLV1812" s="587"/>
      <c r="HLW1812" s="569"/>
      <c r="HLX1812" s="582"/>
      <c r="HLY1812" s="587"/>
      <c r="HLZ1812" s="569"/>
      <c r="HMA1812" s="569"/>
      <c r="HMB1812" s="569"/>
      <c r="HMC1812" s="582"/>
      <c r="HMD1812" s="587"/>
      <c r="HME1812" s="582"/>
      <c r="HMF1812" s="587"/>
      <c r="HMG1812" s="569"/>
      <c r="HMH1812" s="569"/>
      <c r="HMI1812" s="569"/>
      <c r="HMJ1812" s="618"/>
      <c r="HMK1812" s="653"/>
      <c r="HML1812" s="545"/>
      <c r="HMM1812" s="651"/>
      <c r="HMN1812" s="653"/>
      <c r="HMO1812" s="591"/>
      <c r="HMP1812" s="653"/>
      <c r="HMQ1812" s="654"/>
      <c r="HMR1812" s="555"/>
      <c r="HMS1812" s="556"/>
      <c r="HMT1812" s="633"/>
      <c r="HMU1812" s="634"/>
      <c r="HMV1812" s="635"/>
      <c r="HMW1812" s="560"/>
      <c r="HMX1812" s="589"/>
      <c r="HMY1812" s="636"/>
      <c r="HMZ1812" s="559"/>
      <c r="HNA1812" s="557"/>
      <c r="HNB1812" s="558"/>
      <c r="HNC1812" s="590"/>
      <c r="HND1812" s="591"/>
      <c r="HNE1812" s="591"/>
      <c r="HNF1812" s="592"/>
      <c r="HNG1812" s="593"/>
      <c r="HNH1812" s="591"/>
      <c r="HNI1812" s="591"/>
      <c r="HNJ1812" s="591"/>
      <c r="HNK1812" s="592"/>
      <c r="HNL1812" s="593"/>
      <c r="HNM1812" s="594"/>
      <c r="HNN1812" s="590"/>
      <c r="HNO1812" s="591"/>
      <c r="HNP1812" s="591"/>
      <c r="HNQ1812" s="591"/>
      <c r="HNR1812" s="591"/>
      <c r="HNS1812" s="591"/>
      <c r="HNT1812" s="591"/>
      <c r="HNU1812" s="560"/>
      <c r="HNV1812" s="560"/>
      <c r="HNW1812" s="592"/>
      <c r="HNX1812" s="594"/>
      <c r="HNY1812" s="593"/>
      <c r="HNZ1812" s="595"/>
      <c r="HOA1812" s="542"/>
      <c r="HOB1812" s="542"/>
      <c r="HOC1812" s="542"/>
      <c r="HOD1812" s="542"/>
      <c r="HOE1812" s="542"/>
      <c r="HOF1812" s="547"/>
      <c r="HOG1812" s="544"/>
      <c r="HOH1812" s="545"/>
      <c r="HOI1812" s="545"/>
      <c r="HOJ1812" s="545"/>
      <c r="HOK1812" s="652"/>
      <c r="HOL1812" s="582"/>
      <c r="HOM1812" s="582"/>
      <c r="HON1812" s="629"/>
      <c r="HOO1812" s="630"/>
      <c r="HOP1812" s="630"/>
      <c r="HOQ1812" s="630"/>
      <c r="HOR1812" s="630"/>
      <c r="HOS1812" s="631"/>
      <c r="HOT1812" s="587"/>
      <c r="HOU1812" s="569"/>
      <c r="HOV1812" s="582"/>
      <c r="HOW1812" s="587"/>
      <c r="HOX1812" s="569"/>
      <c r="HOY1812" s="569"/>
      <c r="HOZ1812" s="569"/>
      <c r="HPA1812" s="582"/>
      <c r="HPB1812" s="587"/>
      <c r="HPC1812" s="582"/>
      <c r="HPD1812" s="587"/>
      <c r="HPE1812" s="569"/>
      <c r="HPF1812" s="569"/>
      <c r="HPG1812" s="569"/>
      <c r="HPH1812" s="618"/>
      <c r="HPI1812" s="653"/>
      <c r="HPJ1812" s="545"/>
      <c r="HPK1812" s="651"/>
      <c r="HPL1812" s="653"/>
      <c r="HPM1812" s="591"/>
      <c r="HPN1812" s="653"/>
      <c r="HPO1812" s="654"/>
      <c r="HPP1812" s="555"/>
      <c r="HPQ1812" s="556"/>
      <c r="HPR1812" s="633"/>
      <c r="HPS1812" s="634"/>
      <c r="HPT1812" s="635"/>
      <c r="HPU1812" s="560"/>
      <c r="HPV1812" s="589"/>
      <c r="HPW1812" s="636"/>
      <c r="HPX1812" s="559"/>
      <c r="HPY1812" s="557"/>
      <c r="HPZ1812" s="558"/>
      <c r="HQA1812" s="590"/>
      <c r="HQB1812" s="591"/>
      <c r="HQC1812" s="591"/>
      <c r="HQD1812" s="592"/>
      <c r="HQE1812" s="593"/>
      <c r="HQF1812" s="591"/>
      <c r="HQG1812" s="591"/>
      <c r="HQH1812" s="591"/>
      <c r="HQI1812" s="592"/>
      <c r="HQJ1812" s="593"/>
      <c r="HQK1812" s="594"/>
      <c r="HQL1812" s="590"/>
      <c r="HQM1812" s="591"/>
      <c r="HQN1812" s="591"/>
      <c r="HQO1812" s="591"/>
      <c r="HQP1812" s="591"/>
      <c r="HQQ1812" s="591"/>
      <c r="HQR1812" s="591"/>
      <c r="HQS1812" s="560"/>
      <c r="HQT1812" s="560"/>
      <c r="HQU1812" s="592"/>
      <c r="HQV1812" s="594"/>
      <c r="HQW1812" s="593"/>
      <c r="HQX1812" s="595"/>
      <c r="HQY1812" s="542"/>
      <c r="HQZ1812" s="542"/>
      <c r="HRA1812" s="542"/>
      <c r="HRB1812" s="542"/>
      <c r="HRC1812" s="542"/>
      <c r="HRD1812" s="547"/>
      <c r="HRE1812" s="544"/>
      <c r="HRF1812" s="545"/>
      <c r="HRG1812" s="545"/>
      <c r="HRH1812" s="545"/>
      <c r="HRI1812" s="652"/>
      <c r="HRJ1812" s="582"/>
      <c r="HRK1812" s="582"/>
      <c r="HRL1812" s="629"/>
      <c r="HRM1812" s="630"/>
      <c r="HRN1812" s="630"/>
      <c r="HRO1812" s="630"/>
      <c r="HRP1812" s="630"/>
      <c r="HRQ1812" s="631"/>
      <c r="HRR1812" s="587"/>
      <c r="HRS1812" s="569"/>
      <c r="HRT1812" s="582"/>
      <c r="HRU1812" s="587"/>
      <c r="HRV1812" s="569"/>
      <c r="HRW1812" s="569"/>
      <c r="HRX1812" s="569"/>
      <c r="HRY1812" s="582"/>
      <c r="HRZ1812" s="587"/>
      <c r="HSA1812" s="582"/>
      <c r="HSB1812" s="587"/>
      <c r="HSC1812" s="569"/>
      <c r="HSD1812" s="569"/>
      <c r="HSE1812" s="569"/>
      <c r="HSF1812" s="618"/>
      <c r="HSG1812" s="653"/>
      <c r="HSH1812" s="545"/>
      <c r="HSI1812" s="651"/>
      <c r="HSJ1812" s="653"/>
      <c r="HSK1812" s="591"/>
      <c r="HSL1812" s="653"/>
      <c r="HSM1812" s="654"/>
      <c r="HSN1812" s="555"/>
      <c r="HSO1812" s="556"/>
      <c r="HSP1812" s="633"/>
      <c r="HSQ1812" s="634"/>
      <c r="HSR1812" s="635"/>
      <c r="HSS1812" s="560"/>
      <c r="HST1812" s="589"/>
      <c r="HSU1812" s="636"/>
      <c r="HSV1812" s="559"/>
      <c r="HSW1812" s="557"/>
      <c r="HSX1812" s="558"/>
      <c r="HSY1812" s="590"/>
      <c r="HSZ1812" s="591"/>
      <c r="HTA1812" s="591"/>
      <c r="HTB1812" s="592"/>
      <c r="HTC1812" s="593"/>
      <c r="HTD1812" s="591"/>
      <c r="HTE1812" s="591"/>
      <c r="HTF1812" s="591"/>
      <c r="HTG1812" s="592"/>
      <c r="HTH1812" s="593"/>
      <c r="HTI1812" s="594"/>
      <c r="HTJ1812" s="590"/>
      <c r="HTK1812" s="591"/>
      <c r="HTL1812" s="591"/>
      <c r="HTM1812" s="591"/>
      <c r="HTN1812" s="591"/>
      <c r="HTO1812" s="591"/>
      <c r="HTP1812" s="591"/>
      <c r="HTQ1812" s="560"/>
      <c r="HTR1812" s="560"/>
      <c r="HTS1812" s="592"/>
      <c r="HTT1812" s="594"/>
      <c r="HTU1812" s="593"/>
      <c r="HTV1812" s="595"/>
      <c r="HTW1812" s="542"/>
      <c r="HTX1812" s="542"/>
      <c r="HTY1812" s="542"/>
      <c r="HTZ1812" s="542"/>
      <c r="HUA1812" s="542"/>
      <c r="HUB1812" s="547"/>
      <c r="HUC1812" s="544"/>
      <c r="HUD1812" s="545"/>
      <c r="HUE1812" s="545"/>
      <c r="HUF1812" s="545"/>
      <c r="HUG1812" s="652"/>
      <c r="HUH1812" s="582"/>
      <c r="HUI1812" s="582"/>
      <c r="HUJ1812" s="629"/>
      <c r="HUK1812" s="630"/>
      <c r="HUL1812" s="630"/>
      <c r="HUM1812" s="630"/>
      <c r="HUN1812" s="630"/>
      <c r="HUO1812" s="631"/>
      <c r="HUP1812" s="587"/>
      <c r="HUQ1812" s="569"/>
      <c r="HUR1812" s="582"/>
      <c r="HUS1812" s="587"/>
      <c r="HUT1812" s="569"/>
      <c r="HUU1812" s="569"/>
      <c r="HUV1812" s="569"/>
      <c r="HUW1812" s="582"/>
      <c r="HUX1812" s="587"/>
      <c r="HUY1812" s="582"/>
      <c r="HUZ1812" s="587"/>
      <c r="HVA1812" s="569"/>
      <c r="HVB1812" s="569"/>
      <c r="HVC1812" s="569"/>
      <c r="HVD1812" s="618"/>
      <c r="HVE1812" s="653"/>
      <c r="HVF1812" s="545"/>
      <c r="HVG1812" s="651"/>
      <c r="HVH1812" s="653"/>
      <c r="HVI1812" s="591"/>
      <c r="HVJ1812" s="653"/>
      <c r="HVK1812" s="654"/>
      <c r="HVL1812" s="555"/>
      <c r="HVM1812" s="556"/>
      <c r="HVN1812" s="633"/>
      <c r="HVO1812" s="634"/>
      <c r="HVP1812" s="635"/>
      <c r="HVQ1812" s="560"/>
      <c r="HVR1812" s="589"/>
      <c r="HVS1812" s="636"/>
      <c r="HVT1812" s="559"/>
      <c r="HVU1812" s="557"/>
      <c r="HVV1812" s="558"/>
      <c r="HVW1812" s="590"/>
      <c r="HVX1812" s="591"/>
      <c r="HVY1812" s="591"/>
      <c r="HVZ1812" s="592"/>
      <c r="HWA1812" s="593"/>
      <c r="HWB1812" s="591"/>
      <c r="HWC1812" s="591"/>
      <c r="HWD1812" s="591"/>
      <c r="HWE1812" s="592"/>
      <c r="HWF1812" s="593"/>
      <c r="HWG1812" s="594"/>
      <c r="HWH1812" s="590"/>
      <c r="HWI1812" s="591"/>
      <c r="HWJ1812" s="591"/>
      <c r="HWK1812" s="591"/>
      <c r="HWL1812" s="591"/>
      <c r="HWM1812" s="591"/>
      <c r="HWN1812" s="591"/>
      <c r="HWO1812" s="560"/>
      <c r="HWP1812" s="560"/>
      <c r="HWQ1812" s="592"/>
      <c r="HWR1812" s="594"/>
      <c r="HWS1812" s="593"/>
      <c r="HWT1812" s="595"/>
      <c r="HWU1812" s="542"/>
      <c r="HWV1812" s="542"/>
      <c r="HWW1812" s="542"/>
      <c r="HWX1812" s="542"/>
      <c r="HWY1812" s="542"/>
      <c r="HWZ1812" s="547"/>
      <c r="HXA1812" s="544"/>
      <c r="HXB1812" s="545"/>
      <c r="HXC1812" s="545"/>
      <c r="HXD1812" s="545"/>
      <c r="HXE1812" s="652"/>
      <c r="HXF1812" s="582"/>
      <c r="HXG1812" s="582"/>
      <c r="HXH1812" s="629"/>
      <c r="HXI1812" s="630"/>
      <c r="HXJ1812" s="630"/>
      <c r="HXK1812" s="630"/>
      <c r="HXL1812" s="630"/>
      <c r="HXM1812" s="631"/>
      <c r="HXN1812" s="587"/>
      <c r="HXO1812" s="569"/>
      <c r="HXP1812" s="582"/>
      <c r="HXQ1812" s="587"/>
      <c r="HXR1812" s="569"/>
      <c r="HXS1812" s="569"/>
      <c r="HXT1812" s="569"/>
      <c r="HXU1812" s="582"/>
      <c r="HXV1812" s="587"/>
      <c r="HXW1812" s="582"/>
      <c r="HXX1812" s="587"/>
      <c r="HXY1812" s="569"/>
      <c r="HXZ1812" s="569"/>
      <c r="HYA1812" s="569"/>
      <c r="HYB1812" s="618"/>
      <c r="HYC1812" s="653"/>
      <c r="HYD1812" s="545"/>
      <c r="HYE1812" s="651"/>
      <c r="HYF1812" s="653"/>
      <c r="HYG1812" s="591"/>
      <c r="HYH1812" s="653"/>
      <c r="HYI1812" s="654"/>
      <c r="HYJ1812" s="555"/>
      <c r="HYK1812" s="556"/>
      <c r="HYL1812" s="633"/>
      <c r="HYM1812" s="634"/>
      <c r="HYN1812" s="635"/>
      <c r="HYO1812" s="560"/>
      <c r="HYP1812" s="589"/>
      <c r="HYQ1812" s="636"/>
      <c r="HYR1812" s="559"/>
      <c r="HYS1812" s="557"/>
      <c r="HYT1812" s="558"/>
      <c r="HYU1812" s="590"/>
      <c r="HYV1812" s="591"/>
      <c r="HYW1812" s="591"/>
      <c r="HYX1812" s="592"/>
      <c r="HYY1812" s="593"/>
      <c r="HYZ1812" s="591"/>
      <c r="HZA1812" s="591"/>
      <c r="HZB1812" s="591"/>
      <c r="HZC1812" s="592"/>
      <c r="HZD1812" s="593"/>
      <c r="HZE1812" s="594"/>
      <c r="HZF1812" s="590"/>
      <c r="HZG1812" s="591"/>
      <c r="HZH1812" s="591"/>
      <c r="HZI1812" s="591"/>
      <c r="HZJ1812" s="591"/>
      <c r="HZK1812" s="591"/>
      <c r="HZL1812" s="591"/>
      <c r="HZM1812" s="560"/>
      <c r="HZN1812" s="560"/>
      <c r="HZO1812" s="592"/>
      <c r="HZP1812" s="594"/>
      <c r="HZQ1812" s="593"/>
      <c r="HZR1812" s="595"/>
      <c r="HZS1812" s="542"/>
      <c r="HZT1812" s="542"/>
      <c r="HZU1812" s="542"/>
      <c r="HZV1812" s="542"/>
      <c r="HZW1812" s="542"/>
      <c r="HZX1812" s="547"/>
      <c r="HZY1812" s="544"/>
      <c r="HZZ1812" s="545"/>
      <c r="IAA1812" s="545"/>
      <c r="IAB1812" s="545"/>
      <c r="IAC1812" s="652"/>
      <c r="IAD1812" s="582"/>
      <c r="IAE1812" s="582"/>
      <c r="IAF1812" s="629"/>
      <c r="IAG1812" s="630"/>
      <c r="IAH1812" s="630"/>
      <c r="IAI1812" s="630"/>
      <c r="IAJ1812" s="630"/>
      <c r="IAK1812" s="631"/>
      <c r="IAL1812" s="587"/>
      <c r="IAM1812" s="569"/>
      <c r="IAN1812" s="582"/>
      <c r="IAO1812" s="587"/>
      <c r="IAP1812" s="569"/>
      <c r="IAQ1812" s="569"/>
      <c r="IAR1812" s="569"/>
      <c r="IAS1812" s="582"/>
      <c r="IAT1812" s="587"/>
      <c r="IAU1812" s="582"/>
      <c r="IAV1812" s="587"/>
      <c r="IAW1812" s="569"/>
      <c r="IAX1812" s="569"/>
      <c r="IAY1812" s="569"/>
      <c r="IAZ1812" s="618"/>
      <c r="IBA1812" s="653"/>
      <c r="IBB1812" s="545"/>
      <c r="IBC1812" s="651"/>
      <c r="IBD1812" s="653"/>
      <c r="IBE1812" s="591"/>
      <c r="IBF1812" s="653"/>
      <c r="IBG1812" s="654"/>
      <c r="IBH1812" s="555"/>
      <c r="IBI1812" s="556"/>
      <c r="IBJ1812" s="633"/>
      <c r="IBK1812" s="634"/>
      <c r="IBL1812" s="635"/>
      <c r="IBM1812" s="560"/>
      <c r="IBN1812" s="589"/>
      <c r="IBO1812" s="636"/>
      <c r="IBP1812" s="559"/>
      <c r="IBQ1812" s="557"/>
      <c r="IBR1812" s="558"/>
      <c r="IBS1812" s="590"/>
      <c r="IBT1812" s="591"/>
      <c r="IBU1812" s="591"/>
      <c r="IBV1812" s="592"/>
      <c r="IBW1812" s="593"/>
      <c r="IBX1812" s="591"/>
      <c r="IBY1812" s="591"/>
      <c r="IBZ1812" s="591"/>
      <c r="ICA1812" s="592"/>
      <c r="ICB1812" s="593"/>
      <c r="ICC1812" s="594"/>
      <c r="ICD1812" s="590"/>
      <c r="ICE1812" s="591"/>
      <c r="ICF1812" s="591"/>
      <c r="ICG1812" s="591"/>
      <c r="ICH1812" s="591"/>
      <c r="ICI1812" s="591"/>
      <c r="ICJ1812" s="591"/>
      <c r="ICK1812" s="560"/>
      <c r="ICL1812" s="560"/>
      <c r="ICM1812" s="592"/>
      <c r="ICN1812" s="594"/>
      <c r="ICO1812" s="593"/>
      <c r="ICP1812" s="595"/>
      <c r="ICQ1812" s="542"/>
      <c r="ICR1812" s="542"/>
      <c r="ICS1812" s="542"/>
      <c r="ICT1812" s="542"/>
      <c r="ICU1812" s="542"/>
      <c r="ICV1812" s="547"/>
      <c r="ICW1812" s="544"/>
      <c r="ICX1812" s="545"/>
      <c r="ICY1812" s="545"/>
      <c r="ICZ1812" s="545"/>
      <c r="IDA1812" s="652"/>
      <c r="IDB1812" s="582"/>
      <c r="IDC1812" s="582"/>
      <c r="IDD1812" s="629"/>
      <c r="IDE1812" s="630"/>
      <c r="IDF1812" s="630"/>
      <c r="IDG1812" s="630"/>
      <c r="IDH1812" s="630"/>
      <c r="IDI1812" s="631"/>
      <c r="IDJ1812" s="587"/>
      <c r="IDK1812" s="569"/>
      <c r="IDL1812" s="582"/>
      <c r="IDM1812" s="587"/>
      <c r="IDN1812" s="569"/>
      <c r="IDO1812" s="569"/>
      <c r="IDP1812" s="569"/>
      <c r="IDQ1812" s="582"/>
      <c r="IDR1812" s="587"/>
      <c r="IDS1812" s="582"/>
      <c r="IDT1812" s="587"/>
      <c r="IDU1812" s="569"/>
      <c r="IDV1812" s="569"/>
      <c r="IDW1812" s="569"/>
      <c r="IDX1812" s="618"/>
      <c r="IDY1812" s="653"/>
      <c r="IDZ1812" s="545"/>
      <c r="IEA1812" s="651"/>
      <c r="IEB1812" s="653"/>
      <c r="IEC1812" s="591"/>
      <c r="IED1812" s="653"/>
      <c r="IEE1812" s="654"/>
      <c r="IEF1812" s="555"/>
      <c r="IEG1812" s="556"/>
      <c r="IEH1812" s="633"/>
      <c r="IEI1812" s="634"/>
      <c r="IEJ1812" s="635"/>
      <c r="IEK1812" s="560"/>
      <c r="IEL1812" s="589"/>
      <c r="IEM1812" s="636"/>
      <c r="IEN1812" s="559"/>
      <c r="IEO1812" s="557"/>
      <c r="IEP1812" s="558"/>
      <c r="IEQ1812" s="590"/>
      <c r="IER1812" s="591"/>
      <c r="IES1812" s="591"/>
      <c r="IET1812" s="592"/>
      <c r="IEU1812" s="593"/>
      <c r="IEV1812" s="591"/>
      <c r="IEW1812" s="591"/>
      <c r="IEX1812" s="591"/>
      <c r="IEY1812" s="592"/>
      <c r="IEZ1812" s="593"/>
      <c r="IFA1812" s="594"/>
      <c r="IFB1812" s="590"/>
      <c r="IFC1812" s="591"/>
      <c r="IFD1812" s="591"/>
      <c r="IFE1812" s="591"/>
      <c r="IFF1812" s="591"/>
      <c r="IFG1812" s="591"/>
      <c r="IFH1812" s="591"/>
      <c r="IFI1812" s="560"/>
      <c r="IFJ1812" s="560"/>
      <c r="IFK1812" s="592"/>
      <c r="IFL1812" s="594"/>
      <c r="IFM1812" s="593"/>
      <c r="IFN1812" s="595"/>
      <c r="IFO1812" s="542"/>
      <c r="IFP1812" s="542"/>
      <c r="IFQ1812" s="542"/>
      <c r="IFR1812" s="542"/>
      <c r="IFS1812" s="542"/>
      <c r="IFT1812" s="547"/>
      <c r="IFU1812" s="544"/>
      <c r="IFV1812" s="545"/>
      <c r="IFW1812" s="545"/>
      <c r="IFX1812" s="545"/>
      <c r="IFY1812" s="652"/>
      <c r="IFZ1812" s="582"/>
      <c r="IGA1812" s="582"/>
      <c r="IGB1812" s="629"/>
      <c r="IGC1812" s="630"/>
      <c r="IGD1812" s="630"/>
      <c r="IGE1812" s="630"/>
      <c r="IGF1812" s="630"/>
      <c r="IGG1812" s="631"/>
      <c r="IGH1812" s="587"/>
      <c r="IGI1812" s="569"/>
      <c r="IGJ1812" s="582"/>
      <c r="IGK1812" s="587"/>
      <c r="IGL1812" s="569"/>
      <c r="IGM1812" s="569"/>
      <c r="IGN1812" s="569"/>
      <c r="IGO1812" s="582"/>
      <c r="IGP1812" s="587"/>
      <c r="IGQ1812" s="582"/>
      <c r="IGR1812" s="587"/>
      <c r="IGS1812" s="569"/>
      <c r="IGT1812" s="569"/>
      <c r="IGU1812" s="569"/>
      <c r="IGV1812" s="618"/>
      <c r="IGW1812" s="653"/>
      <c r="IGX1812" s="545"/>
      <c r="IGY1812" s="651"/>
      <c r="IGZ1812" s="653"/>
      <c r="IHA1812" s="591"/>
      <c r="IHB1812" s="653"/>
      <c r="IHC1812" s="654"/>
      <c r="IHD1812" s="555"/>
      <c r="IHE1812" s="556"/>
      <c r="IHF1812" s="633"/>
      <c r="IHG1812" s="634"/>
      <c r="IHH1812" s="635"/>
      <c r="IHI1812" s="560"/>
      <c r="IHJ1812" s="589"/>
      <c r="IHK1812" s="636"/>
      <c r="IHL1812" s="559"/>
      <c r="IHM1812" s="557"/>
      <c r="IHN1812" s="558"/>
      <c r="IHO1812" s="590"/>
      <c r="IHP1812" s="591"/>
      <c r="IHQ1812" s="591"/>
      <c r="IHR1812" s="592"/>
      <c r="IHS1812" s="593"/>
      <c r="IHT1812" s="591"/>
      <c r="IHU1812" s="591"/>
      <c r="IHV1812" s="591"/>
      <c r="IHW1812" s="592"/>
      <c r="IHX1812" s="593"/>
      <c r="IHY1812" s="594"/>
      <c r="IHZ1812" s="590"/>
      <c r="IIA1812" s="591"/>
      <c r="IIB1812" s="591"/>
      <c r="IIC1812" s="591"/>
      <c r="IID1812" s="591"/>
      <c r="IIE1812" s="591"/>
      <c r="IIF1812" s="591"/>
      <c r="IIG1812" s="560"/>
      <c r="IIH1812" s="560"/>
      <c r="III1812" s="592"/>
      <c r="IIJ1812" s="594"/>
      <c r="IIK1812" s="593"/>
      <c r="IIL1812" s="595"/>
      <c r="IIM1812" s="542"/>
      <c r="IIN1812" s="542"/>
      <c r="IIO1812" s="542"/>
      <c r="IIP1812" s="542"/>
      <c r="IIQ1812" s="542"/>
      <c r="IIR1812" s="547"/>
      <c r="IIS1812" s="544"/>
      <c r="IIT1812" s="545"/>
      <c r="IIU1812" s="545"/>
      <c r="IIV1812" s="545"/>
      <c r="IIW1812" s="652"/>
      <c r="IIX1812" s="582"/>
      <c r="IIY1812" s="582"/>
      <c r="IIZ1812" s="629"/>
      <c r="IJA1812" s="630"/>
      <c r="IJB1812" s="630"/>
      <c r="IJC1812" s="630"/>
      <c r="IJD1812" s="630"/>
      <c r="IJE1812" s="631"/>
      <c r="IJF1812" s="587"/>
      <c r="IJG1812" s="569"/>
      <c r="IJH1812" s="582"/>
      <c r="IJI1812" s="587"/>
      <c r="IJJ1812" s="569"/>
      <c r="IJK1812" s="569"/>
      <c r="IJL1812" s="569"/>
      <c r="IJM1812" s="582"/>
      <c r="IJN1812" s="587"/>
      <c r="IJO1812" s="582"/>
      <c r="IJP1812" s="587"/>
      <c r="IJQ1812" s="569"/>
      <c r="IJR1812" s="569"/>
      <c r="IJS1812" s="569"/>
      <c r="IJT1812" s="618"/>
      <c r="IJU1812" s="653"/>
      <c r="IJV1812" s="545"/>
      <c r="IJW1812" s="651"/>
      <c r="IJX1812" s="653"/>
      <c r="IJY1812" s="591"/>
      <c r="IJZ1812" s="653"/>
      <c r="IKA1812" s="654"/>
      <c r="IKB1812" s="555"/>
      <c r="IKC1812" s="556"/>
      <c r="IKD1812" s="633"/>
      <c r="IKE1812" s="634"/>
      <c r="IKF1812" s="635"/>
      <c r="IKG1812" s="560"/>
      <c r="IKH1812" s="589"/>
      <c r="IKI1812" s="636"/>
      <c r="IKJ1812" s="559"/>
      <c r="IKK1812" s="557"/>
      <c r="IKL1812" s="558"/>
      <c r="IKM1812" s="590"/>
      <c r="IKN1812" s="591"/>
      <c r="IKO1812" s="591"/>
      <c r="IKP1812" s="592"/>
      <c r="IKQ1812" s="593"/>
      <c r="IKR1812" s="591"/>
      <c r="IKS1812" s="591"/>
      <c r="IKT1812" s="591"/>
      <c r="IKU1812" s="592"/>
      <c r="IKV1812" s="593"/>
      <c r="IKW1812" s="594"/>
      <c r="IKX1812" s="590"/>
      <c r="IKY1812" s="591"/>
      <c r="IKZ1812" s="591"/>
      <c r="ILA1812" s="591"/>
      <c r="ILB1812" s="591"/>
      <c r="ILC1812" s="591"/>
      <c r="ILD1812" s="591"/>
      <c r="ILE1812" s="560"/>
      <c r="ILF1812" s="560"/>
      <c r="ILG1812" s="592"/>
      <c r="ILH1812" s="594"/>
      <c r="ILI1812" s="593"/>
      <c r="ILJ1812" s="595"/>
      <c r="ILK1812" s="542"/>
      <c r="ILL1812" s="542"/>
      <c r="ILM1812" s="542"/>
      <c r="ILN1812" s="542"/>
      <c r="ILO1812" s="542"/>
      <c r="ILP1812" s="547"/>
      <c r="ILQ1812" s="544"/>
      <c r="ILR1812" s="545"/>
      <c r="ILS1812" s="545"/>
      <c r="ILT1812" s="545"/>
      <c r="ILU1812" s="652"/>
      <c r="ILV1812" s="582"/>
      <c r="ILW1812" s="582"/>
      <c r="ILX1812" s="629"/>
      <c r="ILY1812" s="630"/>
      <c r="ILZ1812" s="630"/>
      <c r="IMA1812" s="630"/>
      <c r="IMB1812" s="630"/>
      <c r="IMC1812" s="631"/>
      <c r="IMD1812" s="587"/>
      <c r="IME1812" s="569"/>
      <c r="IMF1812" s="582"/>
      <c r="IMG1812" s="587"/>
      <c r="IMH1812" s="569"/>
      <c r="IMI1812" s="569"/>
      <c r="IMJ1812" s="569"/>
      <c r="IMK1812" s="582"/>
      <c r="IML1812" s="587"/>
      <c r="IMM1812" s="582"/>
      <c r="IMN1812" s="587"/>
      <c r="IMO1812" s="569"/>
      <c r="IMP1812" s="569"/>
      <c r="IMQ1812" s="569"/>
      <c r="IMR1812" s="618"/>
      <c r="IMS1812" s="653"/>
      <c r="IMT1812" s="545"/>
      <c r="IMU1812" s="651"/>
      <c r="IMV1812" s="653"/>
      <c r="IMW1812" s="591"/>
      <c r="IMX1812" s="653"/>
      <c r="IMY1812" s="654"/>
      <c r="IMZ1812" s="555"/>
      <c r="INA1812" s="556"/>
      <c r="INB1812" s="633"/>
      <c r="INC1812" s="634"/>
      <c r="IND1812" s="635"/>
      <c r="INE1812" s="560"/>
      <c r="INF1812" s="589"/>
      <c r="ING1812" s="636"/>
      <c r="INH1812" s="559"/>
      <c r="INI1812" s="557"/>
      <c r="INJ1812" s="558"/>
      <c r="INK1812" s="590"/>
      <c r="INL1812" s="591"/>
      <c r="INM1812" s="591"/>
      <c r="INN1812" s="592"/>
      <c r="INO1812" s="593"/>
      <c r="INP1812" s="591"/>
      <c r="INQ1812" s="591"/>
      <c r="INR1812" s="591"/>
      <c r="INS1812" s="592"/>
      <c r="INT1812" s="593"/>
      <c r="INU1812" s="594"/>
      <c r="INV1812" s="590"/>
      <c r="INW1812" s="591"/>
      <c r="INX1812" s="591"/>
      <c r="INY1812" s="591"/>
      <c r="INZ1812" s="591"/>
      <c r="IOA1812" s="591"/>
      <c r="IOB1812" s="591"/>
      <c r="IOC1812" s="560"/>
      <c r="IOD1812" s="560"/>
      <c r="IOE1812" s="592"/>
      <c r="IOF1812" s="594"/>
      <c r="IOG1812" s="593"/>
      <c r="IOH1812" s="595"/>
      <c r="IOI1812" s="542"/>
      <c r="IOJ1812" s="542"/>
      <c r="IOK1812" s="542"/>
      <c r="IOL1812" s="542"/>
      <c r="IOM1812" s="542"/>
      <c r="ION1812" s="547"/>
      <c r="IOO1812" s="544"/>
      <c r="IOP1812" s="545"/>
      <c r="IOQ1812" s="545"/>
      <c r="IOR1812" s="545"/>
      <c r="IOS1812" s="652"/>
      <c r="IOT1812" s="582"/>
      <c r="IOU1812" s="582"/>
      <c r="IOV1812" s="629"/>
      <c r="IOW1812" s="630"/>
      <c r="IOX1812" s="630"/>
      <c r="IOY1812" s="630"/>
      <c r="IOZ1812" s="630"/>
      <c r="IPA1812" s="631"/>
      <c r="IPB1812" s="587"/>
      <c r="IPC1812" s="569"/>
      <c r="IPD1812" s="582"/>
      <c r="IPE1812" s="587"/>
      <c r="IPF1812" s="569"/>
      <c r="IPG1812" s="569"/>
      <c r="IPH1812" s="569"/>
      <c r="IPI1812" s="582"/>
      <c r="IPJ1812" s="587"/>
      <c r="IPK1812" s="582"/>
      <c r="IPL1812" s="587"/>
      <c r="IPM1812" s="569"/>
      <c r="IPN1812" s="569"/>
      <c r="IPO1812" s="569"/>
      <c r="IPP1812" s="618"/>
      <c r="IPQ1812" s="653"/>
      <c r="IPR1812" s="545"/>
      <c r="IPS1812" s="651"/>
      <c r="IPT1812" s="653"/>
      <c r="IPU1812" s="591"/>
      <c r="IPV1812" s="653"/>
      <c r="IPW1812" s="654"/>
      <c r="IPX1812" s="555"/>
      <c r="IPY1812" s="556"/>
      <c r="IPZ1812" s="633"/>
      <c r="IQA1812" s="634"/>
      <c r="IQB1812" s="635"/>
      <c r="IQC1812" s="560"/>
      <c r="IQD1812" s="589"/>
      <c r="IQE1812" s="636"/>
      <c r="IQF1812" s="559"/>
      <c r="IQG1812" s="557"/>
      <c r="IQH1812" s="558"/>
      <c r="IQI1812" s="590"/>
      <c r="IQJ1812" s="591"/>
      <c r="IQK1812" s="591"/>
      <c r="IQL1812" s="592"/>
      <c r="IQM1812" s="593"/>
      <c r="IQN1812" s="591"/>
      <c r="IQO1812" s="591"/>
      <c r="IQP1812" s="591"/>
      <c r="IQQ1812" s="592"/>
      <c r="IQR1812" s="593"/>
      <c r="IQS1812" s="594"/>
      <c r="IQT1812" s="590"/>
      <c r="IQU1812" s="591"/>
      <c r="IQV1812" s="591"/>
      <c r="IQW1812" s="591"/>
      <c r="IQX1812" s="591"/>
      <c r="IQY1812" s="591"/>
      <c r="IQZ1812" s="591"/>
      <c r="IRA1812" s="560"/>
      <c r="IRB1812" s="560"/>
      <c r="IRC1812" s="592"/>
      <c r="IRD1812" s="594"/>
      <c r="IRE1812" s="593"/>
      <c r="IRF1812" s="595"/>
      <c r="IRG1812" s="542"/>
      <c r="IRH1812" s="542"/>
      <c r="IRI1812" s="542"/>
      <c r="IRJ1812" s="542"/>
      <c r="IRK1812" s="542"/>
      <c r="IRL1812" s="547"/>
      <c r="IRM1812" s="544"/>
      <c r="IRN1812" s="545"/>
      <c r="IRO1812" s="545"/>
      <c r="IRP1812" s="545"/>
      <c r="IRQ1812" s="652"/>
      <c r="IRR1812" s="582"/>
      <c r="IRS1812" s="582"/>
      <c r="IRT1812" s="629"/>
      <c r="IRU1812" s="630"/>
      <c r="IRV1812" s="630"/>
      <c r="IRW1812" s="630"/>
      <c r="IRX1812" s="630"/>
      <c r="IRY1812" s="631"/>
      <c r="IRZ1812" s="587"/>
      <c r="ISA1812" s="569"/>
      <c r="ISB1812" s="582"/>
      <c r="ISC1812" s="587"/>
      <c r="ISD1812" s="569"/>
      <c r="ISE1812" s="569"/>
      <c r="ISF1812" s="569"/>
      <c r="ISG1812" s="582"/>
      <c r="ISH1812" s="587"/>
      <c r="ISI1812" s="582"/>
      <c r="ISJ1812" s="587"/>
      <c r="ISK1812" s="569"/>
      <c r="ISL1812" s="569"/>
      <c r="ISM1812" s="569"/>
      <c r="ISN1812" s="618"/>
      <c r="ISO1812" s="653"/>
      <c r="ISP1812" s="545"/>
      <c r="ISQ1812" s="651"/>
      <c r="ISR1812" s="653"/>
      <c r="ISS1812" s="591"/>
      <c r="IST1812" s="653"/>
      <c r="ISU1812" s="654"/>
      <c r="ISV1812" s="555"/>
      <c r="ISW1812" s="556"/>
      <c r="ISX1812" s="633"/>
      <c r="ISY1812" s="634"/>
      <c r="ISZ1812" s="635"/>
      <c r="ITA1812" s="560"/>
      <c r="ITB1812" s="589"/>
      <c r="ITC1812" s="636"/>
      <c r="ITD1812" s="559"/>
      <c r="ITE1812" s="557"/>
      <c r="ITF1812" s="558"/>
      <c r="ITG1812" s="590"/>
      <c r="ITH1812" s="591"/>
      <c r="ITI1812" s="591"/>
      <c r="ITJ1812" s="592"/>
      <c r="ITK1812" s="593"/>
      <c r="ITL1812" s="591"/>
      <c r="ITM1812" s="591"/>
      <c r="ITN1812" s="591"/>
      <c r="ITO1812" s="592"/>
      <c r="ITP1812" s="593"/>
      <c r="ITQ1812" s="594"/>
      <c r="ITR1812" s="590"/>
      <c r="ITS1812" s="591"/>
      <c r="ITT1812" s="591"/>
      <c r="ITU1812" s="591"/>
      <c r="ITV1812" s="591"/>
      <c r="ITW1812" s="591"/>
      <c r="ITX1812" s="591"/>
      <c r="ITY1812" s="560"/>
      <c r="ITZ1812" s="560"/>
      <c r="IUA1812" s="592"/>
      <c r="IUB1812" s="594"/>
      <c r="IUC1812" s="593"/>
      <c r="IUD1812" s="595"/>
      <c r="IUE1812" s="542"/>
      <c r="IUF1812" s="542"/>
      <c r="IUG1812" s="542"/>
      <c r="IUH1812" s="542"/>
      <c r="IUI1812" s="542"/>
      <c r="IUJ1812" s="547"/>
      <c r="IUK1812" s="544"/>
      <c r="IUL1812" s="545"/>
      <c r="IUM1812" s="545"/>
      <c r="IUN1812" s="545"/>
      <c r="IUO1812" s="652"/>
      <c r="IUP1812" s="582"/>
      <c r="IUQ1812" s="582"/>
      <c r="IUR1812" s="629"/>
      <c r="IUS1812" s="630"/>
      <c r="IUT1812" s="630"/>
      <c r="IUU1812" s="630"/>
      <c r="IUV1812" s="630"/>
      <c r="IUW1812" s="631"/>
      <c r="IUX1812" s="587"/>
      <c r="IUY1812" s="569"/>
      <c r="IUZ1812" s="582"/>
      <c r="IVA1812" s="587"/>
      <c r="IVB1812" s="569"/>
      <c r="IVC1812" s="569"/>
      <c r="IVD1812" s="569"/>
      <c r="IVE1812" s="582"/>
      <c r="IVF1812" s="587"/>
      <c r="IVG1812" s="582"/>
      <c r="IVH1812" s="587"/>
      <c r="IVI1812" s="569"/>
      <c r="IVJ1812" s="569"/>
      <c r="IVK1812" s="569"/>
      <c r="IVL1812" s="618"/>
      <c r="IVM1812" s="653"/>
      <c r="IVN1812" s="545"/>
      <c r="IVO1812" s="651"/>
      <c r="IVP1812" s="653"/>
      <c r="IVQ1812" s="591"/>
      <c r="IVR1812" s="653"/>
      <c r="IVS1812" s="654"/>
      <c r="IVT1812" s="555"/>
      <c r="IVU1812" s="556"/>
      <c r="IVV1812" s="633"/>
      <c r="IVW1812" s="634"/>
      <c r="IVX1812" s="635"/>
      <c r="IVY1812" s="560"/>
      <c r="IVZ1812" s="589"/>
      <c r="IWA1812" s="636"/>
      <c r="IWB1812" s="559"/>
      <c r="IWC1812" s="557"/>
      <c r="IWD1812" s="558"/>
      <c r="IWE1812" s="590"/>
      <c r="IWF1812" s="591"/>
      <c r="IWG1812" s="591"/>
      <c r="IWH1812" s="592"/>
      <c r="IWI1812" s="593"/>
      <c r="IWJ1812" s="591"/>
      <c r="IWK1812" s="591"/>
      <c r="IWL1812" s="591"/>
      <c r="IWM1812" s="592"/>
      <c r="IWN1812" s="593"/>
      <c r="IWO1812" s="594"/>
      <c r="IWP1812" s="590"/>
      <c r="IWQ1812" s="591"/>
      <c r="IWR1812" s="591"/>
      <c r="IWS1812" s="591"/>
      <c r="IWT1812" s="591"/>
      <c r="IWU1812" s="591"/>
      <c r="IWV1812" s="591"/>
      <c r="IWW1812" s="560"/>
      <c r="IWX1812" s="560"/>
      <c r="IWY1812" s="592"/>
      <c r="IWZ1812" s="594"/>
      <c r="IXA1812" s="593"/>
      <c r="IXB1812" s="595"/>
      <c r="IXC1812" s="542"/>
      <c r="IXD1812" s="542"/>
      <c r="IXE1812" s="542"/>
      <c r="IXF1812" s="542"/>
      <c r="IXG1812" s="542"/>
      <c r="IXH1812" s="547"/>
      <c r="IXI1812" s="544"/>
      <c r="IXJ1812" s="545"/>
      <c r="IXK1812" s="545"/>
      <c r="IXL1812" s="545"/>
      <c r="IXM1812" s="652"/>
      <c r="IXN1812" s="582"/>
      <c r="IXO1812" s="582"/>
      <c r="IXP1812" s="629"/>
      <c r="IXQ1812" s="630"/>
      <c r="IXR1812" s="630"/>
      <c r="IXS1812" s="630"/>
      <c r="IXT1812" s="630"/>
      <c r="IXU1812" s="631"/>
      <c r="IXV1812" s="587"/>
      <c r="IXW1812" s="569"/>
      <c r="IXX1812" s="582"/>
      <c r="IXY1812" s="587"/>
      <c r="IXZ1812" s="569"/>
      <c r="IYA1812" s="569"/>
      <c r="IYB1812" s="569"/>
      <c r="IYC1812" s="582"/>
      <c r="IYD1812" s="587"/>
      <c r="IYE1812" s="582"/>
      <c r="IYF1812" s="587"/>
      <c r="IYG1812" s="569"/>
      <c r="IYH1812" s="569"/>
      <c r="IYI1812" s="569"/>
      <c r="IYJ1812" s="618"/>
      <c r="IYK1812" s="653"/>
      <c r="IYL1812" s="545"/>
      <c r="IYM1812" s="651"/>
      <c r="IYN1812" s="653"/>
      <c r="IYO1812" s="591"/>
      <c r="IYP1812" s="653"/>
      <c r="IYQ1812" s="654"/>
      <c r="IYR1812" s="555"/>
      <c r="IYS1812" s="556"/>
      <c r="IYT1812" s="633"/>
      <c r="IYU1812" s="634"/>
      <c r="IYV1812" s="635"/>
      <c r="IYW1812" s="560"/>
      <c r="IYX1812" s="589"/>
      <c r="IYY1812" s="636"/>
      <c r="IYZ1812" s="559"/>
      <c r="IZA1812" s="557"/>
      <c r="IZB1812" s="558"/>
      <c r="IZC1812" s="590"/>
      <c r="IZD1812" s="591"/>
      <c r="IZE1812" s="591"/>
      <c r="IZF1812" s="592"/>
      <c r="IZG1812" s="593"/>
      <c r="IZH1812" s="591"/>
      <c r="IZI1812" s="591"/>
      <c r="IZJ1812" s="591"/>
      <c r="IZK1812" s="592"/>
      <c r="IZL1812" s="593"/>
      <c r="IZM1812" s="594"/>
      <c r="IZN1812" s="590"/>
      <c r="IZO1812" s="591"/>
      <c r="IZP1812" s="591"/>
      <c r="IZQ1812" s="591"/>
      <c r="IZR1812" s="591"/>
      <c r="IZS1812" s="591"/>
      <c r="IZT1812" s="591"/>
      <c r="IZU1812" s="560"/>
      <c r="IZV1812" s="560"/>
      <c r="IZW1812" s="592"/>
      <c r="IZX1812" s="594"/>
      <c r="IZY1812" s="593"/>
      <c r="IZZ1812" s="595"/>
      <c r="JAA1812" s="542"/>
      <c r="JAB1812" s="542"/>
      <c r="JAC1812" s="542"/>
      <c r="JAD1812" s="542"/>
      <c r="JAE1812" s="542"/>
      <c r="JAF1812" s="547"/>
      <c r="JAG1812" s="544"/>
      <c r="JAH1812" s="545"/>
      <c r="JAI1812" s="545"/>
      <c r="JAJ1812" s="545"/>
      <c r="JAK1812" s="652"/>
      <c r="JAL1812" s="582"/>
      <c r="JAM1812" s="582"/>
      <c r="JAN1812" s="629"/>
      <c r="JAO1812" s="630"/>
      <c r="JAP1812" s="630"/>
      <c r="JAQ1812" s="630"/>
      <c r="JAR1812" s="630"/>
      <c r="JAS1812" s="631"/>
      <c r="JAT1812" s="587"/>
      <c r="JAU1812" s="569"/>
      <c r="JAV1812" s="582"/>
      <c r="JAW1812" s="587"/>
      <c r="JAX1812" s="569"/>
      <c r="JAY1812" s="569"/>
      <c r="JAZ1812" s="569"/>
      <c r="JBA1812" s="582"/>
      <c r="JBB1812" s="587"/>
      <c r="JBC1812" s="582"/>
      <c r="JBD1812" s="587"/>
      <c r="JBE1812" s="569"/>
      <c r="JBF1812" s="569"/>
      <c r="JBG1812" s="569"/>
      <c r="JBH1812" s="618"/>
      <c r="JBI1812" s="653"/>
      <c r="JBJ1812" s="545"/>
      <c r="JBK1812" s="651"/>
      <c r="JBL1812" s="653"/>
      <c r="JBM1812" s="591"/>
      <c r="JBN1812" s="653"/>
      <c r="JBO1812" s="654"/>
      <c r="JBP1812" s="555"/>
      <c r="JBQ1812" s="556"/>
      <c r="JBR1812" s="633"/>
      <c r="JBS1812" s="634"/>
      <c r="JBT1812" s="635"/>
      <c r="JBU1812" s="560"/>
      <c r="JBV1812" s="589"/>
      <c r="JBW1812" s="636"/>
      <c r="JBX1812" s="559"/>
      <c r="JBY1812" s="557"/>
      <c r="JBZ1812" s="558"/>
      <c r="JCA1812" s="590"/>
      <c r="JCB1812" s="591"/>
      <c r="JCC1812" s="591"/>
      <c r="JCD1812" s="592"/>
      <c r="JCE1812" s="593"/>
      <c r="JCF1812" s="591"/>
      <c r="JCG1812" s="591"/>
      <c r="JCH1812" s="591"/>
      <c r="JCI1812" s="592"/>
      <c r="JCJ1812" s="593"/>
      <c r="JCK1812" s="594"/>
      <c r="JCL1812" s="590"/>
      <c r="JCM1812" s="591"/>
      <c r="JCN1812" s="591"/>
      <c r="JCO1812" s="591"/>
      <c r="JCP1812" s="591"/>
      <c r="JCQ1812" s="591"/>
      <c r="JCR1812" s="591"/>
      <c r="JCS1812" s="560"/>
      <c r="JCT1812" s="560"/>
      <c r="JCU1812" s="592"/>
      <c r="JCV1812" s="594"/>
      <c r="JCW1812" s="593"/>
      <c r="JCX1812" s="595"/>
      <c r="JCY1812" s="542"/>
      <c r="JCZ1812" s="542"/>
      <c r="JDA1812" s="542"/>
      <c r="JDB1812" s="542"/>
      <c r="JDC1812" s="542"/>
      <c r="JDD1812" s="547"/>
      <c r="JDE1812" s="544"/>
      <c r="JDF1812" s="545"/>
      <c r="JDG1812" s="545"/>
      <c r="JDH1812" s="545"/>
      <c r="JDI1812" s="652"/>
      <c r="JDJ1812" s="582"/>
      <c r="JDK1812" s="582"/>
      <c r="JDL1812" s="629"/>
      <c r="JDM1812" s="630"/>
      <c r="JDN1812" s="630"/>
      <c r="JDO1812" s="630"/>
      <c r="JDP1812" s="630"/>
      <c r="JDQ1812" s="631"/>
      <c r="JDR1812" s="587"/>
      <c r="JDS1812" s="569"/>
      <c r="JDT1812" s="582"/>
      <c r="JDU1812" s="587"/>
      <c r="JDV1812" s="569"/>
      <c r="JDW1812" s="569"/>
      <c r="JDX1812" s="569"/>
      <c r="JDY1812" s="582"/>
      <c r="JDZ1812" s="587"/>
      <c r="JEA1812" s="582"/>
      <c r="JEB1812" s="587"/>
      <c r="JEC1812" s="569"/>
      <c r="JED1812" s="569"/>
      <c r="JEE1812" s="569"/>
      <c r="JEF1812" s="618"/>
      <c r="JEG1812" s="653"/>
      <c r="JEH1812" s="545"/>
      <c r="JEI1812" s="651"/>
      <c r="JEJ1812" s="653"/>
      <c r="JEK1812" s="591"/>
      <c r="JEL1812" s="653"/>
      <c r="JEM1812" s="654"/>
      <c r="JEN1812" s="555"/>
      <c r="JEO1812" s="556"/>
      <c r="JEP1812" s="633"/>
      <c r="JEQ1812" s="634"/>
      <c r="JER1812" s="635"/>
      <c r="JES1812" s="560"/>
      <c r="JET1812" s="589"/>
      <c r="JEU1812" s="636"/>
      <c r="JEV1812" s="559"/>
      <c r="JEW1812" s="557"/>
      <c r="JEX1812" s="558"/>
      <c r="JEY1812" s="590"/>
      <c r="JEZ1812" s="591"/>
      <c r="JFA1812" s="591"/>
      <c r="JFB1812" s="592"/>
      <c r="JFC1812" s="593"/>
      <c r="JFD1812" s="591"/>
      <c r="JFE1812" s="591"/>
      <c r="JFF1812" s="591"/>
      <c r="JFG1812" s="592"/>
      <c r="JFH1812" s="593"/>
      <c r="JFI1812" s="594"/>
      <c r="JFJ1812" s="590"/>
      <c r="JFK1812" s="591"/>
      <c r="JFL1812" s="591"/>
      <c r="JFM1812" s="591"/>
      <c r="JFN1812" s="591"/>
      <c r="JFO1812" s="591"/>
      <c r="JFP1812" s="591"/>
      <c r="JFQ1812" s="560"/>
      <c r="JFR1812" s="560"/>
      <c r="JFS1812" s="592"/>
      <c r="JFT1812" s="594"/>
      <c r="JFU1812" s="593"/>
      <c r="JFV1812" s="595"/>
      <c r="JFW1812" s="542"/>
      <c r="JFX1812" s="542"/>
      <c r="JFY1812" s="542"/>
      <c r="JFZ1812" s="542"/>
      <c r="JGA1812" s="542"/>
      <c r="JGB1812" s="547"/>
      <c r="JGC1812" s="544"/>
      <c r="JGD1812" s="545"/>
      <c r="JGE1812" s="545"/>
      <c r="JGF1812" s="545"/>
      <c r="JGG1812" s="652"/>
      <c r="JGH1812" s="582"/>
      <c r="JGI1812" s="582"/>
      <c r="JGJ1812" s="629"/>
      <c r="JGK1812" s="630"/>
      <c r="JGL1812" s="630"/>
      <c r="JGM1812" s="630"/>
      <c r="JGN1812" s="630"/>
      <c r="JGO1812" s="631"/>
      <c r="JGP1812" s="587"/>
      <c r="JGQ1812" s="569"/>
      <c r="JGR1812" s="582"/>
      <c r="JGS1812" s="587"/>
      <c r="JGT1812" s="569"/>
      <c r="JGU1812" s="569"/>
      <c r="JGV1812" s="569"/>
      <c r="JGW1812" s="582"/>
      <c r="JGX1812" s="587"/>
      <c r="JGY1812" s="582"/>
      <c r="JGZ1812" s="587"/>
      <c r="JHA1812" s="569"/>
      <c r="JHB1812" s="569"/>
      <c r="JHC1812" s="569"/>
      <c r="JHD1812" s="618"/>
      <c r="JHE1812" s="653"/>
      <c r="JHF1812" s="545"/>
      <c r="JHG1812" s="651"/>
      <c r="JHH1812" s="653"/>
      <c r="JHI1812" s="591"/>
      <c r="JHJ1812" s="653"/>
      <c r="JHK1812" s="654"/>
      <c r="JHL1812" s="555"/>
      <c r="JHM1812" s="556"/>
      <c r="JHN1812" s="633"/>
      <c r="JHO1812" s="634"/>
      <c r="JHP1812" s="635"/>
      <c r="JHQ1812" s="560"/>
      <c r="JHR1812" s="589"/>
      <c r="JHS1812" s="636"/>
      <c r="JHT1812" s="559"/>
      <c r="JHU1812" s="557"/>
      <c r="JHV1812" s="558"/>
      <c r="JHW1812" s="590"/>
      <c r="JHX1812" s="591"/>
      <c r="JHY1812" s="591"/>
      <c r="JHZ1812" s="592"/>
      <c r="JIA1812" s="593"/>
      <c r="JIB1812" s="591"/>
      <c r="JIC1812" s="591"/>
      <c r="JID1812" s="591"/>
      <c r="JIE1812" s="592"/>
      <c r="JIF1812" s="593"/>
      <c r="JIG1812" s="594"/>
      <c r="JIH1812" s="590"/>
      <c r="JII1812" s="591"/>
      <c r="JIJ1812" s="591"/>
      <c r="JIK1812" s="591"/>
      <c r="JIL1812" s="591"/>
      <c r="JIM1812" s="591"/>
      <c r="JIN1812" s="591"/>
      <c r="JIO1812" s="560"/>
      <c r="JIP1812" s="560"/>
      <c r="JIQ1812" s="592"/>
      <c r="JIR1812" s="594"/>
      <c r="JIS1812" s="593"/>
      <c r="JIT1812" s="595"/>
      <c r="JIU1812" s="542"/>
      <c r="JIV1812" s="542"/>
      <c r="JIW1812" s="542"/>
      <c r="JIX1812" s="542"/>
      <c r="JIY1812" s="542"/>
      <c r="JIZ1812" s="547"/>
      <c r="JJA1812" s="544"/>
      <c r="JJB1812" s="545"/>
      <c r="JJC1812" s="545"/>
      <c r="JJD1812" s="545"/>
      <c r="JJE1812" s="652"/>
      <c r="JJF1812" s="582"/>
      <c r="JJG1812" s="582"/>
      <c r="JJH1812" s="629"/>
      <c r="JJI1812" s="630"/>
      <c r="JJJ1812" s="630"/>
      <c r="JJK1812" s="630"/>
      <c r="JJL1812" s="630"/>
      <c r="JJM1812" s="631"/>
      <c r="JJN1812" s="587"/>
      <c r="JJO1812" s="569"/>
      <c r="JJP1812" s="582"/>
      <c r="JJQ1812" s="587"/>
      <c r="JJR1812" s="569"/>
      <c r="JJS1812" s="569"/>
      <c r="JJT1812" s="569"/>
      <c r="JJU1812" s="582"/>
      <c r="JJV1812" s="587"/>
      <c r="JJW1812" s="582"/>
      <c r="JJX1812" s="587"/>
      <c r="JJY1812" s="569"/>
      <c r="JJZ1812" s="569"/>
      <c r="JKA1812" s="569"/>
      <c r="JKB1812" s="618"/>
      <c r="JKC1812" s="653"/>
      <c r="JKD1812" s="545"/>
      <c r="JKE1812" s="651"/>
      <c r="JKF1812" s="653"/>
      <c r="JKG1812" s="591"/>
      <c r="JKH1812" s="653"/>
      <c r="JKI1812" s="654"/>
      <c r="JKJ1812" s="555"/>
      <c r="JKK1812" s="556"/>
      <c r="JKL1812" s="633"/>
      <c r="JKM1812" s="634"/>
      <c r="JKN1812" s="635"/>
      <c r="JKO1812" s="560"/>
      <c r="JKP1812" s="589"/>
      <c r="JKQ1812" s="636"/>
      <c r="JKR1812" s="559"/>
      <c r="JKS1812" s="557"/>
      <c r="JKT1812" s="558"/>
      <c r="JKU1812" s="590"/>
      <c r="JKV1812" s="591"/>
      <c r="JKW1812" s="591"/>
      <c r="JKX1812" s="592"/>
      <c r="JKY1812" s="593"/>
      <c r="JKZ1812" s="591"/>
      <c r="JLA1812" s="591"/>
      <c r="JLB1812" s="591"/>
      <c r="JLC1812" s="592"/>
      <c r="JLD1812" s="593"/>
      <c r="JLE1812" s="594"/>
      <c r="JLF1812" s="590"/>
      <c r="JLG1812" s="591"/>
      <c r="JLH1812" s="591"/>
      <c r="JLI1812" s="591"/>
      <c r="JLJ1812" s="591"/>
      <c r="JLK1812" s="591"/>
      <c r="JLL1812" s="591"/>
      <c r="JLM1812" s="560"/>
      <c r="JLN1812" s="560"/>
      <c r="JLO1812" s="592"/>
      <c r="JLP1812" s="594"/>
      <c r="JLQ1812" s="593"/>
      <c r="JLR1812" s="595"/>
      <c r="JLS1812" s="542"/>
      <c r="JLT1812" s="542"/>
      <c r="JLU1812" s="542"/>
      <c r="JLV1812" s="542"/>
      <c r="JLW1812" s="542"/>
      <c r="JLX1812" s="547"/>
      <c r="JLY1812" s="544"/>
      <c r="JLZ1812" s="545"/>
      <c r="JMA1812" s="545"/>
      <c r="JMB1812" s="545"/>
      <c r="JMC1812" s="652"/>
      <c r="JMD1812" s="582"/>
      <c r="JME1812" s="582"/>
      <c r="JMF1812" s="629"/>
      <c r="JMG1812" s="630"/>
      <c r="JMH1812" s="630"/>
      <c r="JMI1812" s="630"/>
      <c r="JMJ1812" s="630"/>
      <c r="JMK1812" s="631"/>
      <c r="JML1812" s="587"/>
      <c r="JMM1812" s="569"/>
      <c r="JMN1812" s="582"/>
      <c r="JMO1812" s="587"/>
      <c r="JMP1812" s="569"/>
      <c r="JMQ1812" s="569"/>
      <c r="JMR1812" s="569"/>
      <c r="JMS1812" s="582"/>
      <c r="JMT1812" s="587"/>
      <c r="JMU1812" s="582"/>
      <c r="JMV1812" s="587"/>
      <c r="JMW1812" s="569"/>
      <c r="JMX1812" s="569"/>
      <c r="JMY1812" s="569"/>
      <c r="JMZ1812" s="618"/>
      <c r="JNA1812" s="653"/>
      <c r="JNB1812" s="545"/>
      <c r="JNC1812" s="651"/>
      <c r="JND1812" s="653"/>
      <c r="JNE1812" s="591"/>
      <c r="JNF1812" s="653"/>
      <c r="JNG1812" s="654"/>
      <c r="JNH1812" s="555"/>
      <c r="JNI1812" s="556"/>
      <c r="JNJ1812" s="633"/>
      <c r="JNK1812" s="634"/>
      <c r="JNL1812" s="635"/>
      <c r="JNM1812" s="560"/>
      <c r="JNN1812" s="589"/>
      <c r="JNO1812" s="636"/>
      <c r="JNP1812" s="559"/>
      <c r="JNQ1812" s="557"/>
      <c r="JNR1812" s="558"/>
      <c r="JNS1812" s="590"/>
      <c r="JNT1812" s="591"/>
      <c r="JNU1812" s="591"/>
      <c r="JNV1812" s="592"/>
      <c r="JNW1812" s="593"/>
      <c r="JNX1812" s="591"/>
      <c r="JNY1812" s="591"/>
      <c r="JNZ1812" s="591"/>
      <c r="JOA1812" s="592"/>
      <c r="JOB1812" s="593"/>
      <c r="JOC1812" s="594"/>
      <c r="JOD1812" s="590"/>
      <c r="JOE1812" s="591"/>
      <c r="JOF1812" s="591"/>
      <c r="JOG1812" s="591"/>
      <c r="JOH1812" s="591"/>
      <c r="JOI1812" s="591"/>
      <c r="JOJ1812" s="591"/>
      <c r="JOK1812" s="560"/>
      <c r="JOL1812" s="560"/>
      <c r="JOM1812" s="592"/>
      <c r="JON1812" s="594"/>
      <c r="JOO1812" s="593"/>
      <c r="JOP1812" s="595"/>
      <c r="JOQ1812" s="542"/>
      <c r="JOR1812" s="542"/>
      <c r="JOS1812" s="542"/>
      <c r="JOT1812" s="542"/>
      <c r="JOU1812" s="542"/>
      <c r="JOV1812" s="547"/>
      <c r="JOW1812" s="544"/>
      <c r="JOX1812" s="545"/>
      <c r="JOY1812" s="545"/>
      <c r="JOZ1812" s="545"/>
      <c r="JPA1812" s="652"/>
      <c r="JPB1812" s="582"/>
      <c r="JPC1812" s="582"/>
      <c r="JPD1812" s="629"/>
      <c r="JPE1812" s="630"/>
      <c r="JPF1812" s="630"/>
      <c r="JPG1812" s="630"/>
      <c r="JPH1812" s="630"/>
      <c r="JPI1812" s="631"/>
      <c r="JPJ1812" s="587"/>
      <c r="JPK1812" s="569"/>
      <c r="JPL1812" s="582"/>
      <c r="JPM1812" s="587"/>
      <c r="JPN1812" s="569"/>
      <c r="JPO1812" s="569"/>
      <c r="JPP1812" s="569"/>
      <c r="JPQ1812" s="582"/>
      <c r="JPR1812" s="587"/>
      <c r="JPS1812" s="582"/>
      <c r="JPT1812" s="587"/>
      <c r="JPU1812" s="569"/>
      <c r="JPV1812" s="569"/>
      <c r="JPW1812" s="569"/>
      <c r="JPX1812" s="618"/>
      <c r="JPY1812" s="653"/>
      <c r="JPZ1812" s="545"/>
      <c r="JQA1812" s="651"/>
      <c r="JQB1812" s="653"/>
      <c r="JQC1812" s="591"/>
      <c r="JQD1812" s="653"/>
      <c r="JQE1812" s="654"/>
      <c r="JQF1812" s="555"/>
      <c r="JQG1812" s="556"/>
      <c r="JQH1812" s="633"/>
      <c r="JQI1812" s="634"/>
      <c r="JQJ1812" s="635"/>
      <c r="JQK1812" s="560"/>
      <c r="JQL1812" s="589"/>
      <c r="JQM1812" s="636"/>
      <c r="JQN1812" s="559"/>
      <c r="JQO1812" s="557"/>
      <c r="JQP1812" s="558"/>
      <c r="JQQ1812" s="590"/>
      <c r="JQR1812" s="591"/>
      <c r="JQS1812" s="591"/>
      <c r="JQT1812" s="592"/>
      <c r="JQU1812" s="593"/>
      <c r="JQV1812" s="591"/>
      <c r="JQW1812" s="591"/>
      <c r="JQX1812" s="591"/>
      <c r="JQY1812" s="592"/>
      <c r="JQZ1812" s="593"/>
      <c r="JRA1812" s="594"/>
      <c r="JRB1812" s="590"/>
      <c r="JRC1812" s="591"/>
      <c r="JRD1812" s="591"/>
      <c r="JRE1812" s="591"/>
      <c r="JRF1812" s="591"/>
      <c r="JRG1812" s="591"/>
      <c r="JRH1812" s="591"/>
      <c r="JRI1812" s="560"/>
      <c r="JRJ1812" s="560"/>
      <c r="JRK1812" s="592"/>
      <c r="JRL1812" s="594"/>
      <c r="JRM1812" s="593"/>
      <c r="JRN1812" s="595"/>
      <c r="JRO1812" s="542"/>
      <c r="JRP1812" s="542"/>
      <c r="JRQ1812" s="542"/>
      <c r="JRR1812" s="542"/>
      <c r="JRS1812" s="542"/>
      <c r="JRT1812" s="547"/>
      <c r="JRU1812" s="544"/>
      <c r="JRV1812" s="545"/>
      <c r="JRW1812" s="545"/>
      <c r="JRX1812" s="545"/>
      <c r="JRY1812" s="652"/>
      <c r="JRZ1812" s="582"/>
      <c r="JSA1812" s="582"/>
      <c r="JSB1812" s="629"/>
      <c r="JSC1812" s="630"/>
      <c r="JSD1812" s="630"/>
      <c r="JSE1812" s="630"/>
      <c r="JSF1812" s="630"/>
      <c r="JSG1812" s="631"/>
      <c r="JSH1812" s="587"/>
      <c r="JSI1812" s="569"/>
      <c r="JSJ1812" s="582"/>
      <c r="JSK1812" s="587"/>
      <c r="JSL1812" s="569"/>
      <c r="JSM1812" s="569"/>
      <c r="JSN1812" s="569"/>
      <c r="JSO1812" s="582"/>
      <c r="JSP1812" s="587"/>
      <c r="JSQ1812" s="582"/>
      <c r="JSR1812" s="587"/>
      <c r="JSS1812" s="569"/>
      <c r="JST1812" s="569"/>
      <c r="JSU1812" s="569"/>
      <c r="JSV1812" s="618"/>
      <c r="JSW1812" s="653"/>
      <c r="JSX1812" s="545"/>
      <c r="JSY1812" s="651"/>
      <c r="JSZ1812" s="653"/>
      <c r="JTA1812" s="591"/>
      <c r="JTB1812" s="653"/>
      <c r="JTC1812" s="654"/>
      <c r="JTD1812" s="555"/>
      <c r="JTE1812" s="556"/>
      <c r="JTF1812" s="633"/>
      <c r="JTG1812" s="634"/>
      <c r="JTH1812" s="635"/>
      <c r="JTI1812" s="560"/>
      <c r="JTJ1812" s="589"/>
      <c r="JTK1812" s="636"/>
      <c r="JTL1812" s="559"/>
      <c r="JTM1812" s="557"/>
      <c r="JTN1812" s="558"/>
      <c r="JTO1812" s="590"/>
      <c r="JTP1812" s="591"/>
      <c r="JTQ1812" s="591"/>
      <c r="JTR1812" s="592"/>
      <c r="JTS1812" s="593"/>
      <c r="JTT1812" s="591"/>
      <c r="JTU1812" s="591"/>
      <c r="JTV1812" s="591"/>
      <c r="JTW1812" s="592"/>
      <c r="JTX1812" s="593"/>
      <c r="JTY1812" s="594"/>
      <c r="JTZ1812" s="590"/>
      <c r="JUA1812" s="591"/>
      <c r="JUB1812" s="591"/>
      <c r="JUC1812" s="591"/>
      <c r="JUD1812" s="591"/>
      <c r="JUE1812" s="591"/>
      <c r="JUF1812" s="591"/>
      <c r="JUG1812" s="560"/>
      <c r="JUH1812" s="560"/>
      <c r="JUI1812" s="592"/>
      <c r="JUJ1812" s="594"/>
      <c r="JUK1812" s="593"/>
      <c r="JUL1812" s="595"/>
      <c r="JUM1812" s="542"/>
      <c r="JUN1812" s="542"/>
      <c r="JUO1812" s="542"/>
      <c r="JUP1812" s="542"/>
      <c r="JUQ1812" s="542"/>
      <c r="JUR1812" s="547"/>
      <c r="JUS1812" s="544"/>
      <c r="JUT1812" s="545"/>
      <c r="JUU1812" s="545"/>
      <c r="JUV1812" s="545"/>
      <c r="JUW1812" s="652"/>
      <c r="JUX1812" s="582"/>
      <c r="JUY1812" s="582"/>
      <c r="JUZ1812" s="629"/>
      <c r="JVA1812" s="630"/>
      <c r="JVB1812" s="630"/>
      <c r="JVC1812" s="630"/>
      <c r="JVD1812" s="630"/>
      <c r="JVE1812" s="631"/>
      <c r="JVF1812" s="587"/>
      <c r="JVG1812" s="569"/>
      <c r="JVH1812" s="582"/>
      <c r="JVI1812" s="587"/>
      <c r="JVJ1812" s="569"/>
      <c r="JVK1812" s="569"/>
      <c r="JVL1812" s="569"/>
      <c r="JVM1812" s="582"/>
      <c r="JVN1812" s="587"/>
      <c r="JVO1812" s="582"/>
      <c r="JVP1812" s="587"/>
      <c r="JVQ1812" s="569"/>
      <c r="JVR1812" s="569"/>
      <c r="JVS1812" s="569"/>
      <c r="JVT1812" s="618"/>
      <c r="JVU1812" s="653"/>
      <c r="JVV1812" s="545"/>
      <c r="JVW1812" s="651"/>
      <c r="JVX1812" s="653"/>
      <c r="JVY1812" s="591"/>
      <c r="JVZ1812" s="653"/>
      <c r="JWA1812" s="654"/>
      <c r="JWB1812" s="555"/>
      <c r="JWC1812" s="556"/>
      <c r="JWD1812" s="633"/>
      <c r="JWE1812" s="634"/>
      <c r="JWF1812" s="635"/>
      <c r="JWG1812" s="560"/>
      <c r="JWH1812" s="589"/>
      <c r="JWI1812" s="636"/>
      <c r="JWJ1812" s="559"/>
      <c r="JWK1812" s="557"/>
      <c r="JWL1812" s="558"/>
      <c r="JWM1812" s="590"/>
      <c r="JWN1812" s="591"/>
      <c r="JWO1812" s="591"/>
      <c r="JWP1812" s="592"/>
      <c r="JWQ1812" s="593"/>
      <c r="JWR1812" s="591"/>
      <c r="JWS1812" s="591"/>
      <c r="JWT1812" s="591"/>
      <c r="JWU1812" s="592"/>
      <c r="JWV1812" s="593"/>
      <c r="JWW1812" s="594"/>
      <c r="JWX1812" s="590"/>
      <c r="JWY1812" s="591"/>
      <c r="JWZ1812" s="591"/>
      <c r="JXA1812" s="591"/>
      <c r="JXB1812" s="591"/>
      <c r="JXC1812" s="591"/>
      <c r="JXD1812" s="591"/>
      <c r="JXE1812" s="560"/>
      <c r="JXF1812" s="560"/>
      <c r="JXG1812" s="592"/>
      <c r="JXH1812" s="594"/>
      <c r="JXI1812" s="593"/>
      <c r="JXJ1812" s="595"/>
      <c r="JXK1812" s="542"/>
      <c r="JXL1812" s="542"/>
      <c r="JXM1812" s="542"/>
      <c r="JXN1812" s="542"/>
      <c r="JXO1812" s="542"/>
      <c r="JXP1812" s="547"/>
      <c r="JXQ1812" s="544"/>
      <c r="JXR1812" s="545"/>
      <c r="JXS1812" s="545"/>
      <c r="JXT1812" s="545"/>
      <c r="JXU1812" s="652"/>
      <c r="JXV1812" s="582"/>
      <c r="JXW1812" s="582"/>
      <c r="JXX1812" s="629"/>
      <c r="JXY1812" s="630"/>
      <c r="JXZ1812" s="630"/>
      <c r="JYA1812" s="630"/>
      <c r="JYB1812" s="630"/>
      <c r="JYC1812" s="631"/>
      <c r="JYD1812" s="587"/>
      <c r="JYE1812" s="569"/>
      <c r="JYF1812" s="582"/>
      <c r="JYG1812" s="587"/>
      <c r="JYH1812" s="569"/>
      <c r="JYI1812" s="569"/>
      <c r="JYJ1812" s="569"/>
      <c r="JYK1812" s="582"/>
      <c r="JYL1812" s="587"/>
      <c r="JYM1812" s="582"/>
      <c r="JYN1812" s="587"/>
      <c r="JYO1812" s="569"/>
      <c r="JYP1812" s="569"/>
      <c r="JYQ1812" s="569"/>
      <c r="JYR1812" s="618"/>
      <c r="JYS1812" s="653"/>
      <c r="JYT1812" s="545"/>
      <c r="JYU1812" s="651"/>
      <c r="JYV1812" s="653"/>
      <c r="JYW1812" s="591"/>
      <c r="JYX1812" s="653"/>
      <c r="JYY1812" s="654"/>
      <c r="JYZ1812" s="555"/>
      <c r="JZA1812" s="556"/>
      <c r="JZB1812" s="633"/>
      <c r="JZC1812" s="634"/>
      <c r="JZD1812" s="635"/>
      <c r="JZE1812" s="560"/>
      <c r="JZF1812" s="589"/>
      <c r="JZG1812" s="636"/>
      <c r="JZH1812" s="559"/>
      <c r="JZI1812" s="557"/>
      <c r="JZJ1812" s="558"/>
      <c r="JZK1812" s="590"/>
      <c r="JZL1812" s="591"/>
      <c r="JZM1812" s="591"/>
      <c r="JZN1812" s="592"/>
      <c r="JZO1812" s="593"/>
      <c r="JZP1812" s="591"/>
      <c r="JZQ1812" s="591"/>
      <c r="JZR1812" s="591"/>
      <c r="JZS1812" s="592"/>
      <c r="JZT1812" s="593"/>
      <c r="JZU1812" s="594"/>
      <c r="JZV1812" s="590"/>
      <c r="JZW1812" s="591"/>
      <c r="JZX1812" s="591"/>
      <c r="JZY1812" s="591"/>
      <c r="JZZ1812" s="591"/>
      <c r="KAA1812" s="591"/>
      <c r="KAB1812" s="591"/>
      <c r="KAC1812" s="560"/>
      <c r="KAD1812" s="560"/>
      <c r="KAE1812" s="592"/>
      <c r="KAF1812" s="594"/>
      <c r="KAG1812" s="593"/>
      <c r="KAH1812" s="595"/>
      <c r="KAI1812" s="542"/>
      <c r="KAJ1812" s="542"/>
      <c r="KAK1812" s="542"/>
      <c r="KAL1812" s="542"/>
      <c r="KAM1812" s="542"/>
      <c r="KAN1812" s="547"/>
      <c r="KAO1812" s="544"/>
      <c r="KAP1812" s="545"/>
      <c r="KAQ1812" s="545"/>
      <c r="KAR1812" s="545"/>
      <c r="KAS1812" s="652"/>
      <c r="KAT1812" s="582"/>
      <c r="KAU1812" s="582"/>
      <c r="KAV1812" s="629"/>
      <c r="KAW1812" s="630"/>
      <c r="KAX1812" s="630"/>
      <c r="KAY1812" s="630"/>
      <c r="KAZ1812" s="630"/>
      <c r="KBA1812" s="631"/>
      <c r="KBB1812" s="587"/>
      <c r="KBC1812" s="569"/>
      <c r="KBD1812" s="582"/>
      <c r="KBE1812" s="587"/>
      <c r="KBF1812" s="569"/>
      <c r="KBG1812" s="569"/>
      <c r="KBH1812" s="569"/>
      <c r="KBI1812" s="582"/>
      <c r="KBJ1812" s="587"/>
      <c r="KBK1812" s="582"/>
      <c r="KBL1812" s="587"/>
      <c r="KBM1812" s="569"/>
      <c r="KBN1812" s="569"/>
      <c r="KBO1812" s="569"/>
      <c r="KBP1812" s="618"/>
      <c r="KBQ1812" s="653"/>
      <c r="KBR1812" s="545"/>
      <c r="KBS1812" s="651"/>
      <c r="KBT1812" s="653"/>
      <c r="KBU1812" s="591"/>
      <c r="KBV1812" s="653"/>
      <c r="KBW1812" s="654"/>
      <c r="KBX1812" s="555"/>
      <c r="KBY1812" s="556"/>
      <c r="KBZ1812" s="633"/>
      <c r="KCA1812" s="634"/>
      <c r="KCB1812" s="635"/>
      <c r="KCC1812" s="560"/>
      <c r="KCD1812" s="589"/>
      <c r="KCE1812" s="636"/>
      <c r="KCF1812" s="559"/>
      <c r="KCG1812" s="557"/>
      <c r="KCH1812" s="558"/>
      <c r="KCI1812" s="590"/>
      <c r="KCJ1812" s="591"/>
      <c r="KCK1812" s="591"/>
      <c r="KCL1812" s="592"/>
      <c r="KCM1812" s="593"/>
      <c r="KCN1812" s="591"/>
      <c r="KCO1812" s="591"/>
      <c r="KCP1812" s="591"/>
      <c r="KCQ1812" s="592"/>
      <c r="KCR1812" s="593"/>
      <c r="KCS1812" s="594"/>
      <c r="KCT1812" s="590"/>
      <c r="KCU1812" s="591"/>
      <c r="KCV1812" s="591"/>
      <c r="KCW1812" s="591"/>
      <c r="KCX1812" s="591"/>
      <c r="KCY1812" s="591"/>
      <c r="KCZ1812" s="591"/>
      <c r="KDA1812" s="560"/>
      <c r="KDB1812" s="560"/>
      <c r="KDC1812" s="592"/>
      <c r="KDD1812" s="594"/>
      <c r="KDE1812" s="593"/>
      <c r="KDF1812" s="595"/>
      <c r="KDG1812" s="542"/>
      <c r="KDH1812" s="542"/>
      <c r="KDI1812" s="542"/>
      <c r="KDJ1812" s="542"/>
      <c r="KDK1812" s="542"/>
      <c r="KDL1812" s="547"/>
      <c r="KDM1812" s="544"/>
      <c r="KDN1812" s="545"/>
      <c r="KDO1812" s="545"/>
      <c r="KDP1812" s="545"/>
      <c r="KDQ1812" s="652"/>
      <c r="KDR1812" s="582"/>
      <c r="KDS1812" s="582"/>
      <c r="KDT1812" s="629"/>
      <c r="KDU1812" s="630"/>
      <c r="KDV1812" s="630"/>
      <c r="KDW1812" s="630"/>
      <c r="KDX1812" s="630"/>
      <c r="KDY1812" s="631"/>
      <c r="KDZ1812" s="587"/>
      <c r="KEA1812" s="569"/>
      <c r="KEB1812" s="582"/>
      <c r="KEC1812" s="587"/>
      <c r="KED1812" s="569"/>
      <c r="KEE1812" s="569"/>
      <c r="KEF1812" s="569"/>
      <c r="KEG1812" s="582"/>
      <c r="KEH1812" s="587"/>
      <c r="KEI1812" s="582"/>
      <c r="KEJ1812" s="587"/>
      <c r="KEK1812" s="569"/>
      <c r="KEL1812" s="569"/>
      <c r="KEM1812" s="569"/>
      <c r="KEN1812" s="618"/>
      <c r="KEO1812" s="653"/>
      <c r="KEP1812" s="545"/>
      <c r="KEQ1812" s="651"/>
      <c r="KER1812" s="653"/>
      <c r="KES1812" s="591"/>
      <c r="KET1812" s="653"/>
      <c r="KEU1812" s="654"/>
      <c r="KEV1812" s="555"/>
      <c r="KEW1812" s="556"/>
      <c r="KEX1812" s="633"/>
      <c r="KEY1812" s="634"/>
      <c r="KEZ1812" s="635"/>
      <c r="KFA1812" s="560"/>
      <c r="KFB1812" s="589"/>
      <c r="KFC1812" s="636"/>
      <c r="KFD1812" s="559"/>
      <c r="KFE1812" s="557"/>
      <c r="KFF1812" s="558"/>
      <c r="KFG1812" s="590"/>
      <c r="KFH1812" s="591"/>
      <c r="KFI1812" s="591"/>
      <c r="KFJ1812" s="592"/>
      <c r="KFK1812" s="593"/>
      <c r="KFL1812" s="591"/>
      <c r="KFM1812" s="591"/>
      <c r="KFN1812" s="591"/>
      <c r="KFO1812" s="592"/>
      <c r="KFP1812" s="593"/>
      <c r="KFQ1812" s="594"/>
      <c r="KFR1812" s="590"/>
      <c r="KFS1812" s="591"/>
      <c r="KFT1812" s="591"/>
      <c r="KFU1812" s="591"/>
      <c r="KFV1812" s="591"/>
      <c r="KFW1812" s="591"/>
      <c r="KFX1812" s="591"/>
      <c r="KFY1812" s="560"/>
      <c r="KFZ1812" s="560"/>
      <c r="KGA1812" s="592"/>
      <c r="KGB1812" s="594"/>
      <c r="KGC1812" s="593"/>
      <c r="KGD1812" s="595"/>
      <c r="KGE1812" s="542"/>
      <c r="KGF1812" s="542"/>
      <c r="KGG1812" s="542"/>
      <c r="KGH1812" s="542"/>
      <c r="KGI1812" s="542"/>
      <c r="KGJ1812" s="547"/>
      <c r="KGK1812" s="544"/>
      <c r="KGL1812" s="545"/>
      <c r="KGM1812" s="545"/>
      <c r="KGN1812" s="545"/>
      <c r="KGO1812" s="652"/>
      <c r="KGP1812" s="582"/>
      <c r="KGQ1812" s="582"/>
      <c r="KGR1812" s="629"/>
      <c r="KGS1812" s="630"/>
      <c r="KGT1812" s="630"/>
      <c r="KGU1812" s="630"/>
      <c r="KGV1812" s="630"/>
      <c r="KGW1812" s="631"/>
      <c r="KGX1812" s="587"/>
      <c r="KGY1812" s="569"/>
      <c r="KGZ1812" s="582"/>
      <c r="KHA1812" s="587"/>
      <c r="KHB1812" s="569"/>
      <c r="KHC1812" s="569"/>
      <c r="KHD1812" s="569"/>
      <c r="KHE1812" s="582"/>
      <c r="KHF1812" s="587"/>
      <c r="KHG1812" s="582"/>
      <c r="KHH1812" s="587"/>
      <c r="KHI1812" s="569"/>
      <c r="KHJ1812" s="569"/>
      <c r="KHK1812" s="569"/>
      <c r="KHL1812" s="618"/>
      <c r="KHM1812" s="653"/>
      <c r="KHN1812" s="545"/>
      <c r="KHO1812" s="651"/>
      <c r="KHP1812" s="653"/>
      <c r="KHQ1812" s="591"/>
      <c r="KHR1812" s="653"/>
      <c r="KHS1812" s="654"/>
      <c r="KHT1812" s="555"/>
      <c r="KHU1812" s="556"/>
      <c r="KHV1812" s="633"/>
      <c r="KHW1812" s="634"/>
      <c r="KHX1812" s="635"/>
      <c r="KHY1812" s="560"/>
      <c r="KHZ1812" s="589"/>
      <c r="KIA1812" s="636"/>
      <c r="KIB1812" s="559"/>
      <c r="KIC1812" s="557"/>
      <c r="KID1812" s="558"/>
      <c r="KIE1812" s="590"/>
      <c r="KIF1812" s="591"/>
      <c r="KIG1812" s="591"/>
      <c r="KIH1812" s="592"/>
      <c r="KII1812" s="593"/>
      <c r="KIJ1812" s="591"/>
      <c r="KIK1812" s="591"/>
      <c r="KIL1812" s="591"/>
      <c r="KIM1812" s="592"/>
      <c r="KIN1812" s="593"/>
      <c r="KIO1812" s="594"/>
      <c r="KIP1812" s="590"/>
      <c r="KIQ1812" s="591"/>
      <c r="KIR1812" s="591"/>
      <c r="KIS1812" s="591"/>
      <c r="KIT1812" s="591"/>
      <c r="KIU1812" s="591"/>
      <c r="KIV1812" s="591"/>
      <c r="KIW1812" s="560"/>
      <c r="KIX1812" s="560"/>
      <c r="KIY1812" s="592"/>
      <c r="KIZ1812" s="594"/>
      <c r="KJA1812" s="593"/>
      <c r="KJB1812" s="595"/>
      <c r="KJC1812" s="542"/>
      <c r="KJD1812" s="542"/>
      <c r="KJE1812" s="542"/>
      <c r="KJF1812" s="542"/>
      <c r="KJG1812" s="542"/>
      <c r="KJH1812" s="547"/>
      <c r="KJI1812" s="544"/>
      <c r="KJJ1812" s="545"/>
      <c r="KJK1812" s="545"/>
      <c r="KJL1812" s="545"/>
      <c r="KJM1812" s="652"/>
      <c r="KJN1812" s="582"/>
      <c r="KJO1812" s="582"/>
      <c r="KJP1812" s="629"/>
      <c r="KJQ1812" s="630"/>
      <c r="KJR1812" s="630"/>
      <c r="KJS1812" s="630"/>
      <c r="KJT1812" s="630"/>
      <c r="KJU1812" s="631"/>
      <c r="KJV1812" s="587"/>
      <c r="KJW1812" s="569"/>
      <c r="KJX1812" s="582"/>
      <c r="KJY1812" s="587"/>
      <c r="KJZ1812" s="569"/>
      <c r="KKA1812" s="569"/>
      <c r="KKB1812" s="569"/>
      <c r="KKC1812" s="582"/>
      <c r="KKD1812" s="587"/>
      <c r="KKE1812" s="582"/>
      <c r="KKF1812" s="587"/>
      <c r="KKG1812" s="569"/>
      <c r="KKH1812" s="569"/>
      <c r="KKI1812" s="569"/>
      <c r="KKJ1812" s="618"/>
      <c r="KKK1812" s="653"/>
      <c r="KKL1812" s="545"/>
      <c r="KKM1812" s="651"/>
      <c r="KKN1812" s="653"/>
      <c r="KKO1812" s="591"/>
      <c r="KKP1812" s="653"/>
      <c r="KKQ1812" s="654"/>
      <c r="KKR1812" s="555"/>
      <c r="KKS1812" s="556"/>
      <c r="KKT1812" s="633"/>
      <c r="KKU1812" s="634"/>
      <c r="KKV1812" s="635"/>
      <c r="KKW1812" s="560"/>
      <c r="KKX1812" s="589"/>
      <c r="KKY1812" s="636"/>
      <c r="KKZ1812" s="559"/>
      <c r="KLA1812" s="557"/>
      <c r="KLB1812" s="558"/>
      <c r="KLC1812" s="590"/>
      <c r="KLD1812" s="591"/>
      <c r="KLE1812" s="591"/>
      <c r="KLF1812" s="592"/>
      <c r="KLG1812" s="593"/>
      <c r="KLH1812" s="591"/>
      <c r="KLI1812" s="591"/>
      <c r="KLJ1812" s="591"/>
      <c r="KLK1812" s="592"/>
      <c r="KLL1812" s="593"/>
      <c r="KLM1812" s="594"/>
      <c r="KLN1812" s="590"/>
      <c r="KLO1812" s="591"/>
      <c r="KLP1812" s="591"/>
      <c r="KLQ1812" s="591"/>
      <c r="KLR1812" s="591"/>
      <c r="KLS1812" s="591"/>
      <c r="KLT1812" s="591"/>
      <c r="KLU1812" s="560"/>
      <c r="KLV1812" s="560"/>
      <c r="KLW1812" s="592"/>
      <c r="KLX1812" s="594"/>
      <c r="KLY1812" s="593"/>
      <c r="KLZ1812" s="595"/>
      <c r="KMA1812" s="542"/>
      <c r="KMB1812" s="542"/>
      <c r="KMC1812" s="542"/>
      <c r="KMD1812" s="542"/>
      <c r="KME1812" s="542"/>
      <c r="KMF1812" s="547"/>
      <c r="KMG1812" s="544"/>
      <c r="KMH1812" s="545"/>
      <c r="KMI1812" s="545"/>
      <c r="KMJ1812" s="545"/>
      <c r="KMK1812" s="652"/>
      <c r="KML1812" s="582"/>
      <c r="KMM1812" s="582"/>
      <c r="KMN1812" s="629"/>
      <c r="KMO1812" s="630"/>
      <c r="KMP1812" s="630"/>
      <c r="KMQ1812" s="630"/>
      <c r="KMR1812" s="630"/>
      <c r="KMS1812" s="631"/>
      <c r="KMT1812" s="587"/>
      <c r="KMU1812" s="569"/>
      <c r="KMV1812" s="582"/>
      <c r="KMW1812" s="587"/>
      <c r="KMX1812" s="569"/>
      <c r="KMY1812" s="569"/>
      <c r="KMZ1812" s="569"/>
      <c r="KNA1812" s="582"/>
      <c r="KNB1812" s="587"/>
      <c r="KNC1812" s="582"/>
      <c r="KND1812" s="587"/>
      <c r="KNE1812" s="569"/>
      <c r="KNF1812" s="569"/>
      <c r="KNG1812" s="569"/>
      <c r="KNH1812" s="618"/>
      <c r="KNI1812" s="653"/>
      <c r="KNJ1812" s="545"/>
      <c r="KNK1812" s="651"/>
      <c r="KNL1812" s="653"/>
      <c r="KNM1812" s="591"/>
      <c r="KNN1812" s="653"/>
      <c r="KNO1812" s="654"/>
      <c r="KNP1812" s="555"/>
      <c r="KNQ1812" s="556"/>
      <c r="KNR1812" s="633"/>
      <c r="KNS1812" s="634"/>
      <c r="KNT1812" s="635"/>
      <c r="KNU1812" s="560"/>
      <c r="KNV1812" s="589"/>
      <c r="KNW1812" s="636"/>
      <c r="KNX1812" s="559"/>
      <c r="KNY1812" s="557"/>
      <c r="KNZ1812" s="558"/>
      <c r="KOA1812" s="590"/>
      <c r="KOB1812" s="591"/>
      <c r="KOC1812" s="591"/>
      <c r="KOD1812" s="592"/>
      <c r="KOE1812" s="593"/>
      <c r="KOF1812" s="591"/>
      <c r="KOG1812" s="591"/>
      <c r="KOH1812" s="591"/>
      <c r="KOI1812" s="592"/>
      <c r="KOJ1812" s="593"/>
      <c r="KOK1812" s="594"/>
      <c r="KOL1812" s="590"/>
      <c r="KOM1812" s="591"/>
      <c r="KON1812" s="591"/>
      <c r="KOO1812" s="591"/>
      <c r="KOP1812" s="591"/>
      <c r="KOQ1812" s="591"/>
      <c r="KOR1812" s="591"/>
      <c r="KOS1812" s="560"/>
      <c r="KOT1812" s="560"/>
      <c r="KOU1812" s="592"/>
      <c r="KOV1812" s="594"/>
      <c r="KOW1812" s="593"/>
      <c r="KOX1812" s="595"/>
      <c r="KOY1812" s="542"/>
      <c r="KOZ1812" s="542"/>
      <c r="KPA1812" s="542"/>
      <c r="KPB1812" s="542"/>
      <c r="KPC1812" s="542"/>
      <c r="KPD1812" s="547"/>
      <c r="KPE1812" s="544"/>
      <c r="KPF1812" s="545"/>
      <c r="KPG1812" s="545"/>
      <c r="KPH1812" s="545"/>
      <c r="KPI1812" s="652"/>
      <c r="KPJ1812" s="582"/>
      <c r="KPK1812" s="582"/>
      <c r="KPL1812" s="629"/>
      <c r="KPM1812" s="630"/>
      <c r="KPN1812" s="630"/>
      <c r="KPO1812" s="630"/>
      <c r="KPP1812" s="630"/>
      <c r="KPQ1812" s="631"/>
      <c r="KPR1812" s="587"/>
      <c r="KPS1812" s="569"/>
      <c r="KPT1812" s="582"/>
      <c r="KPU1812" s="587"/>
      <c r="KPV1812" s="569"/>
      <c r="KPW1812" s="569"/>
      <c r="KPX1812" s="569"/>
      <c r="KPY1812" s="582"/>
      <c r="KPZ1812" s="587"/>
      <c r="KQA1812" s="582"/>
      <c r="KQB1812" s="587"/>
      <c r="KQC1812" s="569"/>
      <c r="KQD1812" s="569"/>
      <c r="KQE1812" s="569"/>
      <c r="KQF1812" s="618"/>
      <c r="KQG1812" s="653"/>
      <c r="KQH1812" s="545"/>
      <c r="KQI1812" s="651"/>
      <c r="KQJ1812" s="653"/>
      <c r="KQK1812" s="591"/>
      <c r="KQL1812" s="653"/>
      <c r="KQM1812" s="654"/>
      <c r="KQN1812" s="555"/>
      <c r="KQO1812" s="556"/>
      <c r="KQP1812" s="633"/>
      <c r="KQQ1812" s="634"/>
      <c r="KQR1812" s="635"/>
      <c r="KQS1812" s="560"/>
      <c r="KQT1812" s="589"/>
      <c r="KQU1812" s="636"/>
      <c r="KQV1812" s="559"/>
      <c r="KQW1812" s="557"/>
      <c r="KQX1812" s="558"/>
      <c r="KQY1812" s="590"/>
      <c r="KQZ1812" s="591"/>
      <c r="KRA1812" s="591"/>
      <c r="KRB1812" s="592"/>
      <c r="KRC1812" s="593"/>
      <c r="KRD1812" s="591"/>
      <c r="KRE1812" s="591"/>
      <c r="KRF1812" s="591"/>
      <c r="KRG1812" s="592"/>
      <c r="KRH1812" s="593"/>
      <c r="KRI1812" s="594"/>
      <c r="KRJ1812" s="590"/>
      <c r="KRK1812" s="591"/>
      <c r="KRL1812" s="591"/>
      <c r="KRM1812" s="591"/>
      <c r="KRN1812" s="591"/>
      <c r="KRO1812" s="591"/>
      <c r="KRP1812" s="591"/>
      <c r="KRQ1812" s="560"/>
      <c r="KRR1812" s="560"/>
      <c r="KRS1812" s="592"/>
      <c r="KRT1812" s="594"/>
      <c r="KRU1812" s="593"/>
      <c r="KRV1812" s="595"/>
      <c r="KRW1812" s="542"/>
      <c r="KRX1812" s="542"/>
      <c r="KRY1812" s="542"/>
      <c r="KRZ1812" s="542"/>
      <c r="KSA1812" s="542"/>
      <c r="KSB1812" s="547"/>
      <c r="KSC1812" s="544"/>
      <c r="KSD1812" s="545"/>
      <c r="KSE1812" s="545"/>
      <c r="KSF1812" s="545"/>
      <c r="KSG1812" s="652"/>
      <c r="KSH1812" s="582"/>
      <c r="KSI1812" s="582"/>
      <c r="KSJ1812" s="629"/>
      <c r="KSK1812" s="630"/>
      <c r="KSL1812" s="630"/>
      <c r="KSM1812" s="630"/>
      <c r="KSN1812" s="630"/>
      <c r="KSO1812" s="631"/>
      <c r="KSP1812" s="587"/>
      <c r="KSQ1812" s="569"/>
      <c r="KSR1812" s="582"/>
      <c r="KSS1812" s="587"/>
      <c r="KST1812" s="569"/>
      <c r="KSU1812" s="569"/>
      <c r="KSV1812" s="569"/>
      <c r="KSW1812" s="582"/>
      <c r="KSX1812" s="587"/>
      <c r="KSY1812" s="582"/>
      <c r="KSZ1812" s="587"/>
      <c r="KTA1812" s="569"/>
      <c r="KTB1812" s="569"/>
      <c r="KTC1812" s="569"/>
      <c r="KTD1812" s="618"/>
      <c r="KTE1812" s="653"/>
      <c r="KTF1812" s="545"/>
      <c r="KTG1812" s="651"/>
      <c r="KTH1812" s="653"/>
      <c r="KTI1812" s="591"/>
      <c r="KTJ1812" s="653"/>
      <c r="KTK1812" s="654"/>
      <c r="KTL1812" s="555"/>
      <c r="KTM1812" s="556"/>
      <c r="KTN1812" s="633"/>
      <c r="KTO1812" s="634"/>
      <c r="KTP1812" s="635"/>
      <c r="KTQ1812" s="560"/>
      <c r="KTR1812" s="589"/>
      <c r="KTS1812" s="636"/>
      <c r="KTT1812" s="559"/>
      <c r="KTU1812" s="557"/>
      <c r="KTV1812" s="558"/>
      <c r="KTW1812" s="590"/>
      <c r="KTX1812" s="591"/>
      <c r="KTY1812" s="591"/>
      <c r="KTZ1812" s="592"/>
      <c r="KUA1812" s="593"/>
      <c r="KUB1812" s="591"/>
      <c r="KUC1812" s="591"/>
      <c r="KUD1812" s="591"/>
      <c r="KUE1812" s="592"/>
      <c r="KUF1812" s="593"/>
      <c r="KUG1812" s="594"/>
      <c r="KUH1812" s="590"/>
      <c r="KUI1812" s="591"/>
      <c r="KUJ1812" s="591"/>
      <c r="KUK1812" s="591"/>
      <c r="KUL1812" s="591"/>
      <c r="KUM1812" s="591"/>
      <c r="KUN1812" s="591"/>
      <c r="KUO1812" s="560"/>
      <c r="KUP1812" s="560"/>
      <c r="KUQ1812" s="592"/>
      <c r="KUR1812" s="594"/>
      <c r="KUS1812" s="593"/>
      <c r="KUT1812" s="595"/>
      <c r="KUU1812" s="542"/>
      <c r="KUV1812" s="542"/>
      <c r="KUW1812" s="542"/>
      <c r="KUX1812" s="542"/>
      <c r="KUY1812" s="542"/>
      <c r="KUZ1812" s="547"/>
      <c r="KVA1812" s="544"/>
      <c r="KVB1812" s="545"/>
      <c r="KVC1812" s="545"/>
      <c r="KVD1812" s="545"/>
      <c r="KVE1812" s="652"/>
      <c r="KVF1812" s="582"/>
      <c r="KVG1812" s="582"/>
      <c r="KVH1812" s="629"/>
      <c r="KVI1812" s="630"/>
      <c r="KVJ1812" s="630"/>
      <c r="KVK1812" s="630"/>
      <c r="KVL1812" s="630"/>
      <c r="KVM1812" s="631"/>
      <c r="KVN1812" s="587"/>
      <c r="KVO1812" s="569"/>
      <c r="KVP1812" s="582"/>
      <c r="KVQ1812" s="587"/>
      <c r="KVR1812" s="569"/>
      <c r="KVS1812" s="569"/>
      <c r="KVT1812" s="569"/>
      <c r="KVU1812" s="582"/>
      <c r="KVV1812" s="587"/>
      <c r="KVW1812" s="582"/>
      <c r="KVX1812" s="587"/>
      <c r="KVY1812" s="569"/>
      <c r="KVZ1812" s="569"/>
      <c r="KWA1812" s="569"/>
      <c r="KWB1812" s="618"/>
      <c r="KWC1812" s="653"/>
      <c r="KWD1812" s="545"/>
      <c r="KWE1812" s="651"/>
      <c r="KWF1812" s="653"/>
      <c r="KWG1812" s="591"/>
      <c r="KWH1812" s="653"/>
      <c r="KWI1812" s="654"/>
      <c r="KWJ1812" s="555"/>
      <c r="KWK1812" s="556"/>
      <c r="KWL1812" s="633"/>
      <c r="KWM1812" s="634"/>
      <c r="KWN1812" s="635"/>
      <c r="KWO1812" s="560"/>
      <c r="KWP1812" s="589"/>
      <c r="KWQ1812" s="636"/>
      <c r="KWR1812" s="559"/>
      <c r="KWS1812" s="557"/>
      <c r="KWT1812" s="558"/>
      <c r="KWU1812" s="590"/>
      <c r="KWV1812" s="591"/>
      <c r="KWW1812" s="591"/>
      <c r="KWX1812" s="592"/>
      <c r="KWY1812" s="593"/>
      <c r="KWZ1812" s="591"/>
      <c r="KXA1812" s="591"/>
      <c r="KXB1812" s="591"/>
      <c r="KXC1812" s="592"/>
      <c r="KXD1812" s="593"/>
      <c r="KXE1812" s="594"/>
      <c r="KXF1812" s="590"/>
      <c r="KXG1812" s="591"/>
      <c r="KXH1812" s="591"/>
      <c r="KXI1812" s="591"/>
      <c r="KXJ1812" s="591"/>
      <c r="KXK1812" s="591"/>
      <c r="KXL1812" s="591"/>
      <c r="KXM1812" s="560"/>
      <c r="KXN1812" s="560"/>
      <c r="KXO1812" s="592"/>
      <c r="KXP1812" s="594"/>
      <c r="KXQ1812" s="593"/>
      <c r="KXR1812" s="595"/>
      <c r="KXS1812" s="542"/>
      <c r="KXT1812" s="542"/>
      <c r="KXU1812" s="542"/>
      <c r="KXV1812" s="542"/>
      <c r="KXW1812" s="542"/>
      <c r="KXX1812" s="547"/>
      <c r="KXY1812" s="544"/>
      <c r="KXZ1812" s="545"/>
      <c r="KYA1812" s="545"/>
      <c r="KYB1812" s="545"/>
      <c r="KYC1812" s="652"/>
      <c r="KYD1812" s="582"/>
      <c r="KYE1812" s="582"/>
      <c r="KYF1812" s="629"/>
      <c r="KYG1812" s="630"/>
      <c r="KYH1812" s="630"/>
      <c r="KYI1812" s="630"/>
      <c r="KYJ1812" s="630"/>
      <c r="KYK1812" s="631"/>
      <c r="KYL1812" s="587"/>
      <c r="KYM1812" s="569"/>
      <c r="KYN1812" s="582"/>
      <c r="KYO1812" s="587"/>
      <c r="KYP1812" s="569"/>
      <c r="KYQ1812" s="569"/>
      <c r="KYR1812" s="569"/>
      <c r="KYS1812" s="582"/>
      <c r="KYT1812" s="587"/>
      <c r="KYU1812" s="582"/>
      <c r="KYV1812" s="587"/>
      <c r="KYW1812" s="569"/>
      <c r="KYX1812" s="569"/>
      <c r="KYY1812" s="569"/>
      <c r="KYZ1812" s="618"/>
      <c r="KZA1812" s="653"/>
      <c r="KZB1812" s="545"/>
      <c r="KZC1812" s="651"/>
      <c r="KZD1812" s="653"/>
      <c r="KZE1812" s="591"/>
      <c r="KZF1812" s="653"/>
      <c r="KZG1812" s="654"/>
      <c r="KZH1812" s="555"/>
      <c r="KZI1812" s="556"/>
      <c r="KZJ1812" s="633"/>
      <c r="KZK1812" s="634"/>
      <c r="KZL1812" s="635"/>
      <c r="KZM1812" s="560"/>
      <c r="KZN1812" s="589"/>
      <c r="KZO1812" s="636"/>
      <c r="KZP1812" s="559"/>
      <c r="KZQ1812" s="557"/>
      <c r="KZR1812" s="558"/>
      <c r="KZS1812" s="590"/>
      <c r="KZT1812" s="591"/>
      <c r="KZU1812" s="591"/>
      <c r="KZV1812" s="592"/>
      <c r="KZW1812" s="593"/>
      <c r="KZX1812" s="591"/>
      <c r="KZY1812" s="591"/>
      <c r="KZZ1812" s="591"/>
      <c r="LAA1812" s="592"/>
      <c r="LAB1812" s="593"/>
      <c r="LAC1812" s="594"/>
      <c r="LAD1812" s="590"/>
      <c r="LAE1812" s="591"/>
      <c r="LAF1812" s="591"/>
      <c r="LAG1812" s="591"/>
      <c r="LAH1812" s="591"/>
      <c r="LAI1812" s="591"/>
      <c r="LAJ1812" s="591"/>
      <c r="LAK1812" s="560"/>
      <c r="LAL1812" s="560"/>
      <c r="LAM1812" s="592"/>
      <c r="LAN1812" s="594"/>
      <c r="LAO1812" s="593"/>
      <c r="LAP1812" s="595"/>
      <c r="LAQ1812" s="542"/>
      <c r="LAR1812" s="542"/>
      <c r="LAS1812" s="542"/>
      <c r="LAT1812" s="542"/>
      <c r="LAU1812" s="542"/>
      <c r="LAV1812" s="547"/>
      <c r="LAW1812" s="544"/>
      <c r="LAX1812" s="545"/>
      <c r="LAY1812" s="545"/>
      <c r="LAZ1812" s="545"/>
      <c r="LBA1812" s="652"/>
      <c r="LBB1812" s="582"/>
      <c r="LBC1812" s="582"/>
      <c r="LBD1812" s="629"/>
      <c r="LBE1812" s="630"/>
      <c r="LBF1812" s="630"/>
      <c r="LBG1812" s="630"/>
      <c r="LBH1812" s="630"/>
      <c r="LBI1812" s="631"/>
      <c r="LBJ1812" s="587"/>
      <c r="LBK1812" s="569"/>
      <c r="LBL1812" s="582"/>
      <c r="LBM1812" s="587"/>
      <c r="LBN1812" s="569"/>
      <c r="LBO1812" s="569"/>
      <c r="LBP1812" s="569"/>
      <c r="LBQ1812" s="582"/>
      <c r="LBR1812" s="587"/>
      <c r="LBS1812" s="582"/>
      <c r="LBT1812" s="587"/>
      <c r="LBU1812" s="569"/>
      <c r="LBV1812" s="569"/>
      <c r="LBW1812" s="569"/>
      <c r="LBX1812" s="618"/>
      <c r="LBY1812" s="653"/>
      <c r="LBZ1812" s="545"/>
      <c r="LCA1812" s="651"/>
      <c r="LCB1812" s="653"/>
      <c r="LCC1812" s="591"/>
      <c r="LCD1812" s="653"/>
      <c r="LCE1812" s="654"/>
      <c r="LCF1812" s="555"/>
      <c r="LCG1812" s="556"/>
      <c r="LCH1812" s="633"/>
      <c r="LCI1812" s="634"/>
      <c r="LCJ1812" s="635"/>
      <c r="LCK1812" s="560"/>
      <c r="LCL1812" s="589"/>
      <c r="LCM1812" s="636"/>
      <c r="LCN1812" s="559"/>
      <c r="LCO1812" s="557"/>
      <c r="LCP1812" s="558"/>
      <c r="LCQ1812" s="590"/>
      <c r="LCR1812" s="591"/>
      <c r="LCS1812" s="591"/>
      <c r="LCT1812" s="592"/>
      <c r="LCU1812" s="593"/>
      <c r="LCV1812" s="591"/>
      <c r="LCW1812" s="591"/>
      <c r="LCX1812" s="591"/>
      <c r="LCY1812" s="592"/>
      <c r="LCZ1812" s="593"/>
      <c r="LDA1812" s="594"/>
      <c r="LDB1812" s="590"/>
      <c r="LDC1812" s="591"/>
      <c r="LDD1812" s="591"/>
      <c r="LDE1812" s="591"/>
      <c r="LDF1812" s="591"/>
      <c r="LDG1812" s="591"/>
      <c r="LDH1812" s="591"/>
      <c r="LDI1812" s="560"/>
      <c r="LDJ1812" s="560"/>
      <c r="LDK1812" s="592"/>
      <c r="LDL1812" s="594"/>
      <c r="LDM1812" s="593"/>
      <c r="LDN1812" s="595"/>
      <c r="LDO1812" s="542"/>
      <c r="LDP1812" s="542"/>
      <c r="LDQ1812" s="542"/>
      <c r="LDR1812" s="542"/>
      <c r="LDS1812" s="542"/>
      <c r="LDT1812" s="547"/>
      <c r="LDU1812" s="544"/>
      <c r="LDV1812" s="545"/>
      <c r="LDW1812" s="545"/>
      <c r="LDX1812" s="545"/>
      <c r="LDY1812" s="652"/>
      <c r="LDZ1812" s="582"/>
      <c r="LEA1812" s="582"/>
      <c r="LEB1812" s="629"/>
      <c r="LEC1812" s="630"/>
      <c r="LED1812" s="630"/>
      <c r="LEE1812" s="630"/>
      <c r="LEF1812" s="630"/>
      <c r="LEG1812" s="631"/>
      <c r="LEH1812" s="587"/>
      <c r="LEI1812" s="569"/>
      <c r="LEJ1812" s="582"/>
      <c r="LEK1812" s="587"/>
      <c r="LEL1812" s="569"/>
      <c r="LEM1812" s="569"/>
      <c r="LEN1812" s="569"/>
      <c r="LEO1812" s="582"/>
      <c r="LEP1812" s="587"/>
      <c r="LEQ1812" s="582"/>
      <c r="LER1812" s="587"/>
      <c r="LES1812" s="569"/>
      <c r="LET1812" s="569"/>
      <c r="LEU1812" s="569"/>
      <c r="LEV1812" s="618"/>
      <c r="LEW1812" s="653"/>
      <c r="LEX1812" s="545"/>
      <c r="LEY1812" s="651"/>
      <c r="LEZ1812" s="653"/>
      <c r="LFA1812" s="591"/>
      <c r="LFB1812" s="653"/>
      <c r="LFC1812" s="654"/>
      <c r="LFD1812" s="555"/>
      <c r="LFE1812" s="556"/>
      <c r="LFF1812" s="633"/>
      <c r="LFG1812" s="634"/>
      <c r="LFH1812" s="635"/>
      <c r="LFI1812" s="560"/>
      <c r="LFJ1812" s="589"/>
      <c r="LFK1812" s="636"/>
      <c r="LFL1812" s="559"/>
      <c r="LFM1812" s="557"/>
      <c r="LFN1812" s="558"/>
      <c r="LFO1812" s="590"/>
      <c r="LFP1812" s="591"/>
      <c r="LFQ1812" s="591"/>
      <c r="LFR1812" s="592"/>
      <c r="LFS1812" s="593"/>
      <c r="LFT1812" s="591"/>
      <c r="LFU1812" s="591"/>
      <c r="LFV1812" s="591"/>
      <c r="LFW1812" s="592"/>
      <c r="LFX1812" s="593"/>
      <c r="LFY1812" s="594"/>
      <c r="LFZ1812" s="590"/>
      <c r="LGA1812" s="591"/>
      <c r="LGB1812" s="591"/>
      <c r="LGC1812" s="591"/>
      <c r="LGD1812" s="591"/>
      <c r="LGE1812" s="591"/>
      <c r="LGF1812" s="591"/>
      <c r="LGG1812" s="560"/>
      <c r="LGH1812" s="560"/>
      <c r="LGI1812" s="592"/>
      <c r="LGJ1812" s="594"/>
      <c r="LGK1812" s="593"/>
      <c r="LGL1812" s="595"/>
      <c r="LGM1812" s="542"/>
      <c r="LGN1812" s="542"/>
      <c r="LGO1812" s="542"/>
      <c r="LGP1812" s="542"/>
      <c r="LGQ1812" s="542"/>
      <c r="LGR1812" s="547"/>
      <c r="LGS1812" s="544"/>
      <c r="LGT1812" s="545"/>
      <c r="LGU1812" s="545"/>
      <c r="LGV1812" s="545"/>
      <c r="LGW1812" s="652"/>
      <c r="LGX1812" s="582"/>
      <c r="LGY1812" s="582"/>
      <c r="LGZ1812" s="629"/>
      <c r="LHA1812" s="630"/>
      <c r="LHB1812" s="630"/>
      <c r="LHC1812" s="630"/>
      <c r="LHD1812" s="630"/>
      <c r="LHE1812" s="631"/>
      <c r="LHF1812" s="587"/>
      <c r="LHG1812" s="569"/>
      <c r="LHH1812" s="582"/>
      <c r="LHI1812" s="587"/>
      <c r="LHJ1812" s="569"/>
      <c r="LHK1812" s="569"/>
      <c r="LHL1812" s="569"/>
      <c r="LHM1812" s="582"/>
      <c r="LHN1812" s="587"/>
      <c r="LHO1812" s="582"/>
      <c r="LHP1812" s="587"/>
      <c r="LHQ1812" s="569"/>
      <c r="LHR1812" s="569"/>
      <c r="LHS1812" s="569"/>
      <c r="LHT1812" s="618"/>
      <c r="LHU1812" s="653"/>
      <c r="LHV1812" s="545"/>
      <c r="LHW1812" s="651"/>
      <c r="LHX1812" s="653"/>
      <c r="LHY1812" s="591"/>
      <c r="LHZ1812" s="653"/>
      <c r="LIA1812" s="654"/>
      <c r="LIB1812" s="555"/>
      <c r="LIC1812" s="556"/>
      <c r="LID1812" s="633"/>
      <c r="LIE1812" s="634"/>
      <c r="LIF1812" s="635"/>
      <c r="LIG1812" s="560"/>
      <c r="LIH1812" s="589"/>
      <c r="LII1812" s="636"/>
      <c r="LIJ1812" s="559"/>
      <c r="LIK1812" s="557"/>
      <c r="LIL1812" s="558"/>
      <c r="LIM1812" s="590"/>
      <c r="LIN1812" s="591"/>
      <c r="LIO1812" s="591"/>
      <c r="LIP1812" s="592"/>
      <c r="LIQ1812" s="593"/>
      <c r="LIR1812" s="591"/>
      <c r="LIS1812" s="591"/>
      <c r="LIT1812" s="591"/>
      <c r="LIU1812" s="592"/>
      <c r="LIV1812" s="593"/>
      <c r="LIW1812" s="594"/>
      <c r="LIX1812" s="590"/>
      <c r="LIY1812" s="591"/>
      <c r="LIZ1812" s="591"/>
      <c r="LJA1812" s="591"/>
      <c r="LJB1812" s="591"/>
      <c r="LJC1812" s="591"/>
      <c r="LJD1812" s="591"/>
      <c r="LJE1812" s="560"/>
      <c r="LJF1812" s="560"/>
      <c r="LJG1812" s="592"/>
      <c r="LJH1812" s="594"/>
      <c r="LJI1812" s="593"/>
      <c r="LJJ1812" s="595"/>
      <c r="LJK1812" s="542"/>
      <c r="LJL1812" s="542"/>
      <c r="LJM1812" s="542"/>
      <c r="LJN1812" s="542"/>
      <c r="LJO1812" s="542"/>
      <c r="LJP1812" s="547"/>
      <c r="LJQ1812" s="544"/>
      <c r="LJR1812" s="545"/>
      <c r="LJS1812" s="545"/>
      <c r="LJT1812" s="545"/>
      <c r="LJU1812" s="652"/>
      <c r="LJV1812" s="582"/>
      <c r="LJW1812" s="582"/>
      <c r="LJX1812" s="629"/>
      <c r="LJY1812" s="630"/>
      <c r="LJZ1812" s="630"/>
      <c r="LKA1812" s="630"/>
      <c r="LKB1812" s="630"/>
      <c r="LKC1812" s="631"/>
      <c r="LKD1812" s="587"/>
      <c r="LKE1812" s="569"/>
      <c r="LKF1812" s="582"/>
      <c r="LKG1812" s="587"/>
      <c r="LKH1812" s="569"/>
      <c r="LKI1812" s="569"/>
      <c r="LKJ1812" s="569"/>
      <c r="LKK1812" s="582"/>
      <c r="LKL1812" s="587"/>
      <c r="LKM1812" s="582"/>
      <c r="LKN1812" s="587"/>
      <c r="LKO1812" s="569"/>
      <c r="LKP1812" s="569"/>
      <c r="LKQ1812" s="569"/>
      <c r="LKR1812" s="618"/>
      <c r="LKS1812" s="653"/>
      <c r="LKT1812" s="545"/>
      <c r="LKU1812" s="651"/>
      <c r="LKV1812" s="653"/>
      <c r="LKW1812" s="591"/>
      <c r="LKX1812" s="653"/>
      <c r="LKY1812" s="654"/>
      <c r="LKZ1812" s="555"/>
      <c r="LLA1812" s="556"/>
      <c r="LLB1812" s="633"/>
      <c r="LLC1812" s="634"/>
      <c r="LLD1812" s="635"/>
      <c r="LLE1812" s="560"/>
      <c r="LLF1812" s="589"/>
      <c r="LLG1812" s="636"/>
      <c r="LLH1812" s="559"/>
      <c r="LLI1812" s="557"/>
      <c r="LLJ1812" s="558"/>
      <c r="LLK1812" s="590"/>
      <c r="LLL1812" s="591"/>
      <c r="LLM1812" s="591"/>
      <c r="LLN1812" s="592"/>
      <c r="LLO1812" s="593"/>
      <c r="LLP1812" s="591"/>
      <c r="LLQ1812" s="591"/>
      <c r="LLR1812" s="591"/>
      <c r="LLS1812" s="592"/>
      <c r="LLT1812" s="593"/>
      <c r="LLU1812" s="594"/>
      <c r="LLV1812" s="590"/>
      <c r="LLW1812" s="591"/>
      <c r="LLX1812" s="591"/>
      <c r="LLY1812" s="591"/>
      <c r="LLZ1812" s="591"/>
      <c r="LMA1812" s="591"/>
      <c r="LMB1812" s="591"/>
      <c r="LMC1812" s="560"/>
      <c r="LMD1812" s="560"/>
      <c r="LME1812" s="592"/>
      <c r="LMF1812" s="594"/>
      <c r="LMG1812" s="593"/>
      <c r="LMH1812" s="595"/>
      <c r="LMI1812" s="542"/>
      <c r="LMJ1812" s="542"/>
      <c r="LMK1812" s="542"/>
      <c r="LML1812" s="542"/>
      <c r="LMM1812" s="542"/>
      <c r="LMN1812" s="547"/>
      <c r="LMO1812" s="544"/>
      <c r="LMP1812" s="545"/>
      <c r="LMQ1812" s="545"/>
      <c r="LMR1812" s="545"/>
      <c r="LMS1812" s="652"/>
      <c r="LMT1812" s="582"/>
      <c r="LMU1812" s="582"/>
      <c r="LMV1812" s="629"/>
      <c r="LMW1812" s="630"/>
      <c r="LMX1812" s="630"/>
      <c r="LMY1812" s="630"/>
      <c r="LMZ1812" s="630"/>
      <c r="LNA1812" s="631"/>
      <c r="LNB1812" s="587"/>
      <c r="LNC1812" s="569"/>
      <c r="LND1812" s="582"/>
      <c r="LNE1812" s="587"/>
      <c r="LNF1812" s="569"/>
      <c r="LNG1812" s="569"/>
      <c r="LNH1812" s="569"/>
      <c r="LNI1812" s="582"/>
      <c r="LNJ1812" s="587"/>
      <c r="LNK1812" s="582"/>
      <c r="LNL1812" s="587"/>
      <c r="LNM1812" s="569"/>
      <c r="LNN1812" s="569"/>
      <c r="LNO1812" s="569"/>
      <c r="LNP1812" s="618"/>
      <c r="LNQ1812" s="653"/>
      <c r="LNR1812" s="545"/>
      <c r="LNS1812" s="651"/>
      <c r="LNT1812" s="653"/>
      <c r="LNU1812" s="591"/>
      <c r="LNV1812" s="653"/>
      <c r="LNW1812" s="654"/>
      <c r="LNX1812" s="555"/>
      <c r="LNY1812" s="556"/>
      <c r="LNZ1812" s="633"/>
      <c r="LOA1812" s="634"/>
      <c r="LOB1812" s="635"/>
      <c r="LOC1812" s="560"/>
      <c r="LOD1812" s="589"/>
      <c r="LOE1812" s="636"/>
      <c r="LOF1812" s="559"/>
      <c r="LOG1812" s="557"/>
      <c r="LOH1812" s="558"/>
      <c r="LOI1812" s="590"/>
      <c r="LOJ1812" s="591"/>
      <c r="LOK1812" s="591"/>
      <c r="LOL1812" s="592"/>
      <c r="LOM1812" s="593"/>
      <c r="LON1812" s="591"/>
      <c r="LOO1812" s="591"/>
      <c r="LOP1812" s="591"/>
      <c r="LOQ1812" s="592"/>
      <c r="LOR1812" s="593"/>
      <c r="LOS1812" s="594"/>
      <c r="LOT1812" s="590"/>
      <c r="LOU1812" s="591"/>
      <c r="LOV1812" s="591"/>
      <c r="LOW1812" s="591"/>
      <c r="LOX1812" s="591"/>
      <c r="LOY1812" s="591"/>
      <c r="LOZ1812" s="591"/>
      <c r="LPA1812" s="560"/>
      <c r="LPB1812" s="560"/>
      <c r="LPC1812" s="592"/>
      <c r="LPD1812" s="594"/>
      <c r="LPE1812" s="593"/>
      <c r="LPF1812" s="595"/>
      <c r="LPG1812" s="542"/>
      <c r="LPH1812" s="542"/>
      <c r="LPI1812" s="542"/>
      <c r="LPJ1812" s="542"/>
      <c r="LPK1812" s="542"/>
      <c r="LPL1812" s="547"/>
      <c r="LPM1812" s="544"/>
      <c r="LPN1812" s="545"/>
      <c r="LPO1812" s="545"/>
      <c r="LPP1812" s="545"/>
      <c r="LPQ1812" s="652"/>
      <c r="LPR1812" s="582"/>
      <c r="LPS1812" s="582"/>
      <c r="LPT1812" s="629"/>
      <c r="LPU1812" s="630"/>
      <c r="LPV1812" s="630"/>
      <c r="LPW1812" s="630"/>
      <c r="LPX1812" s="630"/>
      <c r="LPY1812" s="631"/>
      <c r="LPZ1812" s="587"/>
      <c r="LQA1812" s="569"/>
      <c r="LQB1812" s="582"/>
      <c r="LQC1812" s="587"/>
      <c r="LQD1812" s="569"/>
      <c r="LQE1812" s="569"/>
      <c r="LQF1812" s="569"/>
      <c r="LQG1812" s="582"/>
      <c r="LQH1812" s="587"/>
      <c r="LQI1812" s="582"/>
      <c r="LQJ1812" s="587"/>
      <c r="LQK1812" s="569"/>
      <c r="LQL1812" s="569"/>
      <c r="LQM1812" s="569"/>
      <c r="LQN1812" s="618"/>
      <c r="LQO1812" s="653"/>
      <c r="LQP1812" s="545"/>
      <c r="LQQ1812" s="651"/>
      <c r="LQR1812" s="653"/>
      <c r="LQS1812" s="591"/>
      <c r="LQT1812" s="653"/>
      <c r="LQU1812" s="654"/>
      <c r="LQV1812" s="555"/>
      <c r="LQW1812" s="556"/>
      <c r="LQX1812" s="633"/>
      <c r="LQY1812" s="634"/>
      <c r="LQZ1812" s="635"/>
      <c r="LRA1812" s="560"/>
      <c r="LRB1812" s="589"/>
      <c r="LRC1812" s="636"/>
      <c r="LRD1812" s="559"/>
      <c r="LRE1812" s="557"/>
      <c r="LRF1812" s="558"/>
      <c r="LRG1812" s="590"/>
      <c r="LRH1812" s="591"/>
      <c r="LRI1812" s="591"/>
      <c r="LRJ1812" s="592"/>
      <c r="LRK1812" s="593"/>
      <c r="LRL1812" s="591"/>
      <c r="LRM1812" s="591"/>
      <c r="LRN1812" s="591"/>
      <c r="LRO1812" s="592"/>
      <c r="LRP1812" s="593"/>
      <c r="LRQ1812" s="594"/>
      <c r="LRR1812" s="590"/>
      <c r="LRS1812" s="591"/>
      <c r="LRT1812" s="591"/>
      <c r="LRU1812" s="591"/>
      <c r="LRV1812" s="591"/>
      <c r="LRW1812" s="591"/>
      <c r="LRX1812" s="591"/>
      <c r="LRY1812" s="560"/>
      <c r="LRZ1812" s="560"/>
      <c r="LSA1812" s="592"/>
      <c r="LSB1812" s="594"/>
      <c r="LSC1812" s="593"/>
      <c r="LSD1812" s="595"/>
      <c r="LSE1812" s="542"/>
      <c r="LSF1812" s="542"/>
      <c r="LSG1812" s="542"/>
      <c r="LSH1812" s="542"/>
      <c r="LSI1812" s="542"/>
      <c r="LSJ1812" s="547"/>
      <c r="LSK1812" s="544"/>
      <c r="LSL1812" s="545"/>
      <c r="LSM1812" s="545"/>
      <c r="LSN1812" s="545"/>
      <c r="LSO1812" s="652"/>
      <c r="LSP1812" s="582"/>
      <c r="LSQ1812" s="582"/>
      <c r="LSR1812" s="629"/>
      <c r="LSS1812" s="630"/>
      <c r="LST1812" s="630"/>
      <c r="LSU1812" s="630"/>
      <c r="LSV1812" s="630"/>
      <c r="LSW1812" s="631"/>
      <c r="LSX1812" s="587"/>
      <c r="LSY1812" s="569"/>
      <c r="LSZ1812" s="582"/>
      <c r="LTA1812" s="587"/>
      <c r="LTB1812" s="569"/>
      <c r="LTC1812" s="569"/>
      <c r="LTD1812" s="569"/>
      <c r="LTE1812" s="582"/>
      <c r="LTF1812" s="587"/>
      <c r="LTG1812" s="582"/>
      <c r="LTH1812" s="587"/>
      <c r="LTI1812" s="569"/>
      <c r="LTJ1812" s="569"/>
      <c r="LTK1812" s="569"/>
      <c r="LTL1812" s="618"/>
      <c r="LTM1812" s="653"/>
      <c r="LTN1812" s="545"/>
      <c r="LTO1812" s="651"/>
      <c r="LTP1812" s="653"/>
      <c r="LTQ1812" s="591"/>
      <c r="LTR1812" s="653"/>
      <c r="LTS1812" s="654"/>
      <c r="LTT1812" s="555"/>
      <c r="LTU1812" s="556"/>
      <c r="LTV1812" s="633"/>
      <c r="LTW1812" s="634"/>
      <c r="LTX1812" s="635"/>
      <c r="LTY1812" s="560"/>
      <c r="LTZ1812" s="589"/>
      <c r="LUA1812" s="636"/>
      <c r="LUB1812" s="559"/>
      <c r="LUC1812" s="557"/>
      <c r="LUD1812" s="558"/>
      <c r="LUE1812" s="590"/>
      <c r="LUF1812" s="591"/>
      <c r="LUG1812" s="591"/>
      <c r="LUH1812" s="592"/>
      <c r="LUI1812" s="593"/>
      <c r="LUJ1812" s="591"/>
      <c r="LUK1812" s="591"/>
      <c r="LUL1812" s="591"/>
      <c r="LUM1812" s="592"/>
      <c r="LUN1812" s="593"/>
      <c r="LUO1812" s="594"/>
      <c r="LUP1812" s="590"/>
      <c r="LUQ1812" s="591"/>
      <c r="LUR1812" s="591"/>
      <c r="LUS1812" s="591"/>
      <c r="LUT1812" s="591"/>
      <c r="LUU1812" s="591"/>
      <c r="LUV1812" s="591"/>
      <c r="LUW1812" s="560"/>
      <c r="LUX1812" s="560"/>
      <c r="LUY1812" s="592"/>
      <c r="LUZ1812" s="594"/>
      <c r="LVA1812" s="593"/>
      <c r="LVB1812" s="595"/>
      <c r="LVC1812" s="542"/>
      <c r="LVD1812" s="542"/>
      <c r="LVE1812" s="542"/>
      <c r="LVF1812" s="542"/>
      <c r="LVG1812" s="542"/>
      <c r="LVH1812" s="547"/>
      <c r="LVI1812" s="544"/>
      <c r="LVJ1812" s="545"/>
      <c r="LVK1812" s="545"/>
      <c r="LVL1812" s="545"/>
      <c r="LVM1812" s="652"/>
      <c r="LVN1812" s="582"/>
      <c r="LVO1812" s="582"/>
      <c r="LVP1812" s="629"/>
      <c r="LVQ1812" s="630"/>
      <c r="LVR1812" s="630"/>
      <c r="LVS1812" s="630"/>
      <c r="LVT1812" s="630"/>
      <c r="LVU1812" s="631"/>
      <c r="LVV1812" s="587"/>
      <c r="LVW1812" s="569"/>
      <c r="LVX1812" s="582"/>
      <c r="LVY1812" s="587"/>
      <c r="LVZ1812" s="569"/>
      <c r="LWA1812" s="569"/>
      <c r="LWB1812" s="569"/>
      <c r="LWC1812" s="582"/>
      <c r="LWD1812" s="587"/>
      <c r="LWE1812" s="582"/>
      <c r="LWF1812" s="587"/>
      <c r="LWG1812" s="569"/>
      <c r="LWH1812" s="569"/>
      <c r="LWI1812" s="569"/>
      <c r="LWJ1812" s="618"/>
      <c r="LWK1812" s="653"/>
      <c r="LWL1812" s="545"/>
      <c r="LWM1812" s="651"/>
      <c r="LWN1812" s="653"/>
      <c r="LWO1812" s="591"/>
      <c r="LWP1812" s="653"/>
      <c r="LWQ1812" s="654"/>
      <c r="LWR1812" s="555"/>
      <c r="LWS1812" s="556"/>
      <c r="LWT1812" s="633"/>
      <c r="LWU1812" s="634"/>
      <c r="LWV1812" s="635"/>
      <c r="LWW1812" s="560"/>
      <c r="LWX1812" s="589"/>
      <c r="LWY1812" s="636"/>
      <c r="LWZ1812" s="559"/>
      <c r="LXA1812" s="557"/>
      <c r="LXB1812" s="558"/>
      <c r="LXC1812" s="590"/>
      <c r="LXD1812" s="591"/>
      <c r="LXE1812" s="591"/>
      <c r="LXF1812" s="592"/>
      <c r="LXG1812" s="593"/>
      <c r="LXH1812" s="591"/>
      <c r="LXI1812" s="591"/>
      <c r="LXJ1812" s="591"/>
      <c r="LXK1812" s="592"/>
      <c r="LXL1812" s="593"/>
      <c r="LXM1812" s="594"/>
      <c r="LXN1812" s="590"/>
      <c r="LXO1812" s="591"/>
      <c r="LXP1812" s="591"/>
      <c r="LXQ1812" s="591"/>
      <c r="LXR1812" s="591"/>
      <c r="LXS1812" s="591"/>
      <c r="LXT1812" s="591"/>
      <c r="LXU1812" s="560"/>
      <c r="LXV1812" s="560"/>
      <c r="LXW1812" s="592"/>
      <c r="LXX1812" s="594"/>
      <c r="LXY1812" s="593"/>
      <c r="LXZ1812" s="595"/>
      <c r="LYA1812" s="542"/>
      <c r="LYB1812" s="542"/>
      <c r="LYC1812" s="542"/>
      <c r="LYD1812" s="542"/>
      <c r="LYE1812" s="542"/>
      <c r="LYF1812" s="547"/>
      <c r="LYG1812" s="544"/>
      <c r="LYH1812" s="545"/>
      <c r="LYI1812" s="545"/>
      <c r="LYJ1812" s="545"/>
      <c r="LYK1812" s="652"/>
      <c r="LYL1812" s="582"/>
      <c r="LYM1812" s="582"/>
      <c r="LYN1812" s="629"/>
      <c r="LYO1812" s="630"/>
      <c r="LYP1812" s="630"/>
      <c r="LYQ1812" s="630"/>
      <c r="LYR1812" s="630"/>
      <c r="LYS1812" s="631"/>
      <c r="LYT1812" s="587"/>
      <c r="LYU1812" s="569"/>
      <c r="LYV1812" s="582"/>
      <c r="LYW1812" s="587"/>
      <c r="LYX1812" s="569"/>
      <c r="LYY1812" s="569"/>
      <c r="LYZ1812" s="569"/>
      <c r="LZA1812" s="582"/>
      <c r="LZB1812" s="587"/>
      <c r="LZC1812" s="582"/>
      <c r="LZD1812" s="587"/>
      <c r="LZE1812" s="569"/>
      <c r="LZF1812" s="569"/>
      <c r="LZG1812" s="569"/>
      <c r="LZH1812" s="618"/>
      <c r="LZI1812" s="653"/>
      <c r="LZJ1812" s="545"/>
      <c r="LZK1812" s="651"/>
      <c r="LZL1812" s="653"/>
      <c r="LZM1812" s="591"/>
      <c r="LZN1812" s="653"/>
      <c r="LZO1812" s="654"/>
      <c r="LZP1812" s="555"/>
      <c r="LZQ1812" s="556"/>
      <c r="LZR1812" s="633"/>
      <c r="LZS1812" s="634"/>
      <c r="LZT1812" s="635"/>
      <c r="LZU1812" s="560"/>
      <c r="LZV1812" s="589"/>
      <c r="LZW1812" s="636"/>
      <c r="LZX1812" s="559"/>
      <c r="LZY1812" s="557"/>
      <c r="LZZ1812" s="558"/>
      <c r="MAA1812" s="590"/>
      <c r="MAB1812" s="591"/>
      <c r="MAC1812" s="591"/>
      <c r="MAD1812" s="592"/>
      <c r="MAE1812" s="593"/>
      <c r="MAF1812" s="591"/>
      <c r="MAG1812" s="591"/>
      <c r="MAH1812" s="591"/>
      <c r="MAI1812" s="592"/>
      <c r="MAJ1812" s="593"/>
      <c r="MAK1812" s="594"/>
      <c r="MAL1812" s="590"/>
      <c r="MAM1812" s="591"/>
      <c r="MAN1812" s="591"/>
      <c r="MAO1812" s="591"/>
      <c r="MAP1812" s="591"/>
      <c r="MAQ1812" s="591"/>
      <c r="MAR1812" s="591"/>
      <c r="MAS1812" s="560"/>
      <c r="MAT1812" s="560"/>
      <c r="MAU1812" s="592"/>
      <c r="MAV1812" s="594"/>
      <c r="MAW1812" s="593"/>
      <c r="MAX1812" s="595"/>
      <c r="MAY1812" s="542"/>
      <c r="MAZ1812" s="542"/>
      <c r="MBA1812" s="542"/>
      <c r="MBB1812" s="542"/>
      <c r="MBC1812" s="542"/>
      <c r="MBD1812" s="547"/>
      <c r="MBE1812" s="544"/>
      <c r="MBF1812" s="545"/>
      <c r="MBG1812" s="545"/>
      <c r="MBH1812" s="545"/>
      <c r="MBI1812" s="652"/>
      <c r="MBJ1812" s="582"/>
      <c r="MBK1812" s="582"/>
      <c r="MBL1812" s="629"/>
      <c r="MBM1812" s="630"/>
      <c r="MBN1812" s="630"/>
      <c r="MBO1812" s="630"/>
      <c r="MBP1812" s="630"/>
      <c r="MBQ1812" s="631"/>
      <c r="MBR1812" s="587"/>
      <c r="MBS1812" s="569"/>
      <c r="MBT1812" s="582"/>
      <c r="MBU1812" s="587"/>
      <c r="MBV1812" s="569"/>
      <c r="MBW1812" s="569"/>
      <c r="MBX1812" s="569"/>
      <c r="MBY1812" s="582"/>
      <c r="MBZ1812" s="587"/>
      <c r="MCA1812" s="582"/>
      <c r="MCB1812" s="587"/>
      <c r="MCC1812" s="569"/>
      <c r="MCD1812" s="569"/>
      <c r="MCE1812" s="569"/>
      <c r="MCF1812" s="618"/>
      <c r="MCG1812" s="653"/>
      <c r="MCH1812" s="545"/>
      <c r="MCI1812" s="651"/>
      <c r="MCJ1812" s="653"/>
      <c r="MCK1812" s="591"/>
      <c r="MCL1812" s="653"/>
      <c r="MCM1812" s="654"/>
      <c r="MCN1812" s="555"/>
      <c r="MCO1812" s="556"/>
      <c r="MCP1812" s="633"/>
      <c r="MCQ1812" s="634"/>
      <c r="MCR1812" s="635"/>
      <c r="MCS1812" s="560"/>
      <c r="MCT1812" s="589"/>
      <c r="MCU1812" s="636"/>
      <c r="MCV1812" s="559"/>
      <c r="MCW1812" s="557"/>
      <c r="MCX1812" s="558"/>
      <c r="MCY1812" s="590"/>
      <c r="MCZ1812" s="591"/>
      <c r="MDA1812" s="591"/>
      <c r="MDB1812" s="592"/>
      <c r="MDC1812" s="593"/>
      <c r="MDD1812" s="591"/>
      <c r="MDE1812" s="591"/>
      <c r="MDF1812" s="591"/>
      <c r="MDG1812" s="592"/>
      <c r="MDH1812" s="593"/>
      <c r="MDI1812" s="594"/>
      <c r="MDJ1812" s="590"/>
      <c r="MDK1812" s="591"/>
      <c r="MDL1812" s="591"/>
      <c r="MDM1812" s="591"/>
      <c r="MDN1812" s="591"/>
      <c r="MDO1812" s="591"/>
      <c r="MDP1812" s="591"/>
      <c r="MDQ1812" s="560"/>
      <c r="MDR1812" s="560"/>
      <c r="MDS1812" s="592"/>
      <c r="MDT1812" s="594"/>
      <c r="MDU1812" s="593"/>
      <c r="MDV1812" s="595"/>
      <c r="MDW1812" s="542"/>
      <c r="MDX1812" s="542"/>
      <c r="MDY1812" s="542"/>
      <c r="MDZ1812" s="542"/>
      <c r="MEA1812" s="542"/>
      <c r="MEB1812" s="547"/>
      <c r="MEC1812" s="544"/>
      <c r="MED1812" s="545"/>
      <c r="MEE1812" s="545"/>
      <c r="MEF1812" s="545"/>
      <c r="MEG1812" s="652"/>
      <c r="MEH1812" s="582"/>
      <c r="MEI1812" s="582"/>
      <c r="MEJ1812" s="629"/>
      <c r="MEK1812" s="630"/>
      <c r="MEL1812" s="630"/>
      <c r="MEM1812" s="630"/>
      <c r="MEN1812" s="630"/>
      <c r="MEO1812" s="631"/>
      <c r="MEP1812" s="587"/>
      <c r="MEQ1812" s="569"/>
      <c r="MER1812" s="582"/>
      <c r="MES1812" s="587"/>
      <c r="MET1812" s="569"/>
      <c r="MEU1812" s="569"/>
      <c r="MEV1812" s="569"/>
      <c r="MEW1812" s="582"/>
      <c r="MEX1812" s="587"/>
      <c r="MEY1812" s="582"/>
      <c r="MEZ1812" s="587"/>
      <c r="MFA1812" s="569"/>
      <c r="MFB1812" s="569"/>
      <c r="MFC1812" s="569"/>
      <c r="MFD1812" s="618"/>
      <c r="MFE1812" s="653"/>
      <c r="MFF1812" s="545"/>
      <c r="MFG1812" s="651"/>
      <c r="MFH1812" s="653"/>
      <c r="MFI1812" s="591"/>
      <c r="MFJ1812" s="653"/>
      <c r="MFK1812" s="654"/>
      <c r="MFL1812" s="555"/>
      <c r="MFM1812" s="556"/>
      <c r="MFN1812" s="633"/>
      <c r="MFO1812" s="634"/>
      <c r="MFP1812" s="635"/>
      <c r="MFQ1812" s="560"/>
      <c r="MFR1812" s="589"/>
      <c r="MFS1812" s="636"/>
      <c r="MFT1812" s="559"/>
      <c r="MFU1812" s="557"/>
      <c r="MFV1812" s="558"/>
      <c r="MFW1812" s="590"/>
      <c r="MFX1812" s="591"/>
      <c r="MFY1812" s="591"/>
      <c r="MFZ1812" s="592"/>
      <c r="MGA1812" s="593"/>
      <c r="MGB1812" s="591"/>
      <c r="MGC1812" s="591"/>
      <c r="MGD1812" s="591"/>
      <c r="MGE1812" s="592"/>
      <c r="MGF1812" s="593"/>
      <c r="MGG1812" s="594"/>
      <c r="MGH1812" s="590"/>
      <c r="MGI1812" s="591"/>
      <c r="MGJ1812" s="591"/>
      <c r="MGK1812" s="591"/>
      <c r="MGL1812" s="591"/>
      <c r="MGM1812" s="591"/>
      <c r="MGN1812" s="591"/>
      <c r="MGO1812" s="560"/>
      <c r="MGP1812" s="560"/>
      <c r="MGQ1812" s="592"/>
      <c r="MGR1812" s="594"/>
      <c r="MGS1812" s="593"/>
      <c r="MGT1812" s="595"/>
      <c r="MGU1812" s="542"/>
      <c r="MGV1812" s="542"/>
      <c r="MGW1812" s="542"/>
      <c r="MGX1812" s="542"/>
      <c r="MGY1812" s="542"/>
      <c r="MGZ1812" s="547"/>
      <c r="MHA1812" s="544"/>
      <c r="MHB1812" s="545"/>
      <c r="MHC1812" s="545"/>
      <c r="MHD1812" s="545"/>
      <c r="MHE1812" s="652"/>
      <c r="MHF1812" s="582"/>
      <c r="MHG1812" s="582"/>
      <c r="MHH1812" s="629"/>
      <c r="MHI1812" s="630"/>
      <c r="MHJ1812" s="630"/>
      <c r="MHK1812" s="630"/>
      <c r="MHL1812" s="630"/>
      <c r="MHM1812" s="631"/>
      <c r="MHN1812" s="587"/>
      <c r="MHO1812" s="569"/>
      <c r="MHP1812" s="582"/>
      <c r="MHQ1812" s="587"/>
      <c r="MHR1812" s="569"/>
      <c r="MHS1812" s="569"/>
      <c r="MHT1812" s="569"/>
      <c r="MHU1812" s="582"/>
      <c r="MHV1812" s="587"/>
      <c r="MHW1812" s="582"/>
      <c r="MHX1812" s="587"/>
      <c r="MHY1812" s="569"/>
      <c r="MHZ1812" s="569"/>
      <c r="MIA1812" s="569"/>
      <c r="MIB1812" s="618"/>
      <c r="MIC1812" s="653"/>
      <c r="MID1812" s="545"/>
      <c r="MIE1812" s="651"/>
      <c r="MIF1812" s="653"/>
      <c r="MIG1812" s="591"/>
      <c r="MIH1812" s="653"/>
      <c r="MII1812" s="654"/>
      <c r="MIJ1812" s="555"/>
      <c r="MIK1812" s="556"/>
      <c r="MIL1812" s="633"/>
      <c r="MIM1812" s="634"/>
      <c r="MIN1812" s="635"/>
      <c r="MIO1812" s="560"/>
      <c r="MIP1812" s="589"/>
      <c r="MIQ1812" s="636"/>
      <c r="MIR1812" s="559"/>
      <c r="MIS1812" s="557"/>
      <c r="MIT1812" s="558"/>
      <c r="MIU1812" s="590"/>
      <c r="MIV1812" s="591"/>
      <c r="MIW1812" s="591"/>
      <c r="MIX1812" s="592"/>
      <c r="MIY1812" s="593"/>
      <c r="MIZ1812" s="591"/>
      <c r="MJA1812" s="591"/>
      <c r="MJB1812" s="591"/>
      <c r="MJC1812" s="592"/>
      <c r="MJD1812" s="593"/>
      <c r="MJE1812" s="594"/>
      <c r="MJF1812" s="590"/>
      <c r="MJG1812" s="591"/>
      <c r="MJH1812" s="591"/>
      <c r="MJI1812" s="591"/>
      <c r="MJJ1812" s="591"/>
      <c r="MJK1812" s="591"/>
      <c r="MJL1812" s="591"/>
      <c r="MJM1812" s="560"/>
      <c r="MJN1812" s="560"/>
      <c r="MJO1812" s="592"/>
      <c r="MJP1812" s="594"/>
      <c r="MJQ1812" s="593"/>
      <c r="MJR1812" s="595"/>
      <c r="MJS1812" s="542"/>
      <c r="MJT1812" s="542"/>
      <c r="MJU1812" s="542"/>
      <c r="MJV1812" s="542"/>
      <c r="MJW1812" s="542"/>
      <c r="MJX1812" s="547"/>
      <c r="MJY1812" s="544"/>
      <c r="MJZ1812" s="545"/>
      <c r="MKA1812" s="545"/>
      <c r="MKB1812" s="545"/>
      <c r="MKC1812" s="652"/>
      <c r="MKD1812" s="582"/>
      <c r="MKE1812" s="582"/>
      <c r="MKF1812" s="629"/>
      <c r="MKG1812" s="630"/>
      <c r="MKH1812" s="630"/>
      <c r="MKI1812" s="630"/>
      <c r="MKJ1812" s="630"/>
      <c r="MKK1812" s="631"/>
      <c r="MKL1812" s="587"/>
      <c r="MKM1812" s="569"/>
      <c r="MKN1812" s="582"/>
      <c r="MKO1812" s="587"/>
      <c r="MKP1812" s="569"/>
      <c r="MKQ1812" s="569"/>
      <c r="MKR1812" s="569"/>
      <c r="MKS1812" s="582"/>
      <c r="MKT1812" s="587"/>
      <c r="MKU1812" s="582"/>
      <c r="MKV1812" s="587"/>
      <c r="MKW1812" s="569"/>
      <c r="MKX1812" s="569"/>
      <c r="MKY1812" s="569"/>
      <c r="MKZ1812" s="618"/>
      <c r="MLA1812" s="653"/>
      <c r="MLB1812" s="545"/>
      <c r="MLC1812" s="651"/>
      <c r="MLD1812" s="653"/>
      <c r="MLE1812" s="591"/>
      <c r="MLF1812" s="653"/>
      <c r="MLG1812" s="654"/>
      <c r="MLH1812" s="555"/>
      <c r="MLI1812" s="556"/>
      <c r="MLJ1812" s="633"/>
      <c r="MLK1812" s="634"/>
      <c r="MLL1812" s="635"/>
      <c r="MLM1812" s="560"/>
      <c r="MLN1812" s="589"/>
      <c r="MLO1812" s="636"/>
      <c r="MLP1812" s="559"/>
      <c r="MLQ1812" s="557"/>
      <c r="MLR1812" s="558"/>
      <c r="MLS1812" s="590"/>
      <c r="MLT1812" s="591"/>
      <c r="MLU1812" s="591"/>
      <c r="MLV1812" s="592"/>
      <c r="MLW1812" s="593"/>
      <c r="MLX1812" s="591"/>
      <c r="MLY1812" s="591"/>
      <c r="MLZ1812" s="591"/>
      <c r="MMA1812" s="592"/>
      <c r="MMB1812" s="593"/>
      <c r="MMC1812" s="594"/>
      <c r="MMD1812" s="590"/>
      <c r="MME1812" s="591"/>
      <c r="MMF1812" s="591"/>
      <c r="MMG1812" s="591"/>
      <c r="MMH1812" s="591"/>
      <c r="MMI1812" s="591"/>
      <c r="MMJ1812" s="591"/>
      <c r="MMK1812" s="560"/>
      <c r="MML1812" s="560"/>
      <c r="MMM1812" s="592"/>
      <c r="MMN1812" s="594"/>
      <c r="MMO1812" s="593"/>
      <c r="MMP1812" s="595"/>
      <c r="MMQ1812" s="542"/>
      <c r="MMR1812" s="542"/>
      <c r="MMS1812" s="542"/>
      <c r="MMT1812" s="542"/>
      <c r="MMU1812" s="542"/>
      <c r="MMV1812" s="547"/>
      <c r="MMW1812" s="544"/>
      <c r="MMX1812" s="545"/>
      <c r="MMY1812" s="545"/>
      <c r="MMZ1812" s="545"/>
      <c r="MNA1812" s="652"/>
      <c r="MNB1812" s="582"/>
      <c r="MNC1812" s="582"/>
      <c r="MND1812" s="629"/>
      <c r="MNE1812" s="630"/>
      <c r="MNF1812" s="630"/>
      <c r="MNG1812" s="630"/>
      <c r="MNH1812" s="630"/>
      <c r="MNI1812" s="631"/>
      <c r="MNJ1812" s="587"/>
      <c r="MNK1812" s="569"/>
      <c r="MNL1812" s="582"/>
      <c r="MNM1812" s="587"/>
      <c r="MNN1812" s="569"/>
      <c r="MNO1812" s="569"/>
      <c r="MNP1812" s="569"/>
      <c r="MNQ1812" s="582"/>
      <c r="MNR1812" s="587"/>
      <c r="MNS1812" s="582"/>
      <c r="MNT1812" s="587"/>
      <c r="MNU1812" s="569"/>
      <c r="MNV1812" s="569"/>
      <c r="MNW1812" s="569"/>
      <c r="MNX1812" s="618"/>
      <c r="MNY1812" s="653"/>
      <c r="MNZ1812" s="545"/>
      <c r="MOA1812" s="651"/>
      <c r="MOB1812" s="653"/>
      <c r="MOC1812" s="591"/>
      <c r="MOD1812" s="653"/>
      <c r="MOE1812" s="654"/>
      <c r="MOF1812" s="555"/>
      <c r="MOG1812" s="556"/>
      <c r="MOH1812" s="633"/>
      <c r="MOI1812" s="634"/>
      <c r="MOJ1812" s="635"/>
      <c r="MOK1812" s="560"/>
      <c r="MOL1812" s="589"/>
      <c r="MOM1812" s="636"/>
      <c r="MON1812" s="559"/>
      <c r="MOO1812" s="557"/>
      <c r="MOP1812" s="558"/>
      <c r="MOQ1812" s="590"/>
      <c r="MOR1812" s="591"/>
      <c r="MOS1812" s="591"/>
      <c r="MOT1812" s="592"/>
      <c r="MOU1812" s="593"/>
      <c r="MOV1812" s="591"/>
      <c r="MOW1812" s="591"/>
      <c r="MOX1812" s="591"/>
      <c r="MOY1812" s="592"/>
      <c r="MOZ1812" s="593"/>
      <c r="MPA1812" s="594"/>
      <c r="MPB1812" s="590"/>
      <c r="MPC1812" s="591"/>
      <c r="MPD1812" s="591"/>
      <c r="MPE1812" s="591"/>
      <c r="MPF1812" s="591"/>
      <c r="MPG1812" s="591"/>
      <c r="MPH1812" s="591"/>
      <c r="MPI1812" s="560"/>
      <c r="MPJ1812" s="560"/>
      <c r="MPK1812" s="592"/>
      <c r="MPL1812" s="594"/>
      <c r="MPM1812" s="593"/>
      <c r="MPN1812" s="595"/>
      <c r="MPO1812" s="542"/>
      <c r="MPP1812" s="542"/>
      <c r="MPQ1812" s="542"/>
      <c r="MPR1812" s="542"/>
      <c r="MPS1812" s="542"/>
      <c r="MPT1812" s="547"/>
      <c r="MPU1812" s="544"/>
      <c r="MPV1812" s="545"/>
      <c r="MPW1812" s="545"/>
      <c r="MPX1812" s="545"/>
      <c r="MPY1812" s="652"/>
      <c r="MPZ1812" s="582"/>
      <c r="MQA1812" s="582"/>
      <c r="MQB1812" s="629"/>
      <c r="MQC1812" s="630"/>
      <c r="MQD1812" s="630"/>
      <c r="MQE1812" s="630"/>
      <c r="MQF1812" s="630"/>
      <c r="MQG1812" s="631"/>
      <c r="MQH1812" s="587"/>
      <c r="MQI1812" s="569"/>
      <c r="MQJ1812" s="582"/>
      <c r="MQK1812" s="587"/>
      <c r="MQL1812" s="569"/>
      <c r="MQM1812" s="569"/>
      <c r="MQN1812" s="569"/>
      <c r="MQO1812" s="582"/>
      <c r="MQP1812" s="587"/>
      <c r="MQQ1812" s="582"/>
      <c r="MQR1812" s="587"/>
      <c r="MQS1812" s="569"/>
      <c r="MQT1812" s="569"/>
      <c r="MQU1812" s="569"/>
      <c r="MQV1812" s="618"/>
      <c r="MQW1812" s="653"/>
      <c r="MQX1812" s="545"/>
      <c r="MQY1812" s="651"/>
      <c r="MQZ1812" s="653"/>
      <c r="MRA1812" s="591"/>
      <c r="MRB1812" s="653"/>
      <c r="MRC1812" s="654"/>
      <c r="MRD1812" s="555"/>
      <c r="MRE1812" s="556"/>
      <c r="MRF1812" s="633"/>
      <c r="MRG1812" s="634"/>
      <c r="MRH1812" s="635"/>
      <c r="MRI1812" s="560"/>
      <c r="MRJ1812" s="589"/>
      <c r="MRK1812" s="636"/>
      <c r="MRL1812" s="559"/>
      <c r="MRM1812" s="557"/>
      <c r="MRN1812" s="558"/>
      <c r="MRO1812" s="590"/>
      <c r="MRP1812" s="591"/>
      <c r="MRQ1812" s="591"/>
      <c r="MRR1812" s="592"/>
      <c r="MRS1812" s="593"/>
      <c r="MRT1812" s="591"/>
      <c r="MRU1812" s="591"/>
      <c r="MRV1812" s="591"/>
      <c r="MRW1812" s="592"/>
      <c r="MRX1812" s="593"/>
      <c r="MRY1812" s="594"/>
      <c r="MRZ1812" s="590"/>
      <c r="MSA1812" s="591"/>
      <c r="MSB1812" s="591"/>
      <c r="MSC1812" s="591"/>
      <c r="MSD1812" s="591"/>
      <c r="MSE1812" s="591"/>
      <c r="MSF1812" s="591"/>
      <c r="MSG1812" s="560"/>
      <c r="MSH1812" s="560"/>
      <c r="MSI1812" s="592"/>
      <c r="MSJ1812" s="594"/>
      <c r="MSK1812" s="593"/>
      <c r="MSL1812" s="595"/>
      <c r="MSM1812" s="542"/>
      <c r="MSN1812" s="542"/>
      <c r="MSO1812" s="542"/>
      <c r="MSP1812" s="542"/>
      <c r="MSQ1812" s="542"/>
      <c r="MSR1812" s="547"/>
      <c r="MSS1812" s="544"/>
      <c r="MST1812" s="545"/>
      <c r="MSU1812" s="545"/>
      <c r="MSV1812" s="545"/>
      <c r="MSW1812" s="652"/>
      <c r="MSX1812" s="582"/>
      <c r="MSY1812" s="582"/>
      <c r="MSZ1812" s="629"/>
      <c r="MTA1812" s="630"/>
      <c r="MTB1812" s="630"/>
      <c r="MTC1812" s="630"/>
      <c r="MTD1812" s="630"/>
      <c r="MTE1812" s="631"/>
      <c r="MTF1812" s="587"/>
      <c r="MTG1812" s="569"/>
      <c r="MTH1812" s="582"/>
      <c r="MTI1812" s="587"/>
      <c r="MTJ1812" s="569"/>
      <c r="MTK1812" s="569"/>
      <c r="MTL1812" s="569"/>
      <c r="MTM1812" s="582"/>
      <c r="MTN1812" s="587"/>
      <c r="MTO1812" s="582"/>
      <c r="MTP1812" s="587"/>
      <c r="MTQ1812" s="569"/>
      <c r="MTR1812" s="569"/>
      <c r="MTS1812" s="569"/>
      <c r="MTT1812" s="618"/>
      <c r="MTU1812" s="653"/>
      <c r="MTV1812" s="545"/>
      <c r="MTW1812" s="651"/>
      <c r="MTX1812" s="653"/>
      <c r="MTY1812" s="591"/>
      <c r="MTZ1812" s="653"/>
      <c r="MUA1812" s="654"/>
      <c r="MUB1812" s="555"/>
      <c r="MUC1812" s="556"/>
      <c r="MUD1812" s="633"/>
      <c r="MUE1812" s="634"/>
      <c r="MUF1812" s="635"/>
      <c r="MUG1812" s="560"/>
      <c r="MUH1812" s="589"/>
      <c r="MUI1812" s="636"/>
      <c r="MUJ1812" s="559"/>
      <c r="MUK1812" s="557"/>
      <c r="MUL1812" s="558"/>
      <c r="MUM1812" s="590"/>
      <c r="MUN1812" s="591"/>
      <c r="MUO1812" s="591"/>
      <c r="MUP1812" s="592"/>
      <c r="MUQ1812" s="593"/>
      <c r="MUR1812" s="591"/>
      <c r="MUS1812" s="591"/>
      <c r="MUT1812" s="591"/>
      <c r="MUU1812" s="592"/>
      <c r="MUV1812" s="593"/>
      <c r="MUW1812" s="594"/>
      <c r="MUX1812" s="590"/>
      <c r="MUY1812" s="591"/>
      <c r="MUZ1812" s="591"/>
      <c r="MVA1812" s="591"/>
      <c r="MVB1812" s="591"/>
      <c r="MVC1812" s="591"/>
      <c r="MVD1812" s="591"/>
      <c r="MVE1812" s="560"/>
      <c r="MVF1812" s="560"/>
      <c r="MVG1812" s="592"/>
      <c r="MVH1812" s="594"/>
      <c r="MVI1812" s="593"/>
      <c r="MVJ1812" s="595"/>
      <c r="MVK1812" s="542"/>
      <c r="MVL1812" s="542"/>
      <c r="MVM1812" s="542"/>
      <c r="MVN1812" s="542"/>
      <c r="MVO1812" s="542"/>
      <c r="MVP1812" s="547"/>
      <c r="MVQ1812" s="544"/>
      <c r="MVR1812" s="545"/>
      <c r="MVS1812" s="545"/>
      <c r="MVT1812" s="545"/>
      <c r="MVU1812" s="652"/>
      <c r="MVV1812" s="582"/>
      <c r="MVW1812" s="582"/>
      <c r="MVX1812" s="629"/>
      <c r="MVY1812" s="630"/>
      <c r="MVZ1812" s="630"/>
      <c r="MWA1812" s="630"/>
      <c r="MWB1812" s="630"/>
      <c r="MWC1812" s="631"/>
      <c r="MWD1812" s="587"/>
      <c r="MWE1812" s="569"/>
      <c r="MWF1812" s="582"/>
      <c r="MWG1812" s="587"/>
      <c r="MWH1812" s="569"/>
      <c r="MWI1812" s="569"/>
      <c r="MWJ1812" s="569"/>
      <c r="MWK1812" s="582"/>
      <c r="MWL1812" s="587"/>
      <c r="MWM1812" s="582"/>
      <c r="MWN1812" s="587"/>
      <c r="MWO1812" s="569"/>
      <c r="MWP1812" s="569"/>
      <c r="MWQ1812" s="569"/>
      <c r="MWR1812" s="618"/>
      <c r="MWS1812" s="653"/>
      <c r="MWT1812" s="545"/>
      <c r="MWU1812" s="651"/>
      <c r="MWV1812" s="653"/>
      <c r="MWW1812" s="591"/>
      <c r="MWX1812" s="653"/>
      <c r="MWY1812" s="654"/>
      <c r="MWZ1812" s="555"/>
      <c r="MXA1812" s="556"/>
      <c r="MXB1812" s="633"/>
      <c r="MXC1812" s="634"/>
      <c r="MXD1812" s="635"/>
      <c r="MXE1812" s="560"/>
      <c r="MXF1812" s="589"/>
      <c r="MXG1812" s="636"/>
      <c r="MXH1812" s="559"/>
      <c r="MXI1812" s="557"/>
      <c r="MXJ1812" s="558"/>
      <c r="MXK1812" s="590"/>
      <c r="MXL1812" s="591"/>
      <c r="MXM1812" s="591"/>
      <c r="MXN1812" s="592"/>
      <c r="MXO1812" s="593"/>
      <c r="MXP1812" s="591"/>
      <c r="MXQ1812" s="591"/>
      <c r="MXR1812" s="591"/>
      <c r="MXS1812" s="592"/>
      <c r="MXT1812" s="593"/>
      <c r="MXU1812" s="594"/>
      <c r="MXV1812" s="590"/>
      <c r="MXW1812" s="591"/>
      <c r="MXX1812" s="591"/>
      <c r="MXY1812" s="591"/>
      <c r="MXZ1812" s="591"/>
      <c r="MYA1812" s="591"/>
      <c r="MYB1812" s="591"/>
      <c r="MYC1812" s="560"/>
      <c r="MYD1812" s="560"/>
      <c r="MYE1812" s="592"/>
      <c r="MYF1812" s="594"/>
      <c r="MYG1812" s="593"/>
      <c r="MYH1812" s="595"/>
      <c r="MYI1812" s="542"/>
      <c r="MYJ1812" s="542"/>
      <c r="MYK1812" s="542"/>
      <c r="MYL1812" s="542"/>
      <c r="MYM1812" s="542"/>
      <c r="MYN1812" s="547"/>
      <c r="MYO1812" s="544"/>
      <c r="MYP1812" s="545"/>
      <c r="MYQ1812" s="545"/>
      <c r="MYR1812" s="545"/>
      <c r="MYS1812" s="652"/>
      <c r="MYT1812" s="582"/>
      <c r="MYU1812" s="582"/>
      <c r="MYV1812" s="629"/>
      <c r="MYW1812" s="630"/>
      <c r="MYX1812" s="630"/>
      <c r="MYY1812" s="630"/>
      <c r="MYZ1812" s="630"/>
      <c r="MZA1812" s="631"/>
      <c r="MZB1812" s="587"/>
      <c r="MZC1812" s="569"/>
      <c r="MZD1812" s="582"/>
      <c r="MZE1812" s="587"/>
      <c r="MZF1812" s="569"/>
      <c r="MZG1812" s="569"/>
      <c r="MZH1812" s="569"/>
      <c r="MZI1812" s="582"/>
      <c r="MZJ1812" s="587"/>
      <c r="MZK1812" s="582"/>
      <c r="MZL1812" s="587"/>
      <c r="MZM1812" s="569"/>
      <c r="MZN1812" s="569"/>
      <c r="MZO1812" s="569"/>
      <c r="MZP1812" s="618"/>
      <c r="MZQ1812" s="653"/>
      <c r="MZR1812" s="545"/>
      <c r="MZS1812" s="651"/>
      <c r="MZT1812" s="653"/>
      <c r="MZU1812" s="591"/>
      <c r="MZV1812" s="653"/>
      <c r="MZW1812" s="654"/>
      <c r="MZX1812" s="555"/>
      <c r="MZY1812" s="556"/>
      <c r="MZZ1812" s="633"/>
      <c r="NAA1812" s="634"/>
      <c r="NAB1812" s="635"/>
      <c r="NAC1812" s="560"/>
      <c r="NAD1812" s="589"/>
      <c r="NAE1812" s="636"/>
      <c r="NAF1812" s="559"/>
      <c r="NAG1812" s="557"/>
      <c r="NAH1812" s="558"/>
      <c r="NAI1812" s="590"/>
      <c r="NAJ1812" s="591"/>
      <c r="NAK1812" s="591"/>
      <c r="NAL1812" s="592"/>
      <c r="NAM1812" s="593"/>
      <c r="NAN1812" s="591"/>
      <c r="NAO1812" s="591"/>
      <c r="NAP1812" s="591"/>
      <c r="NAQ1812" s="592"/>
      <c r="NAR1812" s="593"/>
      <c r="NAS1812" s="594"/>
      <c r="NAT1812" s="590"/>
      <c r="NAU1812" s="591"/>
      <c r="NAV1812" s="591"/>
      <c r="NAW1812" s="591"/>
      <c r="NAX1812" s="591"/>
      <c r="NAY1812" s="591"/>
      <c r="NAZ1812" s="591"/>
      <c r="NBA1812" s="560"/>
      <c r="NBB1812" s="560"/>
      <c r="NBC1812" s="592"/>
      <c r="NBD1812" s="594"/>
      <c r="NBE1812" s="593"/>
      <c r="NBF1812" s="595"/>
      <c r="NBG1812" s="542"/>
      <c r="NBH1812" s="542"/>
      <c r="NBI1812" s="542"/>
      <c r="NBJ1812" s="542"/>
      <c r="NBK1812" s="542"/>
      <c r="NBL1812" s="547"/>
      <c r="NBM1812" s="544"/>
      <c r="NBN1812" s="545"/>
      <c r="NBO1812" s="545"/>
      <c r="NBP1812" s="545"/>
      <c r="NBQ1812" s="652"/>
      <c r="NBR1812" s="582"/>
      <c r="NBS1812" s="582"/>
      <c r="NBT1812" s="629"/>
      <c r="NBU1812" s="630"/>
      <c r="NBV1812" s="630"/>
      <c r="NBW1812" s="630"/>
      <c r="NBX1812" s="630"/>
      <c r="NBY1812" s="631"/>
      <c r="NBZ1812" s="587"/>
      <c r="NCA1812" s="569"/>
      <c r="NCB1812" s="582"/>
      <c r="NCC1812" s="587"/>
      <c r="NCD1812" s="569"/>
      <c r="NCE1812" s="569"/>
      <c r="NCF1812" s="569"/>
      <c r="NCG1812" s="582"/>
      <c r="NCH1812" s="587"/>
      <c r="NCI1812" s="582"/>
      <c r="NCJ1812" s="587"/>
      <c r="NCK1812" s="569"/>
      <c r="NCL1812" s="569"/>
      <c r="NCM1812" s="569"/>
      <c r="NCN1812" s="618"/>
      <c r="NCO1812" s="653"/>
      <c r="NCP1812" s="545"/>
      <c r="NCQ1812" s="651"/>
      <c r="NCR1812" s="653"/>
      <c r="NCS1812" s="591"/>
      <c r="NCT1812" s="653"/>
      <c r="NCU1812" s="654"/>
      <c r="NCV1812" s="555"/>
      <c r="NCW1812" s="556"/>
      <c r="NCX1812" s="633"/>
      <c r="NCY1812" s="634"/>
      <c r="NCZ1812" s="635"/>
      <c r="NDA1812" s="560"/>
      <c r="NDB1812" s="589"/>
      <c r="NDC1812" s="636"/>
      <c r="NDD1812" s="559"/>
      <c r="NDE1812" s="557"/>
      <c r="NDF1812" s="558"/>
      <c r="NDG1812" s="590"/>
      <c r="NDH1812" s="591"/>
      <c r="NDI1812" s="591"/>
      <c r="NDJ1812" s="592"/>
      <c r="NDK1812" s="593"/>
      <c r="NDL1812" s="591"/>
      <c r="NDM1812" s="591"/>
      <c r="NDN1812" s="591"/>
      <c r="NDO1812" s="592"/>
      <c r="NDP1812" s="593"/>
      <c r="NDQ1812" s="594"/>
      <c r="NDR1812" s="590"/>
      <c r="NDS1812" s="591"/>
      <c r="NDT1812" s="591"/>
      <c r="NDU1812" s="591"/>
      <c r="NDV1812" s="591"/>
      <c r="NDW1812" s="591"/>
      <c r="NDX1812" s="591"/>
      <c r="NDY1812" s="560"/>
      <c r="NDZ1812" s="560"/>
      <c r="NEA1812" s="592"/>
      <c r="NEB1812" s="594"/>
      <c r="NEC1812" s="593"/>
      <c r="NED1812" s="595"/>
      <c r="NEE1812" s="542"/>
      <c r="NEF1812" s="542"/>
      <c r="NEG1812" s="542"/>
      <c r="NEH1812" s="542"/>
      <c r="NEI1812" s="542"/>
      <c r="NEJ1812" s="547"/>
      <c r="NEK1812" s="544"/>
      <c r="NEL1812" s="545"/>
      <c r="NEM1812" s="545"/>
      <c r="NEN1812" s="545"/>
      <c r="NEO1812" s="652"/>
      <c r="NEP1812" s="582"/>
      <c r="NEQ1812" s="582"/>
      <c r="NER1812" s="629"/>
      <c r="NES1812" s="630"/>
      <c r="NET1812" s="630"/>
      <c r="NEU1812" s="630"/>
      <c r="NEV1812" s="630"/>
      <c r="NEW1812" s="631"/>
      <c r="NEX1812" s="587"/>
      <c r="NEY1812" s="569"/>
      <c r="NEZ1812" s="582"/>
      <c r="NFA1812" s="587"/>
      <c r="NFB1812" s="569"/>
      <c r="NFC1812" s="569"/>
      <c r="NFD1812" s="569"/>
      <c r="NFE1812" s="582"/>
      <c r="NFF1812" s="587"/>
      <c r="NFG1812" s="582"/>
      <c r="NFH1812" s="587"/>
      <c r="NFI1812" s="569"/>
      <c r="NFJ1812" s="569"/>
      <c r="NFK1812" s="569"/>
      <c r="NFL1812" s="618"/>
      <c r="NFM1812" s="653"/>
      <c r="NFN1812" s="545"/>
      <c r="NFO1812" s="651"/>
      <c r="NFP1812" s="653"/>
      <c r="NFQ1812" s="591"/>
      <c r="NFR1812" s="653"/>
      <c r="NFS1812" s="654"/>
      <c r="NFT1812" s="555"/>
      <c r="NFU1812" s="556"/>
      <c r="NFV1812" s="633"/>
      <c r="NFW1812" s="634"/>
      <c r="NFX1812" s="635"/>
      <c r="NFY1812" s="560"/>
      <c r="NFZ1812" s="589"/>
      <c r="NGA1812" s="636"/>
      <c r="NGB1812" s="559"/>
      <c r="NGC1812" s="557"/>
      <c r="NGD1812" s="558"/>
      <c r="NGE1812" s="590"/>
      <c r="NGF1812" s="591"/>
      <c r="NGG1812" s="591"/>
      <c r="NGH1812" s="592"/>
      <c r="NGI1812" s="593"/>
      <c r="NGJ1812" s="591"/>
      <c r="NGK1812" s="591"/>
      <c r="NGL1812" s="591"/>
      <c r="NGM1812" s="592"/>
      <c r="NGN1812" s="593"/>
      <c r="NGO1812" s="594"/>
      <c r="NGP1812" s="590"/>
      <c r="NGQ1812" s="591"/>
      <c r="NGR1812" s="591"/>
      <c r="NGS1812" s="591"/>
      <c r="NGT1812" s="591"/>
      <c r="NGU1812" s="591"/>
      <c r="NGV1812" s="591"/>
      <c r="NGW1812" s="560"/>
      <c r="NGX1812" s="560"/>
      <c r="NGY1812" s="592"/>
      <c r="NGZ1812" s="594"/>
      <c r="NHA1812" s="593"/>
      <c r="NHB1812" s="595"/>
      <c r="NHC1812" s="542"/>
      <c r="NHD1812" s="542"/>
      <c r="NHE1812" s="542"/>
      <c r="NHF1812" s="542"/>
      <c r="NHG1812" s="542"/>
      <c r="NHH1812" s="547"/>
      <c r="NHI1812" s="544"/>
      <c r="NHJ1812" s="545"/>
      <c r="NHK1812" s="545"/>
      <c r="NHL1812" s="545"/>
      <c r="NHM1812" s="652"/>
      <c r="NHN1812" s="582"/>
      <c r="NHO1812" s="582"/>
      <c r="NHP1812" s="629"/>
      <c r="NHQ1812" s="630"/>
      <c r="NHR1812" s="630"/>
      <c r="NHS1812" s="630"/>
      <c r="NHT1812" s="630"/>
      <c r="NHU1812" s="631"/>
      <c r="NHV1812" s="587"/>
      <c r="NHW1812" s="569"/>
      <c r="NHX1812" s="582"/>
      <c r="NHY1812" s="587"/>
      <c r="NHZ1812" s="569"/>
      <c r="NIA1812" s="569"/>
      <c r="NIB1812" s="569"/>
      <c r="NIC1812" s="582"/>
      <c r="NID1812" s="587"/>
      <c r="NIE1812" s="582"/>
      <c r="NIF1812" s="587"/>
      <c r="NIG1812" s="569"/>
      <c r="NIH1812" s="569"/>
      <c r="NII1812" s="569"/>
      <c r="NIJ1812" s="618"/>
      <c r="NIK1812" s="653"/>
      <c r="NIL1812" s="545"/>
      <c r="NIM1812" s="651"/>
      <c r="NIN1812" s="653"/>
      <c r="NIO1812" s="591"/>
      <c r="NIP1812" s="653"/>
      <c r="NIQ1812" s="654"/>
      <c r="NIR1812" s="555"/>
      <c r="NIS1812" s="556"/>
      <c r="NIT1812" s="633"/>
      <c r="NIU1812" s="634"/>
      <c r="NIV1812" s="635"/>
      <c r="NIW1812" s="560"/>
      <c r="NIX1812" s="589"/>
      <c r="NIY1812" s="636"/>
      <c r="NIZ1812" s="559"/>
      <c r="NJA1812" s="557"/>
      <c r="NJB1812" s="558"/>
      <c r="NJC1812" s="590"/>
      <c r="NJD1812" s="591"/>
      <c r="NJE1812" s="591"/>
      <c r="NJF1812" s="592"/>
      <c r="NJG1812" s="593"/>
      <c r="NJH1812" s="591"/>
      <c r="NJI1812" s="591"/>
      <c r="NJJ1812" s="591"/>
      <c r="NJK1812" s="592"/>
      <c r="NJL1812" s="593"/>
      <c r="NJM1812" s="594"/>
      <c r="NJN1812" s="590"/>
      <c r="NJO1812" s="591"/>
      <c r="NJP1812" s="591"/>
      <c r="NJQ1812" s="591"/>
      <c r="NJR1812" s="591"/>
      <c r="NJS1812" s="591"/>
      <c r="NJT1812" s="591"/>
      <c r="NJU1812" s="560"/>
      <c r="NJV1812" s="560"/>
      <c r="NJW1812" s="592"/>
      <c r="NJX1812" s="594"/>
      <c r="NJY1812" s="593"/>
      <c r="NJZ1812" s="595"/>
      <c r="NKA1812" s="542"/>
      <c r="NKB1812" s="542"/>
      <c r="NKC1812" s="542"/>
      <c r="NKD1812" s="542"/>
      <c r="NKE1812" s="542"/>
      <c r="NKF1812" s="547"/>
      <c r="NKG1812" s="544"/>
      <c r="NKH1812" s="545"/>
      <c r="NKI1812" s="545"/>
      <c r="NKJ1812" s="545"/>
      <c r="NKK1812" s="652"/>
      <c r="NKL1812" s="582"/>
      <c r="NKM1812" s="582"/>
      <c r="NKN1812" s="629"/>
      <c r="NKO1812" s="630"/>
      <c r="NKP1812" s="630"/>
      <c r="NKQ1812" s="630"/>
      <c r="NKR1812" s="630"/>
      <c r="NKS1812" s="631"/>
      <c r="NKT1812" s="587"/>
      <c r="NKU1812" s="569"/>
      <c r="NKV1812" s="582"/>
      <c r="NKW1812" s="587"/>
      <c r="NKX1812" s="569"/>
      <c r="NKY1812" s="569"/>
      <c r="NKZ1812" s="569"/>
      <c r="NLA1812" s="582"/>
      <c r="NLB1812" s="587"/>
      <c r="NLC1812" s="582"/>
      <c r="NLD1812" s="587"/>
      <c r="NLE1812" s="569"/>
      <c r="NLF1812" s="569"/>
      <c r="NLG1812" s="569"/>
      <c r="NLH1812" s="618"/>
      <c r="NLI1812" s="653"/>
      <c r="NLJ1812" s="545"/>
      <c r="NLK1812" s="651"/>
      <c r="NLL1812" s="653"/>
      <c r="NLM1812" s="591"/>
      <c r="NLN1812" s="653"/>
      <c r="NLO1812" s="654"/>
      <c r="NLP1812" s="555"/>
      <c r="NLQ1812" s="556"/>
      <c r="NLR1812" s="633"/>
      <c r="NLS1812" s="634"/>
      <c r="NLT1812" s="635"/>
      <c r="NLU1812" s="560"/>
      <c r="NLV1812" s="589"/>
      <c r="NLW1812" s="636"/>
      <c r="NLX1812" s="559"/>
      <c r="NLY1812" s="557"/>
      <c r="NLZ1812" s="558"/>
      <c r="NMA1812" s="590"/>
      <c r="NMB1812" s="591"/>
      <c r="NMC1812" s="591"/>
      <c r="NMD1812" s="592"/>
      <c r="NME1812" s="593"/>
      <c r="NMF1812" s="591"/>
      <c r="NMG1812" s="591"/>
      <c r="NMH1812" s="591"/>
      <c r="NMI1812" s="592"/>
      <c r="NMJ1812" s="593"/>
      <c r="NMK1812" s="594"/>
      <c r="NML1812" s="590"/>
      <c r="NMM1812" s="591"/>
      <c r="NMN1812" s="591"/>
      <c r="NMO1812" s="591"/>
      <c r="NMP1812" s="591"/>
      <c r="NMQ1812" s="591"/>
      <c r="NMR1812" s="591"/>
      <c r="NMS1812" s="560"/>
      <c r="NMT1812" s="560"/>
      <c r="NMU1812" s="592"/>
      <c r="NMV1812" s="594"/>
      <c r="NMW1812" s="593"/>
      <c r="NMX1812" s="595"/>
      <c r="NMY1812" s="542"/>
      <c r="NMZ1812" s="542"/>
      <c r="NNA1812" s="542"/>
      <c r="NNB1812" s="542"/>
      <c r="NNC1812" s="542"/>
      <c r="NND1812" s="547"/>
      <c r="NNE1812" s="544"/>
      <c r="NNF1812" s="545"/>
      <c r="NNG1812" s="545"/>
      <c r="NNH1812" s="545"/>
      <c r="NNI1812" s="652"/>
      <c r="NNJ1812" s="582"/>
      <c r="NNK1812" s="582"/>
      <c r="NNL1812" s="629"/>
      <c r="NNM1812" s="630"/>
      <c r="NNN1812" s="630"/>
      <c r="NNO1812" s="630"/>
      <c r="NNP1812" s="630"/>
      <c r="NNQ1812" s="631"/>
      <c r="NNR1812" s="587"/>
      <c r="NNS1812" s="569"/>
      <c r="NNT1812" s="582"/>
      <c r="NNU1812" s="587"/>
      <c r="NNV1812" s="569"/>
      <c r="NNW1812" s="569"/>
      <c r="NNX1812" s="569"/>
      <c r="NNY1812" s="582"/>
      <c r="NNZ1812" s="587"/>
      <c r="NOA1812" s="582"/>
      <c r="NOB1812" s="587"/>
      <c r="NOC1812" s="569"/>
      <c r="NOD1812" s="569"/>
      <c r="NOE1812" s="569"/>
      <c r="NOF1812" s="618"/>
      <c r="NOG1812" s="653"/>
      <c r="NOH1812" s="545"/>
      <c r="NOI1812" s="651"/>
      <c r="NOJ1812" s="653"/>
      <c r="NOK1812" s="591"/>
      <c r="NOL1812" s="653"/>
      <c r="NOM1812" s="654"/>
      <c r="NON1812" s="555"/>
      <c r="NOO1812" s="556"/>
      <c r="NOP1812" s="633"/>
      <c r="NOQ1812" s="634"/>
      <c r="NOR1812" s="635"/>
      <c r="NOS1812" s="560"/>
      <c r="NOT1812" s="589"/>
      <c r="NOU1812" s="636"/>
      <c r="NOV1812" s="559"/>
      <c r="NOW1812" s="557"/>
      <c r="NOX1812" s="558"/>
      <c r="NOY1812" s="590"/>
      <c r="NOZ1812" s="591"/>
      <c r="NPA1812" s="591"/>
      <c r="NPB1812" s="592"/>
      <c r="NPC1812" s="593"/>
      <c r="NPD1812" s="591"/>
      <c r="NPE1812" s="591"/>
      <c r="NPF1812" s="591"/>
      <c r="NPG1812" s="592"/>
      <c r="NPH1812" s="593"/>
      <c r="NPI1812" s="594"/>
      <c r="NPJ1812" s="590"/>
      <c r="NPK1812" s="591"/>
      <c r="NPL1812" s="591"/>
      <c r="NPM1812" s="591"/>
      <c r="NPN1812" s="591"/>
      <c r="NPO1812" s="591"/>
      <c r="NPP1812" s="591"/>
      <c r="NPQ1812" s="560"/>
      <c r="NPR1812" s="560"/>
      <c r="NPS1812" s="592"/>
      <c r="NPT1812" s="594"/>
      <c r="NPU1812" s="593"/>
      <c r="NPV1812" s="595"/>
      <c r="NPW1812" s="542"/>
      <c r="NPX1812" s="542"/>
      <c r="NPY1812" s="542"/>
      <c r="NPZ1812" s="542"/>
      <c r="NQA1812" s="542"/>
      <c r="NQB1812" s="547"/>
      <c r="NQC1812" s="544"/>
      <c r="NQD1812" s="545"/>
      <c r="NQE1812" s="545"/>
      <c r="NQF1812" s="545"/>
      <c r="NQG1812" s="652"/>
      <c r="NQH1812" s="582"/>
      <c r="NQI1812" s="582"/>
      <c r="NQJ1812" s="629"/>
      <c r="NQK1812" s="630"/>
      <c r="NQL1812" s="630"/>
      <c r="NQM1812" s="630"/>
      <c r="NQN1812" s="630"/>
      <c r="NQO1812" s="631"/>
      <c r="NQP1812" s="587"/>
      <c r="NQQ1812" s="569"/>
      <c r="NQR1812" s="582"/>
      <c r="NQS1812" s="587"/>
      <c r="NQT1812" s="569"/>
      <c r="NQU1812" s="569"/>
      <c r="NQV1812" s="569"/>
      <c r="NQW1812" s="582"/>
      <c r="NQX1812" s="587"/>
      <c r="NQY1812" s="582"/>
      <c r="NQZ1812" s="587"/>
      <c r="NRA1812" s="569"/>
      <c r="NRB1812" s="569"/>
      <c r="NRC1812" s="569"/>
      <c r="NRD1812" s="618"/>
      <c r="NRE1812" s="653"/>
      <c r="NRF1812" s="545"/>
      <c r="NRG1812" s="651"/>
      <c r="NRH1812" s="653"/>
      <c r="NRI1812" s="591"/>
      <c r="NRJ1812" s="653"/>
      <c r="NRK1812" s="654"/>
      <c r="NRL1812" s="555"/>
      <c r="NRM1812" s="556"/>
      <c r="NRN1812" s="633"/>
      <c r="NRO1812" s="634"/>
      <c r="NRP1812" s="635"/>
      <c r="NRQ1812" s="560"/>
      <c r="NRR1812" s="589"/>
      <c r="NRS1812" s="636"/>
      <c r="NRT1812" s="559"/>
      <c r="NRU1812" s="557"/>
      <c r="NRV1812" s="558"/>
      <c r="NRW1812" s="590"/>
      <c r="NRX1812" s="591"/>
      <c r="NRY1812" s="591"/>
      <c r="NRZ1812" s="592"/>
      <c r="NSA1812" s="593"/>
      <c r="NSB1812" s="591"/>
      <c r="NSC1812" s="591"/>
      <c r="NSD1812" s="591"/>
      <c r="NSE1812" s="592"/>
      <c r="NSF1812" s="593"/>
      <c r="NSG1812" s="594"/>
      <c r="NSH1812" s="590"/>
      <c r="NSI1812" s="591"/>
      <c r="NSJ1812" s="591"/>
      <c r="NSK1812" s="591"/>
      <c r="NSL1812" s="591"/>
      <c r="NSM1812" s="591"/>
      <c r="NSN1812" s="591"/>
      <c r="NSO1812" s="560"/>
      <c r="NSP1812" s="560"/>
      <c r="NSQ1812" s="592"/>
      <c r="NSR1812" s="594"/>
      <c r="NSS1812" s="593"/>
      <c r="NST1812" s="595"/>
      <c r="NSU1812" s="542"/>
      <c r="NSV1812" s="542"/>
      <c r="NSW1812" s="542"/>
      <c r="NSX1812" s="542"/>
      <c r="NSY1812" s="542"/>
      <c r="NSZ1812" s="547"/>
      <c r="NTA1812" s="544"/>
      <c r="NTB1812" s="545"/>
      <c r="NTC1812" s="545"/>
      <c r="NTD1812" s="545"/>
      <c r="NTE1812" s="652"/>
      <c r="NTF1812" s="582"/>
      <c r="NTG1812" s="582"/>
      <c r="NTH1812" s="629"/>
      <c r="NTI1812" s="630"/>
      <c r="NTJ1812" s="630"/>
      <c r="NTK1812" s="630"/>
      <c r="NTL1812" s="630"/>
      <c r="NTM1812" s="631"/>
      <c r="NTN1812" s="587"/>
      <c r="NTO1812" s="569"/>
      <c r="NTP1812" s="582"/>
      <c r="NTQ1812" s="587"/>
      <c r="NTR1812" s="569"/>
      <c r="NTS1812" s="569"/>
      <c r="NTT1812" s="569"/>
      <c r="NTU1812" s="582"/>
      <c r="NTV1812" s="587"/>
      <c r="NTW1812" s="582"/>
      <c r="NTX1812" s="587"/>
      <c r="NTY1812" s="569"/>
      <c r="NTZ1812" s="569"/>
      <c r="NUA1812" s="569"/>
      <c r="NUB1812" s="618"/>
      <c r="NUC1812" s="653"/>
      <c r="NUD1812" s="545"/>
      <c r="NUE1812" s="651"/>
      <c r="NUF1812" s="653"/>
      <c r="NUG1812" s="591"/>
      <c r="NUH1812" s="653"/>
      <c r="NUI1812" s="654"/>
      <c r="NUJ1812" s="555"/>
      <c r="NUK1812" s="556"/>
      <c r="NUL1812" s="633"/>
      <c r="NUM1812" s="634"/>
      <c r="NUN1812" s="635"/>
      <c r="NUO1812" s="560"/>
      <c r="NUP1812" s="589"/>
      <c r="NUQ1812" s="636"/>
      <c r="NUR1812" s="559"/>
      <c r="NUS1812" s="557"/>
      <c r="NUT1812" s="558"/>
      <c r="NUU1812" s="590"/>
      <c r="NUV1812" s="591"/>
      <c r="NUW1812" s="591"/>
      <c r="NUX1812" s="592"/>
      <c r="NUY1812" s="593"/>
      <c r="NUZ1812" s="591"/>
      <c r="NVA1812" s="591"/>
      <c r="NVB1812" s="591"/>
      <c r="NVC1812" s="592"/>
      <c r="NVD1812" s="593"/>
      <c r="NVE1812" s="594"/>
      <c r="NVF1812" s="590"/>
      <c r="NVG1812" s="591"/>
      <c r="NVH1812" s="591"/>
      <c r="NVI1812" s="591"/>
      <c r="NVJ1812" s="591"/>
      <c r="NVK1812" s="591"/>
      <c r="NVL1812" s="591"/>
      <c r="NVM1812" s="560"/>
      <c r="NVN1812" s="560"/>
      <c r="NVO1812" s="592"/>
      <c r="NVP1812" s="594"/>
      <c r="NVQ1812" s="593"/>
      <c r="NVR1812" s="595"/>
      <c r="NVS1812" s="542"/>
      <c r="NVT1812" s="542"/>
      <c r="NVU1812" s="542"/>
      <c r="NVV1812" s="542"/>
      <c r="NVW1812" s="542"/>
      <c r="NVX1812" s="547"/>
      <c r="NVY1812" s="544"/>
      <c r="NVZ1812" s="545"/>
      <c r="NWA1812" s="545"/>
      <c r="NWB1812" s="545"/>
      <c r="NWC1812" s="652"/>
      <c r="NWD1812" s="582"/>
      <c r="NWE1812" s="582"/>
      <c r="NWF1812" s="629"/>
      <c r="NWG1812" s="630"/>
      <c r="NWH1812" s="630"/>
      <c r="NWI1812" s="630"/>
      <c r="NWJ1812" s="630"/>
      <c r="NWK1812" s="631"/>
      <c r="NWL1812" s="587"/>
      <c r="NWM1812" s="569"/>
      <c r="NWN1812" s="582"/>
      <c r="NWO1812" s="587"/>
      <c r="NWP1812" s="569"/>
      <c r="NWQ1812" s="569"/>
      <c r="NWR1812" s="569"/>
      <c r="NWS1812" s="582"/>
      <c r="NWT1812" s="587"/>
      <c r="NWU1812" s="582"/>
      <c r="NWV1812" s="587"/>
      <c r="NWW1812" s="569"/>
      <c r="NWX1812" s="569"/>
      <c r="NWY1812" s="569"/>
      <c r="NWZ1812" s="618"/>
      <c r="NXA1812" s="653"/>
      <c r="NXB1812" s="545"/>
      <c r="NXC1812" s="651"/>
      <c r="NXD1812" s="653"/>
      <c r="NXE1812" s="591"/>
      <c r="NXF1812" s="653"/>
      <c r="NXG1812" s="654"/>
      <c r="NXH1812" s="555"/>
      <c r="NXI1812" s="556"/>
      <c r="NXJ1812" s="633"/>
      <c r="NXK1812" s="634"/>
      <c r="NXL1812" s="635"/>
      <c r="NXM1812" s="560"/>
      <c r="NXN1812" s="589"/>
      <c r="NXO1812" s="636"/>
      <c r="NXP1812" s="559"/>
      <c r="NXQ1812" s="557"/>
      <c r="NXR1812" s="558"/>
      <c r="NXS1812" s="590"/>
      <c r="NXT1812" s="591"/>
      <c r="NXU1812" s="591"/>
      <c r="NXV1812" s="592"/>
      <c r="NXW1812" s="593"/>
      <c r="NXX1812" s="591"/>
      <c r="NXY1812" s="591"/>
      <c r="NXZ1812" s="591"/>
      <c r="NYA1812" s="592"/>
      <c r="NYB1812" s="593"/>
      <c r="NYC1812" s="594"/>
      <c r="NYD1812" s="590"/>
      <c r="NYE1812" s="591"/>
      <c r="NYF1812" s="591"/>
      <c r="NYG1812" s="591"/>
      <c r="NYH1812" s="591"/>
      <c r="NYI1812" s="591"/>
      <c r="NYJ1812" s="591"/>
      <c r="NYK1812" s="560"/>
      <c r="NYL1812" s="560"/>
      <c r="NYM1812" s="592"/>
      <c r="NYN1812" s="594"/>
      <c r="NYO1812" s="593"/>
      <c r="NYP1812" s="595"/>
      <c r="NYQ1812" s="542"/>
      <c r="NYR1812" s="542"/>
      <c r="NYS1812" s="542"/>
      <c r="NYT1812" s="542"/>
      <c r="NYU1812" s="542"/>
      <c r="NYV1812" s="547"/>
      <c r="NYW1812" s="544"/>
      <c r="NYX1812" s="545"/>
      <c r="NYY1812" s="545"/>
      <c r="NYZ1812" s="545"/>
      <c r="NZA1812" s="652"/>
      <c r="NZB1812" s="582"/>
      <c r="NZC1812" s="582"/>
      <c r="NZD1812" s="629"/>
      <c r="NZE1812" s="630"/>
      <c r="NZF1812" s="630"/>
      <c r="NZG1812" s="630"/>
      <c r="NZH1812" s="630"/>
      <c r="NZI1812" s="631"/>
      <c r="NZJ1812" s="587"/>
      <c r="NZK1812" s="569"/>
      <c r="NZL1812" s="582"/>
      <c r="NZM1812" s="587"/>
      <c r="NZN1812" s="569"/>
      <c r="NZO1812" s="569"/>
      <c r="NZP1812" s="569"/>
      <c r="NZQ1812" s="582"/>
      <c r="NZR1812" s="587"/>
      <c r="NZS1812" s="582"/>
      <c r="NZT1812" s="587"/>
      <c r="NZU1812" s="569"/>
      <c r="NZV1812" s="569"/>
      <c r="NZW1812" s="569"/>
      <c r="NZX1812" s="618"/>
      <c r="NZY1812" s="653"/>
      <c r="NZZ1812" s="545"/>
      <c r="OAA1812" s="651"/>
      <c r="OAB1812" s="653"/>
      <c r="OAC1812" s="591"/>
      <c r="OAD1812" s="653"/>
      <c r="OAE1812" s="654"/>
      <c r="OAF1812" s="555"/>
      <c r="OAG1812" s="556"/>
      <c r="OAH1812" s="633"/>
      <c r="OAI1812" s="634"/>
      <c r="OAJ1812" s="635"/>
      <c r="OAK1812" s="560"/>
      <c r="OAL1812" s="589"/>
      <c r="OAM1812" s="636"/>
      <c r="OAN1812" s="559"/>
      <c r="OAO1812" s="557"/>
      <c r="OAP1812" s="558"/>
      <c r="OAQ1812" s="590"/>
      <c r="OAR1812" s="591"/>
      <c r="OAS1812" s="591"/>
      <c r="OAT1812" s="592"/>
      <c r="OAU1812" s="593"/>
      <c r="OAV1812" s="591"/>
      <c r="OAW1812" s="591"/>
      <c r="OAX1812" s="591"/>
      <c r="OAY1812" s="592"/>
      <c r="OAZ1812" s="593"/>
      <c r="OBA1812" s="594"/>
      <c r="OBB1812" s="590"/>
      <c r="OBC1812" s="591"/>
      <c r="OBD1812" s="591"/>
      <c r="OBE1812" s="591"/>
      <c r="OBF1812" s="591"/>
      <c r="OBG1812" s="591"/>
      <c r="OBH1812" s="591"/>
      <c r="OBI1812" s="560"/>
      <c r="OBJ1812" s="560"/>
      <c r="OBK1812" s="592"/>
      <c r="OBL1812" s="594"/>
      <c r="OBM1812" s="593"/>
      <c r="OBN1812" s="595"/>
      <c r="OBO1812" s="542"/>
      <c r="OBP1812" s="542"/>
      <c r="OBQ1812" s="542"/>
      <c r="OBR1812" s="542"/>
      <c r="OBS1812" s="542"/>
      <c r="OBT1812" s="547"/>
      <c r="OBU1812" s="544"/>
      <c r="OBV1812" s="545"/>
      <c r="OBW1812" s="545"/>
      <c r="OBX1812" s="545"/>
      <c r="OBY1812" s="652"/>
      <c r="OBZ1812" s="582"/>
      <c r="OCA1812" s="582"/>
      <c r="OCB1812" s="629"/>
      <c r="OCC1812" s="630"/>
      <c r="OCD1812" s="630"/>
      <c r="OCE1812" s="630"/>
      <c r="OCF1812" s="630"/>
      <c r="OCG1812" s="631"/>
      <c r="OCH1812" s="587"/>
      <c r="OCI1812" s="569"/>
      <c r="OCJ1812" s="582"/>
      <c r="OCK1812" s="587"/>
      <c r="OCL1812" s="569"/>
      <c r="OCM1812" s="569"/>
      <c r="OCN1812" s="569"/>
      <c r="OCO1812" s="582"/>
      <c r="OCP1812" s="587"/>
      <c r="OCQ1812" s="582"/>
      <c r="OCR1812" s="587"/>
      <c r="OCS1812" s="569"/>
      <c r="OCT1812" s="569"/>
      <c r="OCU1812" s="569"/>
      <c r="OCV1812" s="618"/>
      <c r="OCW1812" s="653"/>
      <c r="OCX1812" s="545"/>
      <c r="OCY1812" s="651"/>
      <c r="OCZ1812" s="653"/>
      <c r="ODA1812" s="591"/>
      <c r="ODB1812" s="653"/>
      <c r="ODC1812" s="654"/>
      <c r="ODD1812" s="555"/>
      <c r="ODE1812" s="556"/>
      <c r="ODF1812" s="633"/>
      <c r="ODG1812" s="634"/>
      <c r="ODH1812" s="635"/>
      <c r="ODI1812" s="560"/>
      <c r="ODJ1812" s="589"/>
      <c r="ODK1812" s="636"/>
      <c r="ODL1812" s="559"/>
      <c r="ODM1812" s="557"/>
      <c r="ODN1812" s="558"/>
      <c r="ODO1812" s="590"/>
      <c r="ODP1812" s="591"/>
      <c r="ODQ1812" s="591"/>
      <c r="ODR1812" s="592"/>
      <c r="ODS1812" s="593"/>
      <c r="ODT1812" s="591"/>
      <c r="ODU1812" s="591"/>
      <c r="ODV1812" s="591"/>
      <c r="ODW1812" s="592"/>
      <c r="ODX1812" s="593"/>
      <c r="ODY1812" s="594"/>
      <c r="ODZ1812" s="590"/>
      <c r="OEA1812" s="591"/>
      <c r="OEB1812" s="591"/>
      <c r="OEC1812" s="591"/>
      <c r="OED1812" s="591"/>
      <c r="OEE1812" s="591"/>
      <c r="OEF1812" s="591"/>
      <c r="OEG1812" s="560"/>
      <c r="OEH1812" s="560"/>
      <c r="OEI1812" s="592"/>
      <c r="OEJ1812" s="594"/>
      <c r="OEK1812" s="593"/>
      <c r="OEL1812" s="595"/>
      <c r="OEM1812" s="542"/>
      <c r="OEN1812" s="542"/>
      <c r="OEO1812" s="542"/>
      <c r="OEP1812" s="542"/>
      <c r="OEQ1812" s="542"/>
      <c r="OER1812" s="547"/>
      <c r="OES1812" s="544"/>
      <c r="OET1812" s="545"/>
      <c r="OEU1812" s="545"/>
      <c r="OEV1812" s="545"/>
      <c r="OEW1812" s="652"/>
      <c r="OEX1812" s="582"/>
      <c r="OEY1812" s="582"/>
      <c r="OEZ1812" s="629"/>
      <c r="OFA1812" s="630"/>
      <c r="OFB1812" s="630"/>
      <c r="OFC1812" s="630"/>
      <c r="OFD1812" s="630"/>
      <c r="OFE1812" s="631"/>
      <c r="OFF1812" s="587"/>
      <c r="OFG1812" s="569"/>
      <c r="OFH1812" s="582"/>
      <c r="OFI1812" s="587"/>
      <c r="OFJ1812" s="569"/>
      <c r="OFK1812" s="569"/>
      <c r="OFL1812" s="569"/>
      <c r="OFM1812" s="582"/>
      <c r="OFN1812" s="587"/>
      <c r="OFO1812" s="582"/>
      <c r="OFP1812" s="587"/>
      <c r="OFQ1812" s="569"/>
      <c r="OFR1812" s="569"/>
      <c r="OFS1812" s="569"/>
      <c r="OFT1812" s="618"/>
      <c r="OFU1812" s="653"/>
      <c r="OFV1812" s="545"/>
      <c r="OFW1812" s="651"/>
      <c r="OFX1812" s="653"/>
      <c r="OFY1812" s="591"/>
      <c r="OFZ1812" s="653"/>
      <c r="OGA1812" s="654"/>
      <c r="OGB1812" s="555"/>
      <c r="OGC1812" s="556"/>
      <c r="OGD1812" s="633"/>
      <c r="OGE1812" s="634"/>
      <c r="OGF1812" s="635"/>
      <c r="OGG1812" s="560"/>
      <c r="OGH1812" s="589"/>
      <c r="OGI1812" s="636"/>
      <c r="OGJ1812" s="559"/>
      <c r="OGK1812" s="557"/>
      <c r="OGL1812" s="558"/>
      <c r="OGM1812" s="590"/>
      <c r="OGN1812" s="591"/>
      <c r="OGO1812" s="591"/>
      <c r="OGP1812" s="592"/>
      <c r="OGQ1812" s="593"/>
      <c r="OGR1812" s="591"/>
      <c r="OGS1812" s="591"/>
      <c r="OGT1812" s="591"/>
      <c r="OGU1812" s="592"/>
      <c r="OGV1812" s="593"/>
      <c r="OGW1812" s="594"/>
      <c r="OGX1812" s="590"/>
      <c r="OGY1812" s="591"/>
      <c r="OGZ1812" s="591"/>
      <c r="OHA1812" s="591"/>
      <c r="OHB1812" s="591"/>
      <c r="OHC1812" s="591"/>
      <c r="OHD1812" s="591"/>
      <c r="OHE1812" s="560"/>
      <c r="OHF1812" s="560"/>
      <c r="OHG1812" s="592"/>
      <c r="OHH1812" s="594"/>
      <c r="OHI1812" s="593"/>
      <c r="OHJ1812" s="595"/>
      <c r="OHK1812" s="542"/>
      <c r="OHL1812" s="542"/>
      <c r="OHM1812" s="542"/>
      <c r="OHN1812" s="542"/>
      <c r="OHO1812" s="542"/>
      <c r="OHP1812" s="547"/>
      <c r="OHQ1812" s="544"/>
      <c r="OHR1812" s="545"/>
      <c r="OHS1812" s="545"/>
      <c r="OHT1812" s="545"/>
      <c r="OHU1812" s="652"/>
      <c r="OHV1812" s="582"/>
      <c r="OHW1812" s="582"/>
      <c r="OHX1812" s="629"/>
      <c r="OHY1812" s="630"/>
      <c r="OHZ1812" s="630"/>
      <c r="OIA1812" s="630"/>
      <c r="OIB1812" s="630"/>
      <c r="OIC1812" s="631"/>
      <c r="OID1812" s="587"/>
      <c r="OIE1812" s="569"/>
      <c r="OIF1812" s="582"/>
      <c r="OIG1812" s="587"/>
      <c r="OIH1812" s="569"/>
      <c r="OII1812" s="569"/>
      <c r="OIJ1812" s="569"/>
      <c r="OIK1812" s="582"/>
      <c r="OIL1812" s="587"/>
      <c r="OIM1812" s="582"/>
      <c r="OIN1812" s="587"/>
      <c r="OIO1812" s="569"/>
      <c r="OIP1812" s="569"/>
      <c r="OIQ1812" s="569"/>
      <c r="OIR1812" s="618"/>
      <c r="OIS1812" s="653"/>
      <c r="OIT1812" s="545"/>
      <c r="OIU1812" s="651"/>
      <c r="OIV1812" s="653"/>
      <c r="OIW1812" s="591"/>
      <c r="OIX1812" s="653"/>
      <c r="OIY1812" s="654"/>
      <c r="OIZ1812" s="555"/>
      <c r="OJA1812" s="556"/>
      <c r="OJB1812" s="633"/>
      <c r="OJC1812" s="634"/>
      <c r="OJD1812" s="635"/>
      <c r="OJE1812" s="560"/>
      <c r="OJF1812" s="589"/>
      <c r="OJG1812" s="636"/>
      <c r="OJH1812" s="559"/>
      <c r="OJI1812" s="557"/>
      <c r="OJJ1812" s="558"/>
      <c r="OJK1812" s="590"/>
      <c r="OJL1812" s="591"/>
      <c r="OJM1812" s="591"/>
      <c r="OJN1812" s="592"/>
      <c r="OJO1812" s="593"/>
      <c r="OJP1812" s="591"/>
      <c r="OJQ1812" s="591"/>
      <c r="OJR1812" s="591"/>
      <c r="OJS1812" s="592"/>
      <c r="OJT1812" s="593"/>
      <c r="OJU1812" s="594"/>
      <c r="OJV1812" s="590"/>
      <c r="OJW1812" s="591"/>
      <c r="OJX1812" s="591"/>
      <c r="OJY1812" s="591"/>
      <c r="OJZ1812" s="591"/>
      <c r="OKA1812" s="591"/>
      <c r="OKB1812" s="591"/>
      <c r="OKC1812" s="560"/>
      <c r="OKD1812" s="560"/>
      <c r="OKE1812" s="592"/>
      <c r="OKF1812" s="594"/>
      <c r="OKG1812" s="593"/>
      <c r="OKH1812" s="595"/>
      <c r="OKI1812" s="542"/>
      <c r="OKJ1812" s="542"/>
      <c r="OKK1812" s="542"/>
      <c r="OKL1812" s="542"/>
      <c r="OKM1812" s="542"/>
      <c r="OKN1812" s="547"/>
      <c r="OKO1812" s="544"/>
      <c r="OKP1812" s="545"/>
      <c r="OKQ1812" s="545"/>
      <c r="OKR1812" s="545"/>
      <c r="OKS1812" s="652"/>
      <c r="OKT1812" s="582"/>
      <c r="OKU1812" s="582"/>
      <c r="OKV1812" s="629"/>
      <c r="OKW1812" s="630"/>
      <c r="OKX1812" s="630"/>
      <c r="OKY1812" s="630"/>
      <c r="OKZ1812" s="630"/>
      <c r="OLA1812" s="631"/>
      <c r="OLB1812" s="587"/>
      <c r="OLC1812" s="569"/>
      <c r="OLD1812" s="582"/>
      <c r="OLE1812" s="587"/>
      <c r="OLF1812" s="569"/>
      <c r="OLG1812" s="569"/>
      <c r="OLH1812" s="569"/>
      <c r="OLI1812" s="582"/>
      <c r="OLJ1812" s="587"/>
      <c r="OLK1812" s="582"/>
      <c r="OLL1812" s="587"/>
      <c r="OLM1812" s="569"/>
      <c r="OLN1812" s="569"/>
      <c r="OLO1812" s="569"/>
      <c r="OLP1812" s="618"/>
      <c r="OLQ1812" s="653"/>
      <c r="OLR1812" s="545"/>
      <c r="OLS1812" s="651"/>
      <c r="OLT1812" s="653"/>
      <c r="OLU1812" s="591"/>
      <c r="OLV1812" s="653"/>
      <c r="OLW1812" s="654"/>
      <c r="OLX1812" s="555"/>
      <c r="OLY1812" s="556"/>
      <c r="OLZ1812" s="633"/>
      <c r="OMA1812" s="634"/>
      <c r="OMB1812" s="635"/>
      <c r="OMC1812" s="560"/>
      <c r="OMD1812" s="589"/>
      <c r="OME1812" s="636"/>
      <c r="OMF1812" s="559"/>
      <c r="OMG1812" s="557"/>
      <c r="OMH1812" s="558"/>
      <c r="OMI1812" s="590"/>
      <c r="OMJ1812" s="591"/>
      <c r="OMK1812" s="591"/>
      <c r="OML1812" s="592"/>
      <c r="OMM1812" s="593"/>
      <c r="OMN1812" s="591"/>
      <c r="OMO1812" s="591"/>
      <c r="OMP1812" s="591"/>
      <c r="OMQ1812" s="592"/>
      <c r="OMR1812" s="593"/>
      <c r="OMS1812" s="594"/>
      <c r="OMT1812" s="590"/>
      <c r="OMU1812" s="591"/>
      <c r="OMV1812" s="591"/>
      <c r="OMW1812" s="591"/>
      <c r="OMX1812" s="591"/>
      <c r="OMY1812" s="591"/>
      <c r="OMZ1812" s="591"/>
      <c r="ONA1812" s="560"/>
      <c r="ONB1812" s="560"/>
      <c r="ONC1812" s="592"/>
      <c r="OND1812" s="594"/>
      <c r="ONE1812" s="593"/>
      <c r="ONF1812" s="595"/>
      <c r="ONG1812" s="542"/>
      <c r="ONH1812" s="542"/>
      <c r="ONI1812" s="542"/>
      <c r="ONJ1812" s="542"/>
      <c r="ONK1812" s="542"/>
      <c r="ONL1812" s="547"/>
      <c r="ONM1812" s="544"/>
      <c r="ONN1812" s="545"/>
      <c r="ONO1812" s="545"/>
      <c r="ONP1812" s="545"/>
      <c r="ONQ1812" s="652"/>
      <c r="ONR1812" s="582"/>
      <c r="ONS1812" s="582"/>
      <c r="ONT1812" s="629"/>
      <c r="ONU1812" s="630"/>
      <c r="ONV1812" s="630"/>
      <c r="ONW1812" s="630"/>
      <c r="ONX1812" s="630"/>
      <c r="ONY1812" s="631"/>
      <c r="ONZ1812" s="587"/>
      <c r="OOA1812" s="569"/>
      <c r="OOB1812" s="582"/>
      <c r="OOC1812" s="587"/>
      <c r="OOD1812" s="569"/>
      <c r="OOE1812" s="569"/>
      <c r="OOF1812" s="569"/>
      <c r="OOG1812" s="582"/>
      <c r="OOH1812" s="587"/>
      <c r="OOI1812" s="582"/>
      <c r="OOJ1812" s="587"/>
      <c r="OOK1812" s="569"/>
      <c r="OOL1812" s="569"/>
      <c r="OOM1812" s="569"/>
      <c r="OON1812" s="618"/>
      <c r="OOO1812" s="653"/>
      <c r="OOP1812" s="545"/>
      <c r="OOQ1812" s="651"/>
      <c r="OOR1812" s="653"/>
      <c r="OOS1812" s="591"/>
      <c r="OOT1812" s="653"/>
      <c r="OOU1812" s="654"/>
      <c r="OOV1812" s="555"/>
      <c r="OOW1812" s="556"/>
      <c r="OOX1812" s="633"/>
      <c r="OOY1812" s="634"/>
      <c r="OOZ1812" s="635"/>
      <c r="OPA1812" s="560"/>
      <c r="OPB1812" s="589"/>
      <c r="OPC1812" s="636"/>
      <c r="OPD1812" s="559"/>
      <c r="OPE1812" s="557"/>
      <c r="OPF1812" s="558"/>
      <c r="OPG1812" s="590"/>
      <c r="OPH1812" s="591"/>
      <c r="OPI1812" s="591"/>
      <c r="OPJ1812" s="592"/>
      <c r="OPK1812" s="593"/>
      <c r="OPL1812" s="591"/>
      <c r="OPM1812" s="591"/>
      <c r="OPN1812" s="591"/>
      <c r="OPO1812" s="592"/>
      <c r="OPP1812" s="593"/>
      <c r="OPQ1812" s="594"/>
      <c r="OPR1812" s="590"/>
      <c r="OPS1812" s="591"/>
      <c r="OPT1812" s="591"/>
      <c r="OPU1812" s="591"/>
      <c r="OPV1812" s="591"/>
      <c r="OPW1812" s="591"/>
      <c r="OPX1812" s="591"/>
      <c r="OPY1812" s="560"/>
      <c r="OPZ1812" s="560"/>
      <c r="OQA1812" s="592"/>
      <c r="OQB1812" s="594"/>
      <c r="OQC1812" s="593"/>
      <c r="OQD1812" s="595"/>
      <c r="OQE1812" s="542"/>
      <c r="OQF1812" s="542"/>
      <c r="OQG1812" s="542"/>
      <c r="OQH1812" s="542"/>
      <c r="OQI1812" s="542"/>
      <c r="OQJ1812" s="547"/>
      <c r="OQK1812" s="544"/>
      <c r="OQL1812" s="545"/>
      <c r="OQM1812" s="545"/>
      <c r="OQN1812" s="545"/>
      <c r="OQO1812" s="652"/>
      <c r="OQP1812" s="582"/>
      <c r="OQQ1812" s="582"/>
      <c r="OQR1812" s="629"/>
      <c r="OQS1812" s="630"/>
      <c r="OQT1812" s="630"/>
      <c r="OQU1812" s="630"/>
      <c r="OQV1812" s="630"/>
      <c r="OQW1812" s="631"/>
      <c r="OQX1812" s="587"/>
      <c r="OQY1812" s="569"/>
      <c r="OQZ1812" s="582"/>
      <c r="ORA1812" s="587"/>
      <c r="ORB1812" s="569"/>
      <c r="ORC1812" s="569"/>
      <c r="ORD1812" s="569"/>
      <c r="ORE1812" s="582"/>
      <c r="ORF1812" s="587"/>
      <c r="ORG1812" s="582"/>
      <c r="ORH1812" s="587"/>
      <c r="ORI1812" s="569"/>
      <c r="ORJ1812" s="569"/>
      <c r="ORK1812" s="569"/>
      <c r="ORL1812" s="618"/>
      <c r="ORM1812" s="653"/>
      <c r="ORN1812" s="545"/>
      <c r="ORO1812" s="651"/>
      <c r="ORP1812" s="653"/>
      <c r="ORQ1812" s="591"/>
      <c r="ORR1812" s="653"/>
      <c r="ORS1812" s="654"/>
      <c r="ORT1812" s="555"/>
      <c r="ORU1812" s="556"/>
      <c r="ORV1812" s="633"/>
      <c r="ORW1812" s="634"/>
      <c r="ORX1812" s="635"/>
      <c r="ORY1812" s="560"/>
      <c r="ORZ1812" s="589"/>
      <c r="OSA1812" s="636"/>
      <c r="OSB1812" s="559"/>
      <c r="OSC1812" s="557"/>
      <c r="OSD1812" s="558"/>
      <c r="OSE1812" s="590"/>
      <c r="OSF1812" s="591"/>
      <c r="OSG1812" s="591"/>
      <c r="OSH1812" s="592"/>
      <c r="OSI1812" s="593"/>
      <c r="OSJ1812" s="591"/>
      <c r="OSK1812" s="591"/>
      <c r="OSL1812" s="591"/>
      <c r="OSM1812" s="592"/>
      <c r="OSN1812" s="593"/>
      <c r="OSO1812" s="594"/>
      <c r="OSP1812" s="590"/>
      <c r="OSQ1812" s="591"/>
      <c r="OSR1812" s="591"/>
      <c r="OSS1812" s="591"/>
      <c r="OST1812" s="591"/>
      <c r="OSU1812" s="591"/>
      <c r="OSV1812" s="591"/>
      <c r="OSW1812" s="560"/>
      <c r="OSX1812" s="560"/>
      <c r="OSY1812" s="592"/>
      <c r="OSZ1812" s="594"/>
      <c r="OTA1812" s="593"/>
      <c r="OTB1812" s="595"/>
      <c r="OTC1812" s="542"/>
      <c r="OTD1812" s="542"/>
      <c r="OTE1812" s="542"/>
      <c r="OTF1812" s="542"/>
      <c r="OTG1812" s="542"/>
      <c r="OTH1812" s="547"/>
      <c r="OTI1812" s="544"/>
      <c r="OTJ1812" s="545"/>
      <c r="OTK1812" s="545"/>
      <c r="OTL1812" s="545"/>
      <c r="OTM1812" s="652"/>
      <c r="OTN1812" s="582"/>
      <c r="OTO1812" s="582"/>
      <c r="OTP1812" s="629"/>
      <c r="OTQ1812" s="630"/>
      <c r="OTR1812" s="630"/>
      <c r="OTS1812" s="630"/>
      <c r="OTT1812" s="630"/>
      <c r="OTU1812" s="631"/>
      <c r="OTV1812" s="587"/>
      <c r="OTW1812" s="569"/>
      <c r="OTX1812" s="582"/>
      <c r="OTY1812" s="587"/>
      <c r="OTZ1812" s="569"/>
      <c r="OUA1812" s="569"/>
      <c r="OUB1812" s="569"/>
      <c r="OUC1812" s="582"/>
      <c r="OUD1812" s="587"/>
      <c r="OUE1812" s="582"/>
      <c r="OUF1812" s="587"/>
      <c r="OUG1812" s="569"/>
      <c r="OUH1812" s="569"/>
      <c r="OUI1812" s="569"/>
      <c r="OUJ1812" s="618"/>
      <c r="OUK1812" s="653"/>
      <c r="OUL1812" s="545"/>
      <c r="OUM1812" s="651"/>
      <c r="OUN1812" s="653"/>
      <c r="OUO1812" s="591"/>
      <c r="OUP1812" s="653"/>
      <c r="OUQ1812" s="654"/>
      <c r="OUR1812" s="555"/>
      <c r="OUS1812" s="556"/>
      <c r="OUT1812" s="633"/>
      <c r="OUU1812" s="634"/>
      <c r="OUV1812" s="635"/>
      <c r="OUW1812" s="560"/>
      <c r="OUX1812" s="589"/>
      <c r="OUY1812" s="636"/>
      <c r="OUZ1812" s="559"/>
      <c r="OVA1812" s="557"/>
      <c r="OVB1812" s="558"/>
      <c r="OVC1812" s="590"/>
      <c r="OVD1812" s="591"/>
      <c r="OVE1812" s="591"/>
      <c r="OVF1812" s="592"/>
      <c r="OVG1812" s="593"/>
      <c r="OVH1812" s="591"/>
      <c r="OVI1812" s="591"/>
      <c r="OVJ1812" s="591"/>
      <c r="OVK1812" s="592"/>
      <c r="OVL1812" s="593"/>
      <c r="OVM1812" s="594"/>
      <c r="OVN1812" s="590"/>
      <c r="OVO1812" s="591"/>
      <c r="OVP1812" s="591"/>
      <c r="OVQ1812" s="591"/>
      <c r="OVR1812" s="591"/>
      <c r="OVS1812" s="591"/>
      <c r="OVT1812" s="591"/>
      <c r="OVU1812" s="560"/>
      <c r="OVV1812" s="560"/>
      <c r="OVW1812" s="592"/>
      <c r="OVX1812" s="594"/>
      <c r="OVY1812" s="593"/>
      <c r="OVZ1812" s="595"/>
      <c r="OWA1812" s="542"/>
      <c r="OWB1812" s="542"/>
      <c r="OWC1812" s="542"/>
      <c r="OWD1812" s="542"/>
      <c r="OWE1812" s="542"/>
      <c r="OWF1812" s="547"/>
      <c r="OWG1812" s="544"/>
      <c r="OWH1812" s="545"/>
      <c r="OWI1812" s="545"/>
      <c r="OWJ1812" s="545"/>
      <c r="OWK1812" s="652"/>
      <c r="OWL1812" s="582"/>
      <c r="OWM1812" s="582"/>
      <c r="OWN1812" s="629"/>
      <c r="OWO1812" s="630"/>
      <c r="OWP1812" s="630"/>
      <c r="OWQ1812" s="630"/>
      <c r="OWR1812" s="630"/>
      <c r="OWS1812" s="631"/>
      <c r="OWT1812" s="587"/>
      <c r="OWU1812" s="569"/>
      <c r="OWV1812" s="582"/>
      <c r="OWW1812" s="587"/>
      <c r="OWX1812" s="569"/>
      <c r="OWY1812" s="569"/>
      <c r="OWZ1812" s="569"/>
      <c r="OXA1812" s="582"/>
      <c r="OXB1812" s="587"/>
      <c r="OXC1812" s="582"/>
      <c r="OXD1812" s="587"/>
      <c r="OXE1812" s="569"/>
      <c r="OXF1812" s="569"/>
      <c r="OXG1812" s="569"/>
      <c r="OXH1812" s="618"/>
      <c r="OXI1812" s="653"/>
      <c r="OXJ1812" s="545"/>
      <c r="OXK1812" s="651"/>
      <c r="OXL1812" s="653"/>
      <c r="OXM1812" s="591"/>
      <c r="OXN1812" s="653"/>
      <c r="OXO1812" s="654"/>
      <c r="OXP1812" s="555"/>
      <c r="OXQ1812" s="556"/>
      <c r="OXR1812" s="633"/>
      <c r="OXS1812" s="634"/>
      <c r="OXT1812" s="635"/>
      <c r="OXU1812" s="560"/>
      <c r="OXV1812" s="589"/>
      <c r="OXW1812" s="636"/>
      <c r="OXX1812" s="559"/>
      <c r="OXY1812" s="557"/>
      <c r="OXZ1812" s="558"/>
      <c r="OYA1812" s="590"/>
      <c r="OYB1812" s="591"/>
      <c r="OYC1812" s="591"/>
      <c r="OYD1812" s="592"/>
      <c r="OYE1812" s="593"/>
      <c r="OYF1812" s="591"/>
      <c r="OYG1812" s="591"/>
      <c r="OYH1812" s="591"/>
      <c r="OYI1812" s="592"/>
      <c r="OYJ1812" s="593"/>
      <c r="OYK1812" s="594"/>
      <c r="OYL1812" s="590"/>
      <c r="OYM1812" s="591"/>
      <c r="OYN1812" s="591"/>
      <c r="OYO1812" s="591"/>
      <c r="OYP1812" s="591"/>
      <c r="OYQ1812" s="591"/>
      <c r="OYR1812" s="591"/>
      <c r="OYS1812" s="560"/>
      <c r="OYT1812" s="560"/>
      <c r="OYU1812" s="592"/>
      <c r="OYV1812" s="594"/>
      <c r="OYW1812" s="593"/>
      <c r="OYX1812" s="595"/>
      <c r="OYY1812" s="542"/>
      <c r="OYZ1812" s="542"/>
      <c r="OZA1812" s="542"/>
      <c r="OZB1812" s="542"/>
      <c r="OZC1812" s="542"/>
      <c r="OZD1812" s="547"/>
      <c r="OZE1812" s="544"/>
      <c r="OZF1812" s="545"/>
      <c r="OZG1812" s="545"/>
      <c r="OZH1812" s="545"/>
      <c r="OZI1812" s="652"/>
      <c r="OZJ1812" s="582"/>
      <c r="OZK1812" s="582"/>
      <c r="OZL1812" s="629"/>
      <c r="OZM1812" s="630"/>
      <c r="OZN1812" s="630"/>
      <c r="OZO1812" s="630"/>
      <c r="OZP1812" s="630"/>
      <c r="OZQ1812" s="631"/>
      <c r="OZR1812" s="587"/>
      <c r="OZS1812" s="569"/>
      <c r="OZT1812" s="582"/>
      <c r="OZU1812" s="587"/>
      <c r="OZV1812" s="569"/>
      <c r="OZW1812" s="569"/>
      <c r="OZX1812" s="569"/>
      <c r="OZY1812" s="582"/>
      <c r="OZZ1812" s="587"/>
      <c r="PAA1812" s="582"/>
      <c r="PAB1812" s="587"/>
      <c r="PAC1812" s="569"/>
      <c r="PAD1812" s="569"/>
      <c r="PAE1812" s="569"/>
      <c r="PAF1812" s="618"/>
      <c r="PAG1812" s="653"/>
      <c r="PAH1812" s="545"/>
      <c r="PAI1812" s="651"/>
      <c r="PAJ1812" s="653"/>
      <c r="PAK1812" s="591"/>
      <c r="PAL1812" s="653"/>
      <c r="PAM1812" s="654"/>
      <c r="PAN1812" s="555"/>
      <c r="PAO1812" s="556"/>
      <c r="PAP1812" s="633"/>
      <c r="PAQ1812" s="634"/>
      <c r="PAR1812" s="635"/>
      <c r="PAS1812" s="560"/>
      <c r="PAT1812" s="589"/>
      <c r="PAU1812" s="636"/>
      <c r="PAV1812" s="559"/>
      <c r="PAW1812" s="557"/>
      <c r="PAX1812" s="558"/>
      <c r="PAY1812" s="590"/>
      <c r="PAZ1812" s="591"/>
      <c r="PBA1812" s="591"/>
      <c r="PBB1812" s="592"/>
      <c r="PBC1812" s="593"/>
      <c r="PBD1812" s="591"/>
      <c r="PBE1812" s="591"/>
      <c r="PBF1812" s="591"/>
      <c r="PBG1812" s="592"/>
      <c r="PBH1812" s="593"/>
      <c r="PBI1812" s="594"/>
      <c r="PBJ1812" s="590"/>
      <c r="PBK1812" s="591"/>
      <c r="PBL1812" s="591"/>
      <c r="PBM1812" s="591"/>
      <c r="PBN1812" s="591"/>
      <c r="PBO1812" s="591"/>
      <c r="PBP1812" s="591"/>
      <c r="PBQ1812" s="560"/>
      <c r="PBR1812" s="560"/>
      <c r="PBS1812" s="592"/>
      <c r="PBT1812" s="594"/>
      <c r="PBU1812" s="593"/>
      <c r="PBV1812" s="595"/>
      <c r="PBW1812" s="542"/>
      <c r="PBX1812" s="542"/>
      <c r="PBY1812" s="542"/>
      <c r="PBZ1812" s="542"/>
      <c r="PCA1812" s="542"/>
      <c r="PCB1812" s="547"/>
      <c r="PCC1812" s="544"/>
      <c r="PCD1812" s="545"/>
      <c r="PCE1812" s="545"/>
      <c r="PCF1812" s="545"/>
      <c r="PCG1812" s="652"/>
      <c r="PCH1812" s="582"/>
      <c r="PCI1812" s="582"/>
      <c r="PCJ1812" s="629"/>
      <c r="PCK1812" s="630"/>
      <c r="PCL1812" s="630"/>
      <c r="PCM1812" s="630"/>
      <c r="PCN1812" s="630"/>
      <c r="PCO1812" s="631"/>
      <c r="PCP1812" s="587"/>
      <c r="PCQ1812" s="569"/>
      <c r="PCR1812" s="582"/>
      <c r="PCS1812" s="587"/>
      <c r="PCT1812" s="569"/>
      <c r="PCU1812" s="569"/>
      <c r="PCV1812" s="569"/>
      <c r="PCW1812" s="582"/>
      <c r="PCX1812" s="587"/>
      <c r="PCY1812" s="582"/>
      <c r="PCZ1812" s="587"/>
      <c r="PDA1812" s="569"/>
      <c r="PDB1812" s="569"/>
      <c r="PDC1812" s="569"/>
      <c r="PDD1812" s="618"/>
      <c r="PDE1812" s="653"/>
      <c r="PDF1812" s="545"/>
      <c r="PDG1812" s="651"/>
      <c r="PDH1812" s="653"/>
      <c r="PDI1812" s="591"/>
      <c r="PDJ1812" s="653"/>
      <c r="PDK1812" s="654"/>
      <c r="PDL1812" s="555"/>
      <c r="PDM1812" s="556"/>
      <c r="PDN1812" s="633"/>
      <c r="PDO1812" s="634"/>
      <c r="PDP1812" s="635"/>
      <c r="PDQ1812" s="560"/>
      <c r="PDR1812" s="589"/>
      <c r="PDS1812" s="636"/>
      <c r="PDT1812" s="559"/>
      <c r="PDU1812" s="557"/>
      <c r="PDV1812" s="558"/>
      <c r="PDW1812" s="590"/>
      <c r="PDX1812" s="591"/>
      <c r="PDY1812" s="591"/>
      <c r="PDZ1812" s="592"/>
      <c r="PEA1812" s="593"/>
      <c r="PEB1812" s="591"/>
      <c r="PEC1812" s="591"/>
      <c r="PED1812" s="591"/>
      <c r="PEE1812" s="592"/>
      <c r="PEF1812" s="593"/>
      <c r="PEG1812" s="594"/>
      <c r="PEH1812" s="590"/>
      <c r="PEI1812" s="591"/>
      <c r="PEJ1812" s="591"/>
      <c r="PEK1812" s="591"/>
      <c r="PEL1812" s="591"/>
      <c r="PEM1812" s="591"/>
      <c r="PEN1812" s="591"/>
      <c r="PEO1812" s="560"/>
      <c r="PEP1812" s="560"/>
      <c r="PEQ1812" s="592"/>
      <c r="PER1812" s="594"/>
      <c r="PES1812" s="593"/>
      <c r="PET1812" s="595"/>
      <c r="PEU1812" s="542"/>
      <c r="PEV1812" s="542"/>
      <c r="PEW1812" s="542"/>
      <c r="PEX1812" s="542"/>
      <c r="PEY1812" s="542"/>
      <c r="PEZ1812" s="547"/>
      <c r="PFA1812" s="544"/>
      <c r="PFB1812" s="545"/>
      <c r="PFC1812" s="545"/>
      <c r="PFD1812" s="545"/>
      <c r="PFE1812" s="652"/>
      <c r="PFF1812" s="582"/>
      <c r="PFG1812" s="582"/>
      <c r="PFH1812" s="629"/>
      <c r="PFI1812" s="630"/>
      <c r="PFJ1812" s="630"/>
      <c r="PFK1812" s="630"/>
      <c r="PFL1812" s="630"/>
      <c r="PFM1812" s="631"/>
      <c r="PFN1812" s="587"/>
      <c r="PFO1812" s="569"/>
      <c r="PFP1812" s="582"/>
      <c r="PFQ1812" s="587"/>
      <c r="PFR1812" s="569"/>
      <c r="PFS1812" s="569"/>
      <c r="PFT1812" s="569"/>
      <c r="PFU1812" s="582"/>
      <c r="PFV1812" s="587"/>
      <c r="PFW1812" s="582"/>
      <c r="PFX1812" s="587"/>
      <c r="PFY1812" s="569"/>
      <c r="PFZ1812" s="569"/>
      <c r="PGA1812" s="569"/>
      <c r="PGB1812" s="618"/>
      <c r="PGC1812" s="653"/>
      <c r="PGD1812" s="545"/>
      <c r="PGE1812" s="651"/>
      <c r="PGF1812" s="653"/>
      <c r="PGG1812" s="591"/>
      <c r="PGH1812" s="653"/>
      <c r="PGI1812" s="654"/>
      <c r="PGJ1812" s="555"/>
      <c r="PGK1812" s="556"/>
      <c r="PGL1812" s="633"/>
      <c r="PGM1812" s="634"/>
      <c r="PGN1812" s="635"/>
      <c r="PGO1812" s="560"/>
      <c r="PGP1812" s="589"/>
      <c r="PGQ1812" s="636"/>
      <c r="PGR1812" s="559"/>
      <c r="PGS1812" s="557"/>
      <c r="PGT1812" s="558"/>
      <c r="PGU1812" s="590"/>
      <c r="PGV1812" s="591"/>
      <c r="PGW1812" s="591"/>
      <c r="PGX1812" s="592"/>
      <c r="PGY1812" s="593"/>
      <c r="PGZ1812" s="591"/>
      <c r="PHA1812" s="591"/>
      <c r="PHB1812" s="591"/>
      <c r="PHC1812" s="592"/>
      <c r="PHD1812" s="593"/>
      <c r="PHE1812" s="594"/>
      <c r="PHF1812" s="590"/>
      <c r="PHG1812" s="591"/>
      <c r="PHH1812" s="591"/>
      <c r="PHI1812" s="591"/>
      <c r="PHJ1812" s="591"/>
      <c r="PHK1812" s="591"/>
      <c r="PHL1812" s="591"/>
      <c r="PHM1812" s="560"/>
      <c r="PHN1812" s="560"/>
      <c r="PHO1812" s="592"/>
      <c r="PHP1812" s="594"/>
      <c r="PHQ1812" s="593"/>
      <c r="PHR1812" s="595"/>
      <c r="PHS1812" s="542"/>
      <c r="PHT1812" s="542"/>
      <c r="PHU1812" s="542"/>
      <c r="PHV1812" s="542"/>
      <c r="PHW1812" s="542"/>
      <c r="PHX1812" s="547"/>
      <c r="PHY1812" s="544"/>
      <c r="PHZ1812" s="545"/>
      <c r="PIA1812" s="545"/>
      <c r="PIB1812" s="545"/>
      <c r="PIC1812" s="652"/>
      <c r="PID1812" s="582"/>
      <c r="PIE1812" s="582"/>
      <c r="PIF1812" s="629"/>
      <c r="PIG1812" s="630"/>
      <c r="PIH1812" s="630"/>
      <c r="PII1812" s="630"/>
      <c r="PIJ1812" s="630"/>
      <c r="PIK1812" s="631"/>
      <c r="PIL1812" s="587"/>
      <c r="PIM1812" s="569"/>
      <c r="PIN1812" s="582"/>
      <c r="PIO1812" s="587"/>
      <c r="PIP1812" s="569"/>
      <c r="PIQ1812" s="569"/>
      <c r="PIR1812" s="569"/>
      <c r="PIS1812" s="582"/>
      <c r="PIT1812" s="587"/>
      <c r="PIU1812" s="582"/>
      <c r="PIV1812" s="587"/>
      <c r="PIW1812" s="569"/>
      <c r="PIX1812" s="569"/>
      <c r="PIY1812" s="569"/>
      <c r="PIZ1812" s="618"/>
      <c r="PJA1812" s="653"/>
      <c r="PJB1812" s="545"/>
      <c r="PJC1812" s="651"/>
      <c r="PJD1812" s="653"/>
      <c r="PJE1812" s="591"/>
      <c r="PJF1812" s="653"/>
      <c r="PJG1812" s="654"/>
      <c r="PJH1812" s="555"/>
      <c r="PJI1812" s="556"/>
      <c r="PJJ1812" s="633"/>
      <c r="PJK1812" s="634"/>
      <c r="PJL1812" s="635"/>
      <c r="PJM1812" s="560"/>
      <c r="PJN1812" s="589"/>
      <c r="PJO1812" s="636"/>
      <c r="PJP1812" s="559"/>
      <c r="PJQ1812" s="557"/>
      <c r="PJR1812" s="558"/>
      <c r="PJS1812" s="590"/>
      <c r="PJT1812" s="591"/>
      <c r="PJU1812" s="591"/>
      <c r="PJV1812" s="592"/>
      <c r="PJW1812" s="593"/>
      <c r="PJX1812" s="591"/>
      <c r="PJY1812" s="591"/>
      <c r="PJZ1812" s="591"/>
      <c r="PKA1812" s="592"/>
      <c r="PKB1812" s="593"/>
      <c r="PKC1812" s="594"/>
      <c r="PKD1812" s="590"/>
      <c r="PKE1812" s="591"/>
      <c r="PKF1812" s="591"/>
      <c r="PKG1812" s="591"/>
      <c r="PKH1812" s="591"/>
      <c r="PKI1812" s="591"/>
      <c r="PKJ1812" s="591"/>
      <c r="PKK1812" s="560"/>
      <c r="PKL1812" s="560"/>
      <c r="PKM1812" s="592"/>
      <c r="PKN1812" s="594"/>
      <c r="PKO1812" s="593"/>
      <c r="PKP1812" s="595"/>
      <c r="PKQ1812" s="542"/>
      <c r="PKR1812" s="542"/>
      <c r="PKS1812" s="542"/>
      <c r="PKT1812" s="542"/>
      <c r="PKU1812" s="542"/>
      <c r="PKV1812" s="547"/>
      <c r="PKW1812" s="544"/>
      <c r="PKX1812" s="545"/>
      <c r="PKY1812" s="545"/>
      <c r="PKZ1812" s="545"/>
      <c r="PLA1812" s="652"/>
      <c r="PLB1812" s="582"/>
      <c r="PLC1812" s="582"/>
      <c r="PLD1812" s="629"/>
      <c r="PLE1812" s="630"/>
      <c r="PLF1812" s="630"/>
      <c r="PLG1812" s="630"/>
      <c r="PLH1812" s="630"/>
      <c r="PLI1812" s="631"/>
      <c r="PLJ1812" s="587"/>
      <c r="PLK1812" s="569"/>
      <c r="PLL1812" s="582"/>
      <c r="PLM1812" s="587"/>
      <c r="PLN1812" s="569"/>
      <c r="PLO1812" s="569"/>
      <c r="PLP1812" s="569"/>
      <c r="PLQ1812" s="582"/>
      <c r="PLR1812" s="587"/>
      <c r="PLS1812" s="582"/>
      <c r="PLT1812" s="587"/>
      <c r="PLU1812" s="569"/>
      <c r="PLV1812" s="569"/>
      <c r="PLW1812" s="569"/>
      <c r="PLX1812" s="618"/>
      <c r="PLY1812" s="653"/>
      <c r="PLZ1812" s="545"/>
      <c r="PMA1812" s="651"/>
      <c r="PMB1812" s="653"/>
      <c r="PMC1812" s="591"/>
      <c r="PMD1812" s="653"/>
      <c r="PME1812" s="654"/>
      <c r="PMF1812" s="555"/>
      <c r="PMG1812" s="556"/>
      <c r="PMH1812" s="633"/>
      <c r="PMI1812" s="634"/>
      <c r="PMJ1812" s="635"/>
      <c r="PMK1812" s="560"/>
      <c r="PML1812" s="589"/>
      <c r="PMM1812" s="636"/>
      <c r="PMN1812" s="559"/>
      <c r="PMO1812" s="557"/>
      <c r="PMP1812" s="558"/>
      <c r="PMQ1812" s="590"/>
      <c r="PMR1812" s="591"/>
      <c r="PMS1812" s="591"/>
      <c r="PMT1812" s="592"/>
      <c r="PMU1812" s="593"/>
      <c r="PMV1812" s="591"/>
      <c r="PMW1812" s="591"/>
      <c r="PMX1812" s="591"/>
      <c r="PMY1812" s="592"/>
      <c r="PMZ1812" s="593"/>
      <c r="PNA1812" s="594"/>
      <c r="PNB1812" s="590"/>
      <c r="PNC1812" s="591"/>
      <c r="PND1812" s="591"/>
      <c r="PNE1812" s="591"/>
      <c r="PNF1812" s="591"/>
      <c r="PNG1812" s="591"/>
      <c r="PNH1812" s="591"/>
      <c r="PNI1812" s="560"/>
      <c r="PNJ1812" s="560"/>
      <c r="PNK1812" s="592"/>
      <c r="PNL1812" s="594"/>
      <c r="PNM1812" s="593"/>
      <c r="PNN1812" s="595"/>
      <c r="PNO1812" s="542"/>
      <c r="PNP1812" s="542"/>
      <c r="PNQ1812" s="542"/>
      <c r="PNR1812" s="542"/>
      <c r="PNS1812" s="542"/>
      <c r="PNT1812" s="547"/>
      <c r="PNU1812" s="544"/>
      <c r="PNV1812" s="545"/>
      <c r="PNW1812" s="545"/>
      <c r="PNX1812" s="545"/>
      <c r="PNY1812" s="652"/>
      <c r="PNZ1812" s="582"/>
      <c r="POA1812" s="582"/>
      <c r="POB1812" s="629"/>
      <c r="POC1812" s="630"/>
      <c r="POD1812" s="630"/>
      <c r="POE1812" s="630"/>
      <c r="POF1812" s="630"/>
      <c r="POG1812" s="631"/>
      <c r="POH1812" s="587"/>
      <c r="POI1812" s="569"/>
      <c r="POJ1812" s="582"/>
      <c r="POK1812" s="587"/>
      <c r="POL1812" s="569"/>
      <c r="POM1812" s="569"/>
      <c r="PON1812" s="569"/>
      <c r="POO1812" s="582"/>
      <c r="POP1812" s="587"/>
      <c r="POQ1812" s="582"/>
      <c r="POR1812" s="587"/>
      <c r="POS1812" s="569"/>
      <c r="POT1812" s="569"/>
      <c r="POU1812" s="569"/>
      <c r="POV1812" s="618"/>
      <c r="POW1812" s="653"/>
      <c r="POX1812" s="545"/>
      <c r="POY1812" s="651"/>
      <c r="POZ1812" s="653"/>
      <c r="PPA1812" s="591"/>
      <c r="PPB1812" s="653"/>
      <c r="PPC1812" s="654"/>
      <c r="PPD1812" s="555"/>
      <c r="PPE1812" s="556"/>
      <c r="PPF1812" s="633"/>
      <c r="PPG1812" s="634"/>
      <c r="PPH1812" s="635"/>
      <c r="PPI1812" s="560"/>
      <c r="PPJ1812" s="589"/>
      <c r="PPK1812" s="636"/>
      <c r="PPL1812" s="559"/>
      <c r="PPM1812" s="557"/>
      <c r="PPN1812" s="558"/>
      <c r="PPO1812" s="590"/>
      <c r="PPP1812" s="591"/>
      <c r="PPQ1812" s="591"/>
      <c r="PPR1812" s="592"/>
      <c r="PPS1812" s="593"/>
      <c r="PPT1812" s="591"/>
      <c r="PPU1812" s="591"/>
      <c r="PPV1812" s="591"/>
      <c r="PPW1812" s="592"/>
      <c r="PPX1812" s="593"/>
      <c r="PPY1812" s="594"/>
      <c r="PPZ1812" s="590"/>
      <c r="PQA1812" s="591"/>
      <c r="PQB1812" s="591"/>
      <c r="PQC1812" s="591"/>
      <c r="PQD1812" s="591"/>
      <c r="PQE1812" s="591"/>
      <c r="PQF1812" s="591"/>
      <c r="PQG1812" s="560"/>
      <c r="PQH1812" s="560"/>
      <c r="PQI1812" s="592"/>
      <c r="PQJ1812" s="594"/>
      <c r="PQK1812" s="593"/>
      <c r="PQL1812" s="595"/>
      <c r="PQM1812" s="542"/>
      <c r="PQN1812" s="542"/>
      <c r="PQO1812" s="542"/>
      <c r="PQP1812" s="542"/>
      <c r="PQQ1812" s="542"/>
      <c r="PQR1812" s="547"/>
      <c r="PQS1812" s="544"/>
      <c r="PQT1812" s="545"/>
      <c r="PQU1812" s="545"/>
      <c r="PQV1812" s="545"/>
      <c r="PQW1812" s="652"/>
      <c r="PQX1812" s="582"/>
      <c r="PQY1812" s="582"/>
      <c r="PQZ1812" s="629"/>
      <c r="PRA1812" s="630"/>
      <c r="PRB1812" s="630"/>
      <c r="PRC1812" s="630"/>
      <c r="PRD1812" s="630"/>
      <c r="PRE1812" s="631"/>
      <c r="PRF1812" s="587"/>
      <c r="PRG1812" s="569"/>
      <c r="PRH1812" s="582"/>
      <c r="PRI1812" s="587"/>
      <c r="PRJ1812" s="569"/>
      <c r="PRK1812" s="569"/>
      <c r="PRL1812" s="569"/>
      <c r="PRM1812" s="582"/>
      <c r="PRN1812" s="587"/>
      <c r="PRO1812" s="582"/>
      <c r="PRP1812" s="587"/>
      <c r="PRQ1812" s="569"/>
      <c r="PRR1812" s="569"/>
      <c r="PRS1812" s="569"/>
      <c r="PRT1812" s="618"/>
      <c r="PRU1812" s="653"/>
      <c r="PRV1812" s="545"/>
      <c r="PRW1812" s="651"/>
      <c r="PRX1812" s="653"/>
      <c r="PRY1812" s="591"/>
      <c r="PRZ1812" s="653"/>
      <c r="PSA1812" s="654"/>
      <c r="PSB1812" s="555"/>
      <c r="PSC1812" s="556"/>
      <c r="PSD1812" s="633"/>
      <c r="PSE1812" s="634"/>
      <c r="PSF1812" s="635"/>
      <c r="PSG1812" s="560"/>
      <c r="PSH1812" s="589"/>
      <c r="PSI1812" s="636"/>
      <c r="PSJ1812" s="559"/>
      <c r="PSK1812" s="557"/>
      <c r="PSL1812" s="558"/>
      <c r="PSM1812" s="590"/>
      <c r="PSN1812" s="591"/>
      <c r="PSO1812" s="591"/>
      <c r="PSP1812" s="592"/>
      <c r="PSQ1812" s="593"/>
      <c r="PSR1812" s="591"/>
      <c r="PSS1812" s="591"/>
      <c r="PST1812" s="591"/>
      <c r="PSU1812" s="592"/>
      <c r="PSV1812" s="593"/>
      <c r="PSW1812" s="594"/>
      <c r="PSX1812" s="590"/>
      <c r="PSY1812" s="591"/>
      <c r="PSZ1812" s="591"/>
      <c r="PTA1812" s="591"/>
      <c r="PTB1812" s="591"/>
      <c r="PTC1812" s="591"/>
      <c r="PTD1812" s="591"/>
      <c r="PTE1812" s="560"/>
      <c r="PTF1812" s="560"/>
      <c r="PTG1812" s="592"/>
      <c r="PTH1812" s="594"/>
      <c r="PTI1812" s="593"/>
      <c r="PTJ1812" s="595"/>
      <c r="PTK1812" s="542"/>
      <c r="PTL1812" s="542"/>
      <c r="PTM1812" s="542"/>
      <c r="PTN1812" s="542"/>
      <c r="PTO1812" s="542"/>
      <c r="PTP1812" s="547"/>
      <c r="PTQ1812" s="544"/>
      <c r="PTR1812" s="545"/>
      <c r="PTS1812" s="545"/>
      <c r="PTT1812" s="545"/>
      <c r="PTU1812" s="652"/>
      <c r="PTV1812" s="582"/>
      <c r="PTW1812" s="582"/>
      <c r="PTX1812" s="629"/>
      <c r="PTY1812" s="630"/>
      <c r="PTZ1812" s="630"/>
      <c r="PUA1812" s="630"/>
      <c r="PUB1812" s="630"/>
      <c r="PUC1812" s="631"/>
      <c r="PUD1812" s="587"/>
      <c r="PUE1812" s="569"/>
      <c r="PUF1812" s="582"/>
      <c r="PUG1812" s="587"/>
      <c r="PUH1812" s="569"/>
      <c r="PUI1812" s="569"/>
      <c r="PUJ1812" s="569"/>
      <c r="PUK1812" s="582"/>
      <c r="PUL1812" s="587"/>
      <c r="PUM1812" s="582"/>
      <c r="PUN1812" s="587"/>
      <c r="PUO1812" s="569"/>
      <c r="PUP1812" s="569"/>
      <c r="PUQ1812" s="569"/>
      <c r="PUR1812" s="618"/>
      <c r="PUS1812" s="653"/>
      <c r="PUT1812" s="545"/>
      <c r="PUU1812" s="651"/>
      <c r="PUV1812" s="653"/>
      <c r="PUW1812" s="591"/>
      <c r="PUX1812" s="653"/>
      <c r="PUY1812" s="654"/>
      <c r="PUZ1812" s="555"/>
      <c r="PVA1812" s="556"/>
      <c r="PVB1812" s="633"/>
      <c r="PVC1812" s="634"/>
      <c r="PVD1812" s="635"/>
      <c r="PVE1812" s="560"/>
      <c r="PVF1812" s="589"/>
      <c r="PVG1812" s="636"/>
      <c r="PVH1812" s="559"/>
      <c r="PVI1812" s="557"/>
      <c r="PVJ1812" s="558"/>
      <c r="PVK1812" s="590"/>
      <c r="PVL1812" s="591"/>
      <c r="PVM1812" s="591"/>
      <c r="PVN1812" s="592"/>
      <c r="PVO1812" s="593"/>
      <c r="PVP1812" s="591"/>
      <c r="PVQ1812" s="591"/>
      <c r="PVR1812" s="591"/>
      <c r="PVS1812" s="592"/>
      <c r="PVT1812" s="593"/>
      <c r="PVU1812" s="594"/>
      <c r="PVV1812" s="590"/>
      <c r="PVW1812" s="591"/>
      <c r="PVX1812" s="591"/>
      <c r="PVY1812" s="591"/>
      <c r="PVZ1812" s="591"/>
      <c r="PWA1812" s="591"/>
      <c r="PWB1812" s="591"/>
      <c r="PWC1812" s="560"/>
      <c r="PWD1812" s="560"/>
      <c r="PWE1812" s="592"/>
      <c r="PWF1812" s="594"/>
      <c r="PWG1812" s="593"/>
      <c r="PWH1812" s="595"/>
      <c r="PWI1812" s="542"/>
      <c r="PWJ1812" s="542"/>
      <c r="PWK1812" s="542"/>
      <c r="PWL1812" s="542"/>
      <c r="PWM1812" s="542"/>
      <c r="PWN1812" s="547"/>
      <c r="PWO1812" s="544"/>
      <c r="PWP1812" s="545"/>
      <c r="PWQ1812" s="545"/>
      <c r="PWR1812" s="545"/>
      <c r="PWS1812" s="652"/>
      <c r="PWT1812" s="582"/>
      <c r="PWU1812" s="582"/>
      <c r="PWV1812" s="629"/>
      <c r="PWW1812" s="630"/>
      <c r="PWX1812" s="630"/>
      <c r="PWY1812" s="630"/>
      <c r="PWZ1812" s="630"/>
      <c r="PXA1812" s="631"/>
      <c r="PXB1812" s="587"/>
      <c r="PXC1812" s="569"/>
      <c r="PXD1812" s="582"/>
      <c r="PXE1812" s="587"/>
      <c r="PXF1812" s="569"/>
      <c r="PXG1812" s="569"/>
      <c r="PXH1812" s="569"/>
      <c r="PXI1812" s="582"/>
      <c r="PXJ1812" s="587"/>
      <c r="PXK1812" s="582"/>
      <c r="PXL1812" s="587"/>
      <c r="PXM1812" s="569"/>
      <c r="PXN1812" s="569"/>
      <c r="PXO1812" s="569"/>
      <c r="PXP1812" s="618"/>
      <c r="PXQ1812" s="653"/>
      <c r="PXR1812" s="545"/>
      <c r="PXS1812" s="651"/>
      <c r="PXT1812" s="653"/>
      <c r="PXU1812" s="591"/>
      <c r="PXV1812" s="653"/>
      <c r="PXW1812" s="654"/>
      <c r="PXX1812" s="555"/>
      <c r="PXY1812" s="556"/>
      <c r="PXZ1812" s="633"/>
      <c r="PYA1812" s="634"/>
      <c r="PYB1812" s="635"/>
      <c r="PYC1812" s="560"/>
      <c r="PYD1812" s="589"/>
      <c r="PYE1812" s="636"/>
      <c r="PYF1812" s="559"/>
      <c r="PYG1812" s="557"/>
      <c r="PYH1812" s="558"/>
      <c r="PYI1812" s="590"/>
      <c r="PYJ1812" s="591"/>
      <c r="PYK1812" s="591"/>
      <c r="PYL1812" s="592"/>
      <c r="PYM1812" s="593"/>
      <c r="PYN1812" s="591"/>
      <c r="PYO1812" s="591"/>
      <c r="PYP1812" s="591"/>
      <c r="PYQ1812" s="592"/>
      <c r="PYR1812" s="593"/>
      <c r="PYS1812" s="594"/>
      <c r="PYT1812" s="590"/>
      <c r="PYU1812" s="591"/>
      <c r="PYV1812" s="591"/>
      <c r="PYW1812" s="591"/>
      <c r="PYX1812" s="591"/>
      <c r="PYY1812" s="591"/>
      <c r="PYZ1812" s="591"/>
      <c r="PZA1812" s="560"/>
      <c r="PZB1812" s="560"/>
      <c r="PZC1812" s="592"/>
      <c r="PZD1812" s="594"/>
      <c r="PZE1812" s="593"/>
      <c r="PZF1812" s="595"/>
      <c r="PZG1812" s="542"/>
      <c r="PZH1812" s="542"/>
      <c r="PZI1812" s="542"/>
      <c r="PZJ1812" s="542"/>
      <c r="PZK1812" s="542"/>
      <c r="PZL1812" s="547"/>
      <c r="PZM1812" s="544"/>
      <c r="PZN1812" s="545"/>
      <c r="PZO1812" s="545"/>
      <c r="PZP1812" s="545"/>
      <c r="PZQ1812" s="652"/>
      <c r="PZR1812" s="582"/>
      <c r="PZS1812" s="582"/>
      <c r="PZT1812" s="629"/>
      <c r="PZU1812" s="630"/>
      <c r="PZV1812" s="630"/>
      <c r="PZW1812" s="630"/>
      <c r="PZX1812" s="630"/>
      <c r="PZY1812" s="631"/>
      <c r="PZZ1812" s="587"/>
      <c r="QAA1812" s="569"/>
      <c r="QAB1812" s="582"/>
      <c r="QAC1812" s="587"/>
      <c r="QAD1812" s="569"/>
      <c r="QAE1812" s="569"/>
      <c r="QAF1812" s="569"/>
      <c r="QAG1812" s="582"/>
      <c r="QAH1812" s="587"/>
      <c r="QAI1812" s="582"/>
      <c r="QAJ1812" s="587"/>
      <c r="QAK1812" s="569"/>
      <c r="QAL1812" s="569"/>
      <c r="QAM1812" s="569"/>
      <c r="QAN1812" s="618"/>
      <c r="QAO1812" s="653"/>
      <c r="QAP1812" s="545"/>
      <c r="QAQ1812" s="651"/>
      <c r="QAR1812" s="653"/>
      <c r="QAS1812" s="591"/>
      <c r="QAT1812" s="653"/>
      <c r="QAU1812" s="654"/>
      <c r="QAV1812" s="555"/>
      <c r="QAW1812" s="556"/>
      <c r="QAX1812" s="633"/>
      <c r="QAY1812" s="634"/>
      <c r="QAZ1812" s="635"/>
      <c r="QBA1812" s="560"/>
      <c r="QBB1812" s="589"/>
      <c r="QBC1812" s="636"/>
      <c r="QBD1812" s="559"/>
      <c r="QBE1812" s="557"/>
      <c r="QBF1812" s="558"/>
      <c r="QBG1812" s="590"/>
      <c r="QBH1812" s="591"/>
      <c r="QBI1812" s="591"/>
      <c r="QBJ1812" s="592"/>
      <c r="QBK1812" s="593"/>
      <c r="QBL1812" s="591"/>
      <c r="QBM1812" s="591"/>
      <c r="QBN1812" s="591"/>
      <c r="QBO1812" s="592"/>
      <c r="QBP1812" s="593"/>
      <c r="QBQ1812" s="594"/>
      <c r="QBR1812" s="590"/>
      <c r="QBS1812" s="591"/>
      <c r="QBT1812" s="591"/>
      <c r="QBU1812" s="591"/>
      <c r="QBV1812" s="591"/>
      <c r="QBW1812" s="591"/>
      <c r="QBX1812" s="591"/>
      <c r="QBY1812" s="560"/>
      <c r="QBZ1812" s="560"/>
      <c r="QCA1812" s="592"/>
      <c r="QCB1812" s="594"/>
      <c r="QCC1812" s="593"/>
      <c r="QCD1812" s="595"/>
      <c r="QCE1812" s="542"/>
      <c r="QCF1812" s="542"/>
      <c r="QCG1812" s="542"/>
      <c r="QCH1812" s="542"/>
      <c r="QCI1812" s="542"/>
      <c r="QCJ1812" s="547"/>
      <c r="QCK1812" s="544"/>
      <c r="QCL1812" s="545"/>
      <c r="QCM1812" s="545"/>
      <c r="QCN1812" s="545"/>
      <c r="QCO1812" s="652"/>
      <c r="QCP1812" s="582"/>
      <c r="QCQ1812" s="582"/>
      <c r="QCR1812" s="629"/>
      <c r="QCS1812" s="630"/>
      <c r="QCT1812" s="630"/>
      <c r="QCU1812" s="630"/>
      <c r="QCV1812" s="630"/>
      <c r="QCW1812" s="631"/>
      <c r="QCX1812" s="587"/>
      <c r="QCY1812" s="569"/>
      <c r="QCZ1812" s="582"/>
      <c r="QDA1812" s="587"/>
      <c r="QDB1812" s="569"/>
      <c r="QDC1812" s="569"/>
      <c r="QDD1812" s="569"/>
      <c r="QDE1812" s="582"/>
      <c r="QDF1812" s="587"/>
      <c r="QDG1812" s="582"/>
      <c r="QDH1812" s="587"/>
      <c r="QDI1812" s="569"/>
      <c r="QDJ1812" s="569"/>
      <c r="QDK1812" s="569"/>
      <c r="QDL1812" s="618"/>
      <c r="QDM1812" s="653"/>
      <c r="QDN1812" s="545"/>
      <c r="QDO1812" s="651"/>
      <c r="QDP1812" s="653"/>
      <c r="QDQ1812" s="591"/>
      <c r="QDR1812" s="653"/>
      <c r="QDS1812" s="654"/>
      <c r="QDT1812" s="555"/>
      <c r="QDU1812" s="556"/>
      <c r="QDV1812" s="633"/>
      <c r="QDW1812" s="634"/>
      <c r="QDX1812" s="635"/>
      <c r="QDY1812" s="560"/>
      <c r="QDZ1812" s="589"/>
      <c r="QEA1812" s="636"/>
      <c r="QEB1812" s="559"/>
      <c r="QEC1812" s="557"/>
      <c r="QED1812" s="558"/>
      <c r="QEE1812" s="590"/>
      <c r="QEF1812" s="591"/>
      <c r="QEG1812" s="591"/>
      <c r="QEH1812" s="592"/>
      <c r="QEI1812" s="593"/>
      <c r="QEJ1812" s="591"/>
      <c r="QEK1812" s="591"/>
      <c r="QEL1812" s="591"/>
      <c r="QEM1812" s="592"/>
      <c r="QEN1812" s="593"/>
      <c r="QEO1812" s="594"/>
      <c r="QEP1812" s="590"/>
      <c r="QEQ1812" s="591"/>
      <c r="QER1812" s="591"/>
      <c r="QES1812" s="591"/>
      <c r="QET1812" s="591"/>
      <c r="QEU1812" s="591"/>
      <c r="QEV1812" s="591"/>
      <c r="QEW1812" s="560"/>
      <c r="QEX1812" s="560"/>
      <c r="QEY1812" s="592"/>
      <c r="QEZ1812" s="594"/>
      <c r="QFA1812" s="593"/>
      <c r="QFB1812" s="595"/>
      <c r="QFC1812" s="542"/>
      <c r="QFD1812" s="542"/>
      <c r="QFE1812" s="542"/>
      <c r="QFF1812" s="542"/>
      <c r="QFG1812" s="542"/>
      <c r="QFH1812" s="547"/>
      <c r="QFI1812" s="544"/>
      <c r="QFJ1812" s="545"/>
      <c r="QFK1812" s="545"/>
      <c r="QFL1812" s="545"/>
      <c r="QFM1812" s="652"/>
      <c r="QFN1812" s="582"/>
      <c r="QFO1812" s="582"/>
      <c r="QFP1812" s="629"/>
      <c r="QFQ1812" s="630"/>
      <c r="QFR1812" s="630"/>
      <c r="QFS1812" s="630"/>
      <c r="QFT1812" s="630"/>
      <c r="QFU1812" s="631"/>
      <c r="QFV1812" s="587"/>
      <c r="QFW1812" s="569"/>
      <c r="QFX1812" s="582"/>
      <c r="QFY1812" s="587"/>
      <c r="QFZ1812" s="569"/>
      <c r="QGA1812" s="569"/>
      <c r="QGB1812" s="569"/>
      <c r="QGC1812" s="582"/>
      <c r="QGD1812" s="587"/>
      <c r="QGE1812" s="582"/>
      <c r="QGF1812" s="587"/>
      <c r="QGG1812" s="569"/>
      <c r="QGH1812" s="569"/>
      <c r="QGI1812" s="569"/>
      <c r="QGJ1812" s="618"/>
      <c r="QGK1812" s="653"/>
      <c r="QGL1812" s="545"/>
      <c r="QGM1812" s="651"/>
      <c r="QGN1812" s="653"/>
      <c r="QGO1812" s="591"/>
      <c r="QGP1812" s="653"/>
      <c r="QGQ1812" s="654"/>
      <c r="QGR1812" s="555"/>
      <c r="QGS1812" s="556"/>
      <c r="QGT1812" s="633"/>
      <c r="QGU1812" s="634"/>
      <c r="QGV1812" s="635"/>
      <c r="QGW1812" s="560"/>
      <c r="QGX1812" s="589"/>
      <c r="QGY1812" s="636"/>
      <c r="QGZ1812" s="559"/>
      <c r="QHA1812" s="557"/>
      <c r="QHB1812" s="558"/>
      <c r="QHC1812" s="590"/>
      <c r="QHD1812" s="591"/>
      <c r="QHE1812" s="591"/>
      <c r="QHF1812" s="592"/>
      <c r="QHG1812" s="593"/>
      <c r="QHH1812" s="591"/>
      <c r="QHI1812" s="591"/>
      <c r="QHJ1812" s="591"/>
      <c r="QHK1812" s="592"/>
      <c r="QHL1812" s="593"/>
      <c r="QHM1812" s="594"/>
      <c r="QHN1812" s="590"/>
      <c r="QHO1812" s="591"/>
      <c r="QHP1812" s="591"/>
      <c r="QHQ1812" s="591"/>
      <c r="QHR1812" s="591"/>
      <c r="QHS1812" s="591"/>
      <c r="QHT1812" s="591"/>
      <c r="QHU1812" s="560"/>
      <c r="QHV1812" s="560"/>
      <c r="QHW1812" s="592"/>
      <c r="QHX1812" s="594"/>
      <c r="QHY1812" s="593"/>
      <c r="QHZ1812" s="595"/>
      <c r="QIA1812" s="542"/>
      <c r="QIB1812" s="542"/>
      <c r="QIC1812" s="542"/>
      <c r="QID1812" s="542"/>
      <c r="QIE1812" s="542"/>
      <c r="QIF1812" s="547"/>
      <c r="QIG1812" s="544"/>
      <c r="QIH1812" s="545"/>
      <c r="QII1812" s="545"/>
      <c r="QIJ1812" s="545"/>
      <c r="QIK1812" s="652"/>
      <c r="QIL1812" s="582"/>
      <c r="QIM1812" s="582"/>
      <c r="QIN1812" s="629"/>
      <c r="QIO1812" s="630"/>
      <c r="QIP1812" s="630"/>
      <c r="QIQ1812" s="630"/>
      <c r="QIR1812" s="630"/>
      <c r="QIS1812" s="631"/>
      <c r="QIT1812" s="587"/>
      <c r="QIU1812" s="569"/>
      <c r="QIV1812" s="582"/>
      <c r="QIW1812" s="587"/>
      <c r="QIX1812" s="569"/>
      <c r="QIY1812" s="569"/>
      <c r="QIZ1812" s="569"/>
      <c r="QJA1812" s="582"/>
      <c r="QJB1812" s="587"/>
      <c r="QJC1812" s="582"/>
      <c r="QJD1812" s="587"/>
      <c r="QJE1812" s="569"/>
      <c r="QJF1812" s="569"/>
      <c r="QJG1812" s="569"/>
      <c r="QJH1812" s="618"/>
      <c r="QJI1812" s="653"/>
      <c r="QJJ1812" s="545"/>
      <c r="QJK1812" s="651"/>
      <c r="QJL1812" s="653"/>
      <c r="QJM1812" s="591"/>
      <c r="QJN1812" s="653"/>
      <c r="QJO1812" s="654"/>
      <c r="QJP1812" s="555"/>
      <c r="QJQ1812" s="556"/>
      <c r="QJR1812" s="633"/>
      <c r="QJS1812" s="634"/>
      <c r="QJT1812" s="635"/>
      <c r="QJU1812" s="560"/>
      <c r="QJV1812" s="589"/>
      <c r="QJW1812" s="636"/>
      <c r="QJX1812" s="559"/>
      <c r="QJY1812" s="557"/>
      <c r="QJZ1812" s="558"/>
      <c r="QKA1812" s="590"/>
      <c r="QKB1812" s="591"/>
      <c r="QKC1812" s="591"/>
      <c r="QKD1812" s="592"/>
      <c r="QKE1812" s="593"/>
      <c r="QKF1812" s="591"/>
      <c r="QKG1812" s="591"/>
      <c r="QKH1812" s="591"/>
      <c r="QKI1812" s="592"/>
      <c r="QKJ1812" s="593"/>
      <c r="QKK1812" s="594"/>
      <c r="QKL1812" s="590"/>
      <c r="QKM1812" s="591"/>
      <c r="QKN1812" s="591"/>
      <c r="QKO1812" s="591"/>
      <c r="QKP1812" s="591"/>
      <c r="QKQ1812" s="591"/>
      <c r="QKR1812" s="591"/>
      <c r="QKS1812" s="560"/>
      <c r="QKT1812" s="560"/>
      <c r="QKU1812" s="592"/>
      <c r="QKV1812" s="594"/>
      <c r="QKW1812" s="593"/>
      <c r="QKX1812" s="595"/>
      <c r="QKY1812" s="542"/>
      <c r="QKZ1812" s="542"/>
      <c r="QLA1812" s="542"/>
      <c r="QLB1812" s="542"/>
      <c r="QLC1812" s="542"/>
      <c r="QLD1812" s="547"/>
      <c r="QLE1812" s="544"/>
      <c r="QLF1812" s="545"/>
      <c r="QLG1812" s="545"/>
      <c r="QLH1812" s="545"/>
      <c r="QLI1812" s="652"/>
      <c r="QLJ1812" s="582"/>
      <c r="QLK1812" s="582"/>
      <c r="QLL1812" s="629"/>
      <c r="QLM1812" s="630"/>
      <c r="QLN1812" s="630"/>
      <c r="QLO1812" s="630"/>
      <c r="QLP1812" s="630"/>
      <c r="QLQ1812" s="631"/>
      <c r="QLR1812" s="587"/>
      <c r="QLS1812" s="569"/>
      <c r="QLT1812" s="582"/>
      <c r="QLU1812" s="587"/>
      <c r="QLV1812" s="569"/>
      <c r="QLW1812" s="569"/>
      <c r="QLX1812" s="569"/>
      <c r="QLY1812" s="582"/>
      <c r="QLZ1812" s="587"/>
      <c r="QMA1812" s="582"/>
      <c r="QMB1812" s="587"/>
      <c r="QMC1812" s="569"/>
      <c r="QMD1812" s="569"/>
      <c r="QME1812" s="569"/>
      <c r="QMF1812" s="618"/>
      <c r="QMG1812" s="653"/>
      <c r="QMH1812" s="545"/>
      <c r="QMI1812" s="651"/>
      <c r="QMJ1812" s="653"/>
      <c r="QMK1812" s="591"/>
      <c r="QML1812" s="653"/>
      <c r="QMM1812" s="654"/>
      <c r="QMN1812" s="555"/>
      <c r="QMO1812" s="556"/>
      <c r="QMP1812" s="633"/>
      <c r="QMQ1812" s="634"/>
      <c r="QMR1812" s="635"/>
      <c r="QMS1812" s="560"/>
      <c r="QMT1812" s="589"/>
      <c r="QMU1812" s="636"/>
      <c r="QMV1812" s="559"/>
      <c r="QMW1812" s="557"/>
      <c r="QMX1812" s="558"/>
      <c r="QMY1812" s="590"/>
      <c r="QMZ1812" s="591"/>
      <c r="QNA1812" s="591"/>
      <c r="QNB1812" s="592"/>
      <c r="QNC1812" s="593"/>
      <c r="QND1812" s="591"/>
      <c r="QNE1812" s="591"/>
      <c r="QNF1812" s="591"/>
      <c r="QNG1812" s="592"/>
      <c r="QNH1812" s="593"/>
      <c r="QNI1812" s="594"/>
      <c r="QNJ1812" s="590"/>
      <c r="QNK1812" s="591"/>
      <c r="QNL1812" s="591"/>
      <c r="QNM1812" s="591"/>
      <c r="QNN1812" s="591"/>
      <c r="QNO1812" s="591"/>
      <c r="QNP1812" s="591"/>
      <c r="QNQ1812" s="560"/>
      <c r="QNR1812" s="560"/>
      <c r="QNS1812" s="592"/>
      <c r="QNT1812" s="594"/>
      <c r="QNU1812" s="593"/>
      <c r="QNV1812" s="595"/>
      <c r="QNW1812" s="542"/>
      <c r="QNX1812" s="542"/>
      <c r="QNY1812" s="542"/>
      <c r="QNZ1812" s="542"/>
      <c r="QOA1812" s="542"/>
      <c r="QOB1812" s="547"/>
      <c r="QOC1812" s="544"/>
      <c r="QOD1812" s="545"/>
      <c r="QOE1812" s="545"/>
      <c r="QOF1812" s="545"/>
      <c r="QOG1812" s="652"/>
      <c r="QOH1812" s="582"/>
      <c r="QOI1812" s="582"/>
      <c r="QOJ1812" s="629"/>
      <c r="QOK1812" s="630"/>
      <c r="QOL1812" s="630"/>
      <c r="QOM1812" s="630"/>
      <c r="QON1812" s="630"/>
      <c r="QOO1812" s="631"/>
      <c r="QOP1812" s="587"/>
      <c r="QOQ1812" s="569"/>
      <c r="QOR1812" s="582"/>
      <c r="QOS1812" s="587"/>
      <c r="QOT1812" s="569"/>
      <c r="QOU1812" s="569"/>
      <c r="QOV1812" s="569"/>
      <c r="QOW1812" s="582"/>
      <c r="QOX1812" s="587"/>
      <c r="QOY1812" s="582"/>
      <c r="QOZ1812" s="587"/>
      <c r="QPA1812" s="569"/>
      <c r="QPB1812" s="569"/>
      <c r="QPC1812" s="569"/>
      <c r="QPD1812" s="618"/>
      <c r="QPE1812" s="653"/>
      <c r="QPF1812" s="545"/>
      <c r="QPG1812" s="651"/>
      <c r="QPH1812" s="653"/>
      <c r="QPI1812" s="591"/>
      <c r="QPJ1812" s="653"/>
      <c r="QPK1812" s="654"/>
      <c r="QPL1812" s="555"/>
      <c r="QPM1812" s="556"/>
      <c r="QPN1812" s="633"/>
      <c r="QPO1812" s="634"/>
      <c r="QPP1812" s="635"/>
      <c r="QPQ1812" s="560"/>
      <c r="QPR1812" s="589"/>
      <c r="QPS1812" s="636"/>
      <c r="QPT1812" s="559"/>
      <c r="QPU1812" s="557"/>
      <c r="QPV1812" s="558"/>
      <c r="QPW1812" s="590"/>
      <c r="QPX1812" s="591"/>
      <c r="QPY1812" s="591"/>
      <c r="QPZ1812" s="592"/>
      <c r="QQA1812" s="593"/>
      <c r="QQB1812" s="591"/>
      <c r="QQC1812" s="591"/>
      <c r="QQD1812" s="591"/>
      <c r="QQE1812" s="592"/>
      <c r="QQF1812" s="593"/>
      <c r="QQG1812" s="594"/>
      <c r="QQH1812" s="590"/>
      <c r="QQI1812" s="591"/>
      <c r="QQJ1812" s="591"/>
      <c r="QQK1812" s="591"/>
      <c r="QQL1812" s="591"/>
      <c r="QQM1812" s="591"/>
      <c r="QQN1812" s="591"/>
      <c r="QQO1812" s="560"/>
      <c r="QQP1812" s="560"/>
      <c r="QQQ1812" s="592"/>
      <c r="QQR1812" s="594"/>
      <c r="QQS1812" s="593"/>
      <c r="QQT1812" s="595"/>
      <c r="QQU1812" s="542"/>
      <c r="QQV1812" s="542"/>
      <c r="QQW1812" s="542"/>
      <c r="QQX1812" s="542"/>
      <c r="QQY1812" s="542"/>
      <c r="QQZ1812" s="547"/>
      <c r="QRA1812" s="544"/>
      <c r="QRB1812" s="545"/>
      <c r="QRC1812" s="545"/>
      <c r="QRD1812" s="545"/>
      <c r="QRE1812" s="652"/>
      <c r="QRF1812" s="582"/>
      <c r="QRG1812" s="582"/>
      <c r="QRH1812" s="629"/>
      <c r="QRI1812" s="630"/>
      <c r="QRJ1812" s="630"/>
      <c r="QRK1812" s="630"/>
      <c r="QRL1812" s="630"/>
      <c r="QRM1812" s="631"/>
      <c r="QRN1812" s="587"/>
      <c r="QRO1812" s="569"/>
      <c r="QRP1812" s="582"/>
      <c r="QRQ1812" s="587"/>
      <c r="QRR1812" s="569"/>
      <c r="QRS1812" s="569"/>
      <c r="QRT1812" s="569"/>
      <c r="QRU1812" s="582"/>
      <c r="QRV1812" s="587"/>
      <c r="QRW1812" s="582"/>
      <c r="QRX1812" s="587"/>
      <c r="QRY1812" s="569"/>
      <c r="QRZ1812" s="569"/>
      <c r="QSA1812" s="569"/>
      <c r="QSB1812" s="618"/>
      <c r="QSC1812" s="653"/>
      <c r="QSD1812" s="545"/>
      <c r="QSE1812" s="651"/>
      <c r="QSF1812" s="653"/>
      <c r="QSG1812" s="591"/>
      <c r="QSH1812" s="653"/>
      <c r="QSI1812" s="654"/>
      <c r="QSJ1812" s="555"/>
      <c r="QSK1812" s="556"/>
      <c r="QSL1812" s="633"/>
      <c r="QSM1812" s="634"/>
      <c r="QSN1812" s="635"/>
      <c r="QSO1812" s="560"/>
      <c r="QSP1812" s="589"/>
      <c r="QSQ1812" s="636"/>
      <c r="QSR1812" s="559"/>
      <c r="QSS1812" s="557"/>
      <c r="QST1812" s="558"/>
      <c r="QSU1812" s="590"/>
      <c r="QSV1812" s="591"/>
      <c r="QSW1812" s="591"/>
      <c r="QSX1812" s="592"/>
      <c r="QSY1812" s="593"/>
      <c r="QSZ1812" s="591"/>
      <c r="QTA1812" s="591"/>
      <c r="QTB1812" s="591"/>
      <c r="QTC1812" s="592"/>
      <c r="QTD1812" s="593"/>
      <c r="QTE1812" s="594"/>
      <c r="QTF1812" s="590"/>
      <c r="QTG1812" s="591"/>
      <c r="QTH1812" s="591"/>
      <c r="QTI1812" s="591"/>
      <c r="QTJ1812" s="591"/>
      <c r="QTK1812" s="591"/>
      <c r="QTL1812" s="591"/>
      <c r="QTM1812" s="560"/>
      <c r="QTN1812" s="560"/>
      <c r="QTO1812" s="592"/>
      <c r="QTP1812" s="594"/>
      <c r="QTQ1812" s="593"/>
      <c r="QTR1812" s="595"/>
      <c r="QTS1812" s="542"/>
      <c r="QTT1812" s="542"/>
      <c r="QTU1812" s="542"/>
      <c r="QTV1812" s="542"/>
      <c r="QTW1812" s="542"/>
      <c r="QTX1812" s="547"/>
      <c r="QTY1812" s="544"/>
      <c r="QTZ1812" s="545"/>
      <c r="QUA1812" s="545"/>
      <c r="QUB1812" s="545"/>
      <c r="QUC1812" s="652"/>
      <c r="QUD1812" s="582"/>
      <c r="QUE1812" s="582"/>
      <c r="QUF1812" s="629"/>
      <c r="QUG1812" s="630"/>
      <c r="QUH1812" s="630"/>
      <c r="QUI1812" s="630"/>
      <c r="QUJ1812" s="630"/>
      <c r="QUK1812" s="631"/>
      <c r="QUL1812" s="587"/>
      <c r="QUM1812" s="569"/>
      <c r="QUN1812" s="582"/>
      <c r="QUO1812" s="587"/>
      <c r="QUP1812" s="569"/>
      <c r="QUQ1812" s="569"/>
      <c r="QUR1812" s="569"/>
      <c r="QUS1812" s="582"/>
      <c r="QUT1812" s="587"/>
      <c r="QUU1812" s="582"/>
      <c r="QUV1812" s="587"/>
      <c r="QUW1812" s="569"/>
      <c r="QUX1812" s="569"/>
      <c r="QUY1812" s="569"/>
      <c r="QUZ1812" s="618"/>
      <c r="QVA1812" s="653"/>
      <c r="QVB1812" s="545"/>
      <c r="QVC1812" s="651"/>
      <c r="QVD1812" s="653"/>
      <c r="QVE1812" s="591"/>
      <c r="QVF1812" s="653"/>
      <c r="QVG1812" s="654"/>
      <c r="QVH1812" s="555"/>
      <c r="QVI1812" s="556"/>
      <c r="QVJ1812" s="633"/>
      <c r="QVK1812" s="634"/>
      <c r="QVL1812" s="635"/>
      <c r="QVM1812" s="560"/>
      <c r="QVN1812" s="589"/>
      <c r="QVO1812" s="636"/>
      <c r="QVP1812" s="559"/>
      <c r="QVQ1812" s="557"/>
      <c r="QVR1812" s="558"/>
      <c r="QVS1812" s="590"/>
      <c r="QVT1812" s="591"/>
      <c r="QVU1812" s="591"/>
      <c r="QVV1812" s="592"/>
      <c r="QVW1812" s="593"/>
      <c r="QVX1812" s="591"/>
      <c r="QVY1812" s="591"/>
      <c r="QVZ1812" s="591"/>
      <c r="QWA1812" s="592"/>
      <c r="QWB1812" s="593"/>
      <c r="QWC1812" s="594"/>
      <c r="QWD1812" s="590"/>
      <c r="QWE1812" s="591"/>
      <c r="QWF1812" s="591"/>
      <c r="QWG1812" s="591"/>
      <c r="QWH1812" s="591"/>
      <c r="QWI1812" s="591"/>
      <c r="QWJ1812" s="591"/>
      <c r="QWK1812" s="560"/>
      <c r="QWL1812" s="560"/>
      <c r="QWM1812" s="592"/>
      <c r="QWN1812" s="594"/>
      <c r="QWO1812" s="593"/>
      <c r="QWP1812" s="595"/>
      <c r="QWQ1812" s="542"/>
      <c r="QWR1812" s="542"/>
      <c r="QWS1812" s="542"/>
      <c r="QWT1812" s="542"/>
      <c r="QWU1812" s="542"/>
      <c r="QWV1812" s="547"/>
      <c r="QWW1812" s="544"/>
      <c r="QWX1812" s="545"/>
      <c r="QWY1812" s="545"/>
      <c r="QWZ1812" s="545"/>
      <c r="QXA1812" s="652"/>
      <c r="QXB1812" s="582"/>
      <c r="QXC1812" s="582"/>
      <c r="QXD1812" s="629"/>
      <c r="QXE1812" s="630"/>
      <c r="QXF1812" s="630"/>
      <c r="QXG1812" s="630"/>
      <c r="QXH1812" s="630"/>
      <c r="QXI1812" s="631"/>
      <c r="QXJ1812" s="587"/>
      <c r="QXK1812" s="569"/>
      <c r="QXL1812" s="582"/>
      <c r="QXM1812" s="587"/>
      <c r="QXN1812" s="569"/>
      <c r="QXO1812" s="569"/>
      <c r="QXP1812" s="569"/>
      <c r="QXQ1812" s="582"/>
      <c r="QXR1812" s="587"/>
      <c r="QXS1812" s="582"/>
      <c r="QXT1812" s="587"/>
      <c r="QXU1812" s="569"/>
      <c r="QXV1812" s="569"/>
      <c r="QXW1812" s="569"/>
      <c r="QXX1812" s="618"/>
      <c r="QXY1812" s="653"/>
      <c r="QXZ1812" s="545"/>
      <c r="QYA1812" s="651"/>
      <c r="QYB1812" s="653"/>
      <c r="QYC1812" s="591"/>
      <c r="QYD1812" s="653"/>
      <c r="QYE1812" s="654"/>
      <c r="QYF1812" s="555"/>
      <c r="QYG1812" s="556"/>
      <c r="QYH1812" s="633"/>
      <c r="QYI1812" s="634"/>
      <c r="QYJ1812" s="635"/>
      <c r="QYK1812" s="560"/>
      <c r="QYL1812" s="589"/>
      <c r="QYM1812" s="636"/>
      <c r="QYN1812" s="559"/>
      <c r="QYO1812" s="557"/>
      <c r="QYP1812" s="558"/>
      <c r="QYQ1812" s="590"/>
      <c r="QYR1812" s="591"/>
      <c r="QYS1812" s="591"/>
      <c r="QYT1812" s="592"/>
      <c r="QYU1812" s="593"/>
      <c r="QYV1812" s="591"/>
      <c r="QYW1812" s="591"/>
      <c r="QYX1812" s="591"/>
      <c r="QYY1812" s="592"/>
      <c r="QYZ1812" s="593"/>
      <c r="QZA1812" s="594"/>
      <c r="QZB1812" s="590"/>
      <c r="QZC1812" s="591"/>
      <c r="QZD1812" s="591"/>
      <c r="QZE1812" s="591"/>
      <c r="QZF1812" s="591"/>
      <c r="QZG1812" s="591"/>
      <c r="QZH1812" s="591"/>
      <c r="QZI1812" s="560"/>
      <c r="QZJ1812" s="560"/>
      <c r="QZK1812" s="592"/>
      <c r="QZL1812" s="594"/>
      <c r="QZM1812" s="593"/>
      <c r="QZN1812" s="595"/>
      <c r="QZO1812" s="542"/>
      <c r="QZP1812" s="542"/>
      <c r="QZQ1812" s="542"/>
      <c r="QZR1812" s="542"/>
      <c r="QZS1812" s="542"/>
      <c r="QZT1812" s="547"/>
      <c r="QZU1812" s="544"/>
      <c r="QZV1812" s="545"/>
      <c r="QZW1812" s="545"/>
      <c r="QZX1812" s="545"/>
      <c r="QZY1812" s="652"/>
      <c r="QZZ1812" s="582"/>
      <c r="RAA1812" s="582"/>
      <c r="RAB1812" s="629"/>
      <c r="RAC1812" s="630"/>
      <c r="RAD1812" s="630"/>
      <c r="RAE1812" s="630"/>
      <c r="RAF1812" s="630"/>
      <c r="RAG1812" s="631"/>
      <c r="RAH1812" s="587"/>
      <c r="RAI1812" s="569"/>
      <c r="RAJ1812" s="582"/>
      <c r="RAK1812" s="587"/>
      <c r="RAL1812" s="569"/>
      <c r="RAM1812" s="569"/>
      <c r="RAN1812" s="569"/>
      <c r="RAO1812" s="582"/>
      <c r="RAP1812" s="587"/>
      <c r="RAQ1812" s="582"/>
      <c r="RAR1812" s="587"/>
      <c r="RAS1812" s="569"/>
      <c r="RAT1812" s="569"/>
      <c r="RAU1812" s="569"/>
      <c r="RAV1812" s="618"/>
      <c r="RAW1812" s="653"/>
      <c r="RAX1812" s="545"/>
      <c r="RAY1812" s="651"/>
      <c r="RAZ1812" s="653"/>
      <c r="RBA1812" s="591"/>
      <c r="RBB1812" s="653"/>
      <c r="RBC1812" s="654"/>
      <c r="RBD1812" s="555"/>
      <c r="RBE1812" s="556"/>
      <c r="RBF1812" s="633"/>
      <c r="RBG1812" s="634"/>
      <c r="RBH1812" s="635"/>
      <c r="RBI1812" s="560"/>
      <c r="RBJ1812" s="589"/>
      <c r="RBK1812" s="636"/>
      <c r="RBL1812" s="559"/>
      <c r="RBM1812" s="557"/>
      <c r="RBN1812" s="558"/>
      <c r="RBO1812" s="590"/>
      <c r="RBP1812" s="591"/>
      <c r="RBQ1812" s="591"/>
      <c r="RBR1812" s="592"/>
      <c r="RBS1812" s="593"/>
      <c r="RBT1812" s="591"/>
      <c r="RBU1812" s="591"/>
      <c r="RBV1812" s="591"/>
      <c r="RBW1812" s="592"/>
      <c r="RBX1812" s="593"/>
      <c r="RBY1812" s="594"/>
      <c r="RBZ1812" s="590"/>
      <c r="RCA1812" s="591"/>
      <c r="RCB1812" s="591"/>
      <c r="RCC1812" s="591"/>
      <c r="RCD1812" s="591"/>
      <c r="RCE1812" s="591"/>
      <c r="RCF1812" s="591"/>
      <c r="RCG1812" s="560"/>
      <c r="RCH1812" s="560"/>
      <c r="RCI1812" s="592"/>
      <c r="RCJ1812" s="594"/>
      <c r="RCK1812" s="593"/>
      <c r="RCL1812" s="595"/>
      <c r="RCM1812" s="542"/>
      <c r="RCN1812" s="542"/>
      <c r="RCO1812" s="542"/>
      <c r="RCP1812" s="542"/>
      <c r="RCQ1812" s="542"/>
      <c r="RCR1812" s="547"/>
      <c r="RCS1812" s="544"/>
      <c r="RCT1812" s="545"/>
      <c r="RCU1812" s="545"/>
      <c r="RCV1812" s="545"/>
      <c r="RCW1812" s="652"/>
      <c r="RCX1812" s="582"/>
      <c r="RCY1812" s="582"/>
      <c r="RCZ1812" s="629"/>
      <c r="RDA1812" s="630"/>
      <c r="RDB1812" s="630"/>
      <c r="RDC1812" s="630"/>
      <c r="RDD1812" s="630"/>
      <c r="RDE1812" s="631"/>
      <c r="RDF1812" s="587"/>
      <c r="RDG1812" s="569"/>
      <c r="RDH1812" s="582"/>
      <c r="RDI1812" s="587"/>
      <c r="RDJ1812" s="569"/>
      <c r="RDK1812" s="569"/>
      <c r="RDL1812" s="569"/>
      <c r="RDM1812" s="582"/>
      <c r="RDN1812" s="587"/>
      <c r="RDO1812" s="582"/>
      <c r="RDP1812" s="587"/>
      <c r="RDQ1812" s="569"/>
      <c r="RDR1812" s="569"/>
      <c r="RDS1812" s="569"/>
      <c r="RDT1812" s="618"/>
      <c r="RDU1812" s="653"/>
      <c r="RDV1812" s="545"/>
      <c r="RDW1812" s="651"/>
      <c r="RDX1812" s="653"/>
      <c r="RDY1812" s="591"/>
      <c r="RDZ1812" s="653"/>
      <c r="REA1812" s="654"/>
      <c r="REB1812" s="555"/>
      <c r="REC1812" s="556"/>
      <c r="RED1812" s="633"/>
      <c r="REE1812" s="634"/>
      <c r="REF1812" s="635"/>
      <c r="REG1812" s="560"/>
      <c r="REH1812" s="589"/>
      <c r="REI1812" s="636"/>
      <c r="REJ1812" s="559"/>
      <c r="REK1812" s="557"/>
      <c r="REL1812" s="558"/>
      <c r="REM1812" s="590"/>
      <c r="REN1812" s="591"/>
      <c r="REO1812" s="591"/>
      <c r="REP1812" s="592"/>
      <c r="REQ1812" s="593"/>
      <c r="RER1812" s="591"/>
      <c r="RES1812" s="591"/>
      <c r="RET1812" s="591"/>
      <c r="REU1812" s="592"/>
      <c r="REV1812" s="593"/>
      <c r="REW1812" s="594"/>
      <c r="REX1812" s="590"/>
      <c r="REY1812" s="591"/>
      <c r="REZ1812" s="591"/>
      <c r="RFA1812" s="591"/>
      <c r="RFB1812" s="591"/>
      <c r="RFC1812" s="591"/>
      <c r="RFD1812" s="591"/>
      <c r="RFE1812" s="560"/>
      <c r="RFF1812" s="560"/>
      <c r="RFG1812" s="592"/>
      <c r="RFH1812" s="594"/>
      <c r="RFI1812" s="593"/>
      <c r="RFJ1812" s="595"/>
      <c r="RFK1812" s="542"/>
      <c r="RFL1812" s="542"/>
      <c r="RFM1812" s="542"/>
      <c r="RFN1812" s="542"/>
      <c r="RFO1812" s="542"/>
      <c r="RFP1812" s="547"/>
      <c r="RFQ1812" s="544"/>
      <c r="RFR1812" s="545"/>
      <c r="RFS1812" s="545"/>
      <c r="RFT1812" s="545"/>
      <c r="RFU1812" s="652"/>
      <c r="RFV1812" s="582"/>
      <c r="RFW1812" s="582"/>
      <c r="RFX1812" s="629"/>
      <c r="RFY1812" s="630"/>
      <c r="RFZ1812" s="630"/>
      <c r="RGA1812" s="630"/>
      <c r="RGB1812" s="630"/>
      <c r="RGC1812" s="631"/>
      <c r="RGD1812" s="587"/>
      <c r="RGE1812" s="569"/>
      <c r="RGF1812" s="582"/>
      <c r="RGG1812" s="587"/>
      <c r="RGH1812" s="569"/>
      <c r="RGI1812" s="569"/>
      <c r="RGJ1812" s="569"/>
      <c r="RGK1812" s="582"/>
      <c r="RGL1812" s="587"/>
      <c r="RGM1812" s="582"/>
      <c r="RGN1812" s="587"/>
      <c r="RGO1812" s="569"/>
      <c r="RGP1812" s="569"/>
      <c r="RGQ1812" s="569"/>
      <c r="RGR1812" s="618"/>
      <c r="RGS1812" s="653"/>
      <c r="RGT1812" s="545"/>
      <c r="RGU1812" s="651"/>
      <c r="RGV1812" s="653"/>
      <c r="RGW1812" s="591"/>
      <c r="RGX1812" s="653"/>
      <c r="RGY1812" s="654"/>
      <c r="RGZ1812" s="555"/>
      <c r="RHA1812" s="556"/>
      <c r="RHB1812" s="633"/>
      <c r="RHC1812" s="634"/>
      <c r="RHD1812" s="635"/>
      <c r="RHE1812" s="560"/>
      <c r="RHF1812" s="589"/>
      <c r="RHG1812" s="636"/>
      <c r="RHH1812" s="559"/>
      <c r="RHI1812" s="557"/>
      <c r="RHJ1812" s="558"/>
      <c r="RHK1812" s="590"/>
      <c r="RHL1812" s="591"/>
      <c r="RHM1812" s="591"/>
      <c r="RHN1812" s="592"/>
      <c r="RHO1812" s="593"/>
      <c r="RHP1812" s="591"/>
      <c r="RHQ1812" s="591"/>
      <c r="RHR1812" s="591"/>
      <c r="RHS1812" s="592"/>
      <c r="RHT1812" s="593"/>
      <c r="RHU1812" s="594"/>
      <c r="RHV1812" s="590"/>
      <c r="RHW1812" s="591"/>
      <c r="RHX1812" s="591"/>
      <c r="RHY1812" s="591"/>
      <c r="RHZ1812" s="591"/>
      <c r="RIA1812" s="591"/>
      <c r="RIB1812" s="591"/>
      <c r="RIC1812" s="560"/>
      <c r="RID1812" s="560"/>
      <c r="RIE1812" s="592"/>
      <c r="RIF1812" s="594"/>
      <c r="RIG1812" s="593"/>
      <c r="RIH1812" s="595"/>
      <c r="RII1812" s="542"/>
      <c r="RIJ1812" s="542"/>
      <c r="RIK1812" s="542"/>
      <c r="RIL1812" s="542"/>
      <c r="RIM1812" s="542"/>
      <c r="RIN1812" s="547"/>
      <c r="RIO1812" s="544"/>
      <c r="RIP1812" s="545"/>
      <c r="RIQ1812" s="545"/>
      <c r="RIR1812" s="545"/>
      <c r="RIS1812" s="652"/>
      <c r="RIT1812" s="582"/>
      <c r="RIU1812" s="582"/>
      <c r="RIV1812" s="629"/>
      <c r="RIW1812" s="630"/>
      <c r="RIX1812" s="630"/>
      <c r="RIY1812" s="630"/>
      <c r="RIZ1812" s="630"/>
      <c r="RJA1812" s="631"/>
      <c r="RJB1812" s="587"/>
      <c r="RJC1812" s="569"/>
      <c r="RJD1812" s="582"/>
      <c r="RJE1812" s="587"/>
      <c r="RJF1812" s="569"/>
      <c r="RJG1812" s="569"/>
      <c r="RJH1812" s="569"/>
      <c r="RJI1812" s="582"/>
      <c r="RJJ1812" s="587"/>
      <c r="RJK1812" s="582"/>
      <c r="RJL1812" s="587"/>
      <c r="RJM1812" s="569"/>
      <c r="RJN1812" s="569"/>
      <c r="RJO1812" s="569"/>
      <c r="RJP1812" s="618"/>
      <c r="RJQ1812" s="653"/>
      <c r="RJR1812" s="545"/>
      <c r="RJS1812" s="651"/>
      <c r="RJT1812" s="653"/>
      <c r="RJU1812" s="591"/>
      <c r="RJV1812" s="653"/>
      <c r="RJW1812" s="654"/>
      <c r="RJX1812" s="555"/>
      <c r="RJY1812" s="556"/>
      <c r="RJZ1812" s="633"/>
      <c r="RKA1812" s="634"/>
      <c r="RKB1812" s="635"/>
      <c r="RKC1812" s="560"/>
      <c r="RKD1812" s="589"/>
      <c r="RKE1812" s="636"/>
      <c r="RKF1812" s="559"/>
      <c r="RKG1812" s="557"/>
      <c r="RKH1812" s="558"/>
      <c r="RKI1812" s="590"/>
      <c r="RKJ1812" s="591"/>
      <c r="RKK1812" s="591"/>
      <c r="RKL1812" s="592"/>
      <c r="RKM1812" s="593"/>
      <c r="RKN1812" s="591"/>
      <c r="RKO1812" s="591"/>
      <c r="RKP1812" s="591"/>
      <c r="RKQ1812" s="592"/>
      <c r="RKR1812" s="593"/>
      <c r="RKS1812" s="594"/>
      <c r="RKT1812" s="590"/>
      <c r="RKU1812" s="591"/>
      <c r="RKV1812" s="591"/>
      <c r="RKW1812" s="591"/>
      <c r="RKX1812" s="591"/>
      <c r="RKY1812" s="591"/>
      <c r="RKZ1812" s="591"/>
      <c r="RLA1812" s="560"/>
      <c r="RLB1812" s="560"/>
      <c r="RLC1812" s="592"/>
      <c r="RLD1812" s="594"/>
      <c r="RLE1812" s="593"/>
      <c r="RLF1812" s="595"/>
      <c r="RLG1812" s="542"/>
      <c r="RLH1812" s="542"/>
      <c r="RLI1812" s="542"/>
      <c r="RLJ1812" s="542"/>
      <c r="RLK1812" s="542"/>
      <c r="RLL1812" s="547"/>
      <c r="RLM1812" s="544"/>
      <c r="RLN1812" s="545"/>
      <c r="RLO1812" s="545"/>
      <c r="RLP1812" s="545"/>
      <c r="RLQ1812" s="652"/>
      <c r="RLR1812" s="582"/>
      <c r="RLS1812" s="582"/>
      <c r="RLT1812" s="629"/>
      <c r="RLU1812" s="630"/>
      <c r="RLV1812" s="630"/>
      <c r="RLW1812" s="630"/>
      <c r="RLX1812" s="630"/>
      <c r="RLY1812" s="631"/>
      <c r="RLZ1812" s="587"/>
      <c r="RMA1812" s="569"/>
      <c r="RMB1812" s="582"/>
      <c r="RMC1812" s="587"/>
      <c r="RMD1812" s="569"/>
      <c r="RME1812" s="569"/>
      <c r="RMF1812" s="569"/>
      <c r="RMG1812" s="582"/>
      <c r="RMH1812" s="587"/>
      <c r="RMI1812" s="582"/>
      <c r="RMJ1812" s="587"/>
      <c r="RMK1812" s="569"/>
      <c r="RML1812" s="569"/>
      <c r="RMM1812" s="569"/>
      <c r="RMN1812" s="618"/>
      <c r="RMO1812" s="653"/>
      <c r="RMP1812" s="545"/>
      <c r="RMQ1812" s="651"/>
      <c r="RMR1812" s="653"/>
      <c r="RMS1812" s="591"/>
      <c r="RMT1812" s="653"/>
      <c r="RMU1812" s="654"/>
      <c r="RMV1812" s="555"/>
      <c r="RMW1812" s="556"/>
      <c r="RMX1812" s="633"/>
      <c r="RMY1812" s="634"/>
      <c r="RMZ1812" s="635"/>
      <c r="RNA1812" s="560"/>
      <c r="RNB1812" s="589"/>
      <c r="RNC1812" s="636"/>
      <c r="RND1812" s="559"/>
      <c r="RNE1812" s="557"/>
      <c r="RNF1812" s="558"/>
      <c r="RNG1812" s="590"/>
      <c r="RNH1812" s="591"/>
      <c r="RNI1812" s="591"/>
      <c r="RNJ1812" s="592"/>
      <c r="RNK1812" s="593"/>
      <c r="RNL1812" s="591"/>
      <c r="RNM1812" s="591"/>
      <c r="RNN1812" s="591"/>
      <c r="RNO1812" s="592"/>
      <c r="RNP1812" s="593"/>
      <c r="RNQ1812" s="594"/>
      <c r="RNR1812" s="590"/>
      <c r="RNS1812" s="591"/>
      <c r="RNT1812" s="591"/>
      <c r="RNU1812" s="591"/>
      <c r="RNV1812" s="591"/>
      <c r="RNW1812" s="591"/>
      <c r="RNX1812" s="591"/>
      <c r="RNY1812" s="560"/>
      <c r="RNZ1812" s="560"/>
      <c r="ROA1812" s="592"/>
      <c r="ROB1812" s="594"/>
      <c r="ROC1812" s="593"/>
      <c r="ROD1812" s="595"/>
      <c r="ROE1812" s="542"/>
      <c r="ROF1812" s="542"/>
      <c r="ROG1812" s="542"/>
      <c r="ROH1812" s="542"/>
      <c r="ROI1812" s="542"/>
      <c r="ROJ1812" s="547"/>
      <c r="ROK1812" s="544"/>
      <c r="ROL1812" s="545"/>
      <c r="ROM1812" s="545"/>
      <c r="RON1812" s="545"/>
      <c r="ROO1812" s="652"/>
      <c r="ROP1812" s="582"/>
      <c r="ROQ1812" s="582"/>
      <c r="ROR1812" s="629"/>
      <c r="ROS1812" s="630"/>
      <c r="ROT1812" s="630"/>
      <c r="ROU1812" s="630"/>
      <c r="ROV1812" s="630"/>
      <c r="ROW1812" s="631"/>
      <c r="ROX1812" s="587"/>
      <c r="ROY1812" s="569"/>
      <c r="ROZ1812" s="582"/>
      <c r="RPA1812" s="587"/>
      <c r="RPB1812" s="569"/>
      <c r="RPC1812" s="569"/>
      <c r="RPD1812" s="569"/>
      <c r="RPE1812" s="582"/>
      <c r="RPF1812" s="587"/>
      <c r="RPG1812" s="582"/>
      <c r="RPH1812" s="587"/>
      <c r="RPI1812" s="569"/>
      <c r="RPJ1812" s="569"/>
      <c r="RPK1812" s="569"/>
      <c r="RPL1812" s="618"/>
      <c r="RPM1812" s="653"/>
      <c r="RPN1812" s="545"/>
      <c r="RPO1812" s="651"/>
      <c r="RPP1812" s="653"/>
      <c r="RPQ1812" s="591"/>
      <c r="RPR1812" s="653"/>
      <c r="RPS1812" s="654"/>
      <c r="RPT1812" s="555"/>
      <c r="RPU1812" s="556"/>
      <c r="RPV1812" s="633"/>
      <c r="RPW1812" s="634"/>
      <c r="RPX1812" s="635"/>
      <c r="RPY1812" s="560"/>
      <c r="RPZ1812" s="589"/>
      <c r="RQA1812" s="636"/>
      <c r="RQB1812" s="559"/>
      <c r="RQC1812" s="557"/>
      <c r="RQD1812" s="558"/>
      <c r="RQE1812" s="590"/>
      <c r="RQF1812" s="591"/>
      <c r="RQG1812" s="591"/>
      <c r="RQH1812" s="592"/>
      <c r="RQI1812" s="593"/>
      <c r="RQJ1812" s="591"/>
      <c r="RQK1812" s="591"/>
      <c r="RQL1812" s="591"/>
      <c r="RQM1812" s="592"/>
      <c r="RQN1812" s="593"/>
      <c r="RQO1812" s="594"/>
      <c r="RQP1812" s="590"/>
      <c r="RQQ1812" s="591"/>
      <c r="RQR1812" s="591"/>
      <c r="RQS1812" s="591"/>
      <c r="RQT1812" s="591"/>
      <c r="RQU1812" s="591"/>
      <c r="RQV1812" s="591"/>
      <c r="RQW1812" s="560"/>
      <c r="RQX1812" s="560"/>
      <c r="RQY1812" s="592"/>
      <c r="RQZ1812" s="594"/>
      <c r="RRA1812" s="593"/>
      <c r="RRB1812" s="595"/>
      <c r="RRC1812" s="542"/>
      <c r="RRD1812" s="542"/>
      <c r="RRE1812" s="542"/>
      <c r="RRF1812" s="542"/>
      <c r="RRG1812" s="542"/>
      <c r="RRH1812" s="547"/>
      <c r="RRI1812" s="544"/>
      <c r="RRJ1812" s="545"/>
      <c r="RRK1812" s="545"/>
      <c r="RRL1812" s="545"/>
      <c r="RRM1812" s="652"/>
      <c r="RRN1812" s="582"/>
      <c r="RRO1812" s="582"/>
      <c r="RRP1812" s="629"/>
      <c r="RRQ1812" s="630"/>
      <c r="RRR1812" s="630"/>
      <c r="RRS1812" s="630"/>
      <c r="RRT1812" s="630"/>
      <c r="RRU1812" s="631"/>
      <c r="RRV1812" s="587"/>
      <c r="RRW1812" s="569"/>
      <c r="RRX1812" s="582"/>
      <c r="RRY1812" s="587"/>
      <c r="RRZ1812" s="569"/>
      <c r="RSA1812" s="569"/>
      <c r="RSB1812" s="569"/>
      <c r="RSC1812" s="582"/>
      <c r="RSD1812" s="587"/>
      <c r="RSE1812" s="582"/>
      <c r="RSF1812" s="587"/>
      <c r="RSG1812" s="569"/>
      <c r="RSH1812" s="569"/>
      <c r="RSI1812" s="569"/>
      <c r="RSJ1812" s="618"/>
      <c r="RSK1812" s="653"/>
      <c r="RSL1812" s="545"/>
      <c r="RSM1812" s="651"/>
      <c r="RSN1812" s="653"/>
      <c r="RSO1812" s="591"/>
      <c r="RSP1812" s="653"/>
      <c r="RSQ1812" s="654"/>
      <c r="RSR1812" s="555"/>
      <c r="RSS1812" s="556"/>
      <c r="RST1812" s="633"/>
      <c r="RSU1812" s="634"/>
      <c r="RSV1812" s="635"/>
      <c r="RSW1812" s="560"/>
      <c r="RSX1812" s="589"/>
      <c r="RSY1812" s="636"/>
      <c r="RSZ1812" s="559"/>
      <c r="RTA1812" s="557"/>
      <c r="RTB1812" s="558"/>
      <c r="RTC1812" s="590"/>
      <c r="RTD1812" s="591"/>
      <c r="RTE1812" s="591"/>
      <c r="RTF1812" s="592"/>
      <c r="RTG1812" s="593"/>
      <c r="RTH1812" s="591"/>
      <c r="RTI1812" s="591"/>
      <c r="RTJ1812" s="591"/>
      <c r="RTK1812" s="592"/>
      <c r="RTL1812" s="593"/>
      <c r="RTM1812" s="594"/>
      <c r="RTN1812" s="590"/>
      <c r="RTO1812" s="591"/>
      <c r="RTP1812" s="591"/>
      <c r="RTQ1812" s="591"/>
      <c r="RTR1812" s="591"/>
      <c r="RTS1812" s="591"/>
      <c r="RTT1812" s="591"/>
      <c r="RTU1812" s="560"/>
      <c r="RTV1812" s="560"/>
      <c r="RTW1812" s="592"/>
      <c r="RTX1812" s="594"/>
      <c r="RTY1812" s="593"/>
      <c r="RTZ1812" s="595"/>
      <c r="RUA1812" s="542"/>
      <c r="RUB1812" s="542"/>
      <c r="RUC1812" s="542"/>
      <c r="RUD1812" s="542"/>
      <c r="RUE1812" s="542"/>
      <c r="RUF1812" s="547"/>
      <c r="RUG1812" s="544"/>
      <c r="RUH1812" s="545"/>
      <c r="RUI1812" s="545"/>
      <c r="RUJ1812" s="545"/>
      <c r="RUK1812" s="652"/>
      <c r="RUL1812" s="582"/>
      <c r="RUM1812" s="582"/>
      <c r="RUN1812" s="629"/>
      <c r="RUO1812" s="630"/>
      <c r="RUP1812" s="630"/>
      <c r="RUQ1812" s="630"/>
      <c r="RUR1812" s="630"/>
      <c r="RUS1812" s="631"/>
      <c r="RUT1812" s="587"/>
      <c r="RUU1812" s="569"/>
      <c r="RUV1812" s="582"/>
      <c r="RUW1812" s="587"/>
      <c r="RUX1812" s="569"/>
      <c r="RUY1812" s="569"/>
      <c r="RUZ1812" s="569"/>
      <c r="RVA1812" s="582"/>
      <c r="RVB1812" s="587"/>
      <c r="RVC1812" s="582"/>
      <c r="RVD1812" s="587"/>
      <c r="RVE1812" s="569"/>
      <c r="RVF1812" s="569"/>
      <c r="RVG1812" s="569"/>
      <c r="RVH1812" s="618"/>
      <c r="RVI1812" s="653"/>
      <c r="RVJ1812" s="545"/>
      <c r="RVK1812" s="651"/>
      <c r="RVL1812" s="653"/>
      <c r="RVM1812" s="591"/>
      <c r="RVN1812" s="653"/>
      <c r="RVO1812" s="654"/>
      <c r="RVP1812" s="555"/>
      <c r="RVQ1812" s="556"/>
      <c r="RVR1812" s="633"/>
      <c r="RVS1812" s="634"/>
      <c r="RVT1812" s="635"/>
      <c r="RVU1812" s="560"/>
      <c r="RVV1812" s="589"/>
      <c r="RVW1812" s="636"/>
      <c r="RVX1812" s="559"/>
      <c r="RVY1812" s="557"/>
      <c r="RVZ1812" s="558"/>
      <c r="RWA1812" s="590"/>
      <c r="RWB1812" s="591"/>
      <c r="RWC1812" s="591"/>
      <c r="RWD1812" s="592"/>
      <c r="RWE1812" s="593"/>
      <c r="RWF1812" s="591"/>
      <c r="RWG1812" s="591"/>
      <c r="RWH1812" s="591"/>
      <c r="RWI1812" s="592"/>
      <c r="RWJ1812" s="593"/>
      <c r="RWK1812" s="594"/>
      <c r="RWL1812" s="590"/>
      <c r="RWM1812" s="591"/>
      <c r="RWN1812" s="591"/>
      <c r="RWO1812" s="591"/>
      <c r="RWP1812" s="591"/>
      <c r="RWQ1812" s="591"/>
      <c r="RWR1812" s="591"/>
      <c r="RWS1812" s="560"/>
      <c r="RWT1812" s="560"/>
      <c r="RWU1812" s="592"/>
      <c r="RWV1812" s="594"/>
      <c r="RWW1812" s="593"/>
      <c r="RWX1812" s="595"/>
      <c r="RWY1812" s="542"/>
      <c r="RWZ1812" s="542"/>
      <c r="RXA1812" s="542"/>
      <c r="RXB1812" s="542"/>
      <c r="RXC1812" s="542"/>
      <c r="RXD1812" s="547"/>
      <c r="RXE1812" s="544"/>
      <c r="RXF1812" s="545"/>
      <c r="RXG1812" s="545"/>
      <c r="RXH1812" s="545"/>
      <c r="RXI1812" s="652"/>
      <c r="RXJ1812" s="582"/>
      <c r="RXK1812" s="582"/>
      <c r="RXL1812" s="629"/>
      <c r="RXM1812" s="630"/>
      <c r="RXN1812" s="630"/>
      <c r="RXO1812" s="630"/>
      <c r="RXP1812" s="630"/>
      <c r="RXQ1812" s="631"/>
      <c r="RXR1812" s="587"/>
      <c r="RXS1812" s="569"/>
      <c r="RXT1812" s="582"/>
      <c r="RXU1812" s="587"/>
      <c r="RXV1812" s="569"/>
      <c r="RXW1812" s="569"/>
      <c r="RXX1812" s="569"/>
      <c r="RXY1812" s="582"/>
      <c r="RXZ1812" s="587"/>
      <c r="RYA1812" s="582"/>
      <c r="RYB1812" s="587"/>
      <c r="RYC1812" s="569"/>
      <c r="RYD1812" s="569"/>
      <c r="RYE1812" s="569"/>
      <c r="RYF1812" s="618"/>
      <c r="RYG1812" s="653"/>
      <c r="RYH1812" s="545"/>
      <c r="RYI1812" s="651"/>
      <c r="RYJ1812" s="653"/>
      <c r="RYK1812" s="591"/>
      <c r="RYL1812" s="653"/>
      <c r="RYM1812" s="654"/>
      <c r="RYN1812" s="555"/>
      <c r="RYO1812" s="556"/>
      <c r="RYP1812" s="633"/>
      <c r="RYQ1812" s="634"/>
      <c r="RYR1812" s="635"/>
      <c r="RYS1812" s="560"/>
      <c r="RYT1812" s="589"/>
      <c r="RYU1812" s="636"/>
      <c r="RYV1812" s="559"/>
      <c r="RYW1812" s="557"/>
      <c r="RYX1812" s="558"/>
      <c r="RYY1812" s="590"/>
      <c r="RYZ1812" s="591"/>
      <c r="RZA1812" s="591"/>
      <c r="RZB1812" s="592"/>
      <c r="RZC1812" s="593"/>
      <c r="RZD1812" s="591"/>
      <c r="RZE1812" s="591"/>
      <c r="RZF1812" s="591"/>
      <c r="RZG1812" s="592"/>
      <c r="RZH1812" s="593"/>
      <c r="RZI1812" s="594"/>
      <c r="RZJ1812" s="590"/>
      <c r="RZK1812" s="591"/>
      <c r="RZL1812" s="591"/>
      <c r="RZM1812" s="591"/>
      <c r="RZN1812" s="591"/>
      <c r="RZO1812" s="591"/>
      <c r="RZP1812" s="591"/>
      <c r="RZQ1812" s="560"/>
      <c r="RZR1812" s="560"/>
      <c r="RZS1812" s="592"/>
      <c r="RZT1812" s="594"/>
      <c r="RZU1812" s="593"/>
      <c r="RZV1812" s="595"/>
      <c r="RZW1812" s="542"/>
      <c r="RZX1812" s="542"/>
      <c r="RZY1812" s="542"/>
      <c r="RZZ1812" s="542"/>
      <c r="SAA1812" s="542"/>
      <c r="SAB1812" s="547"/>
      <c r="SAC1812" s="544"/>
      <c r="SAD1812" s="545"/>
      <c r="SAE1812" s="545"/>
      <c r="SAF1812" s="545"/>
      <c r="SAG1812" s="652"/>
      <c r="SAH1812" s="582"/>
      <c r="SAI1812" s="582"/>
      <c r="SAJ1812" s="629"/>
      <c r="SAK1812" s="630"/>
      <c r="SAL1812" s="630"/>
      <c r="SAM1812" s="630"/>
      <c r="SAN1812" s="630"/>
      <c r="SAO1812" s="631"/>
      <c r="SAP1812" s="587"/>
      <c r="SAQ1812" s="569"/>
      <c r="SAR1812" s="582"/>
      <c r="SAS1812" s="587"/>
      <c r="SAT1812" s="569"/>
      <c r="SAU1812" s="569"/>
      <c r="SAV1812" s="569"/>
      <c r="SAW1812" s="582"/>
      <c r="SAX1812" s="587"/>
      <c r="SAY1812" s="582"/>
      <c r="SAZ1812" s="587"/>
      <c r="SBA1812" s="569"/>
      <c r="SBB1812" s="569"/>
      <c r="SBC1812" s="569"/>
      <c r="SBD1812" s="618"/>
      <c r="SBE1812" s="653"/>
      <c r="SBF1812" s="545"/>
      <c r="SBG1812" s="651"/>
      <c r="SBH1812" s="653"/>
      <c r="SBI1812" s="591"/>
      <c r="SBJ1812" s="653"/>
      <c r="SBK1812" s="654"/>
      <c r="SBL1812" s="555"/>
      <c r="SBM1812" s="556"/>
      <c r="SBN1812" s="633"/>
      <c r="SBO1812" s="634"/>
      <c r="SBP1812" s="635"/>
      <c r="SBQ1812" s="560"/>
      <c r="SBR1812" s="589"/>
      <c r="SBS1812" s="636"/>
      <c r="SBT1812" s="559"/>
      <c r="SBU1812" s="557"/>
      <c r="SBV1812" s="558"/>
      <c r="SBW1812" s="590"/>
      <c r="SBX1812" s="591"/>
      <c r="SBY1812" s="591"/>
      <c r="SBZ1812" s="592"/>
      <c r="SCA1812" s="593"/>
      <c r="SCB1812" s="591"/>
      <c r="SCC1812" s="591"/>
      <c r="SCD1812" s="591"/>
      <c r="SCE1812" s="592"/>
      <c r="SCF1812" s="593"/>
      <c r="SCG1812" s="594"/>
      <c r="SCH1812" s="590"/>
      <c r="SCI1812" s="591"/>
      <c r="SCJ1812" s="591"/>
      <c r="SCK1812" s="591"/>
      <c r="SCL1812" s="591"/>
      <c r="SCM1812" s="591"/>
      <c r="SCN1812" s="591"/>
      <c r="SCO1812" s="560"/>
      <c r="SCP1812" s="560"/>
      <c r="SCQ1812" s="592"/>
      <c r="SCR1812" s="594"/>
      <c r="SCS1812" s="593"/>
      <c r="SCT1812" s="595"/>
      <c r="SCU1812" s="542"/>
      <c r="SCV1812" s="542"/>
      <c r="SCW1812" s="542"/>
      <c r="SCX1812" s="542"/>
      <c r="SCY1812" s="542"/>
      <c r="SCZ1812" s="547"/>
      <c r="SDA1812" s="544"/>
      <c r="SDB1812" s="545"/>
      <c r="SDC1812" s="545"/>
      <c r="SDD1812" s="545"/>
      <c r="SDE1812" s="652"/>
      <c r="SDF1812" s="582"/>
      <c r="SDG1812" s="582"/>
      <c r="SDH1812" s="629"/>
      <c r="SDI1812" s="630"/>
      <c r="SDJ1812" s="630"/>
      <c r="SDK1812" s="630"/>
      <c r="SDL1812" s="630"/>
      <c r="SDM1812" s="631"/>
      <c r="SDN1812" s="587"/>
      <c r="SDO1812" s="569"/>
      <c r="SDP1812" s="582"/>
      <c r="SDQ1812" s="587"/>
      <c r="SDR1812" s="569"/>
      <c r="SDS1812" s="569"/>
      <c r="SDT1812" s="569"/>
      <c r="SDU1812" s="582"/>
      <c r="SDV1812" s="587"/>
      <c r="SDW1812" s="582"/>
      <c r="SDX1812" s="587"/>
      <c r="SDY1812" s="569"/>
      <c r="SDZ1812" s="569"/>
      <c r="SEA1812" s="569"/>
      <c r="SEB1812" s="618"/>
      <c r="SEC1812" s="653"/>
      <c r="SED1812" s="545"/>
      <c r="SEE1812" s="651"/>
      <c r="SEF1812" s="653"/>
      <c r="SEG1812" s="591"/>
      <c r="SEH1812" s="653"/>
      <c r="SEI1812" s="654"/>
      <c r="SEJ1812" s="555"/>
      <c r="SEK1812" s="556"/>
      <c r="SEL1812" s="633"/>
      <c r="SEM1812" s="634"/>
      <c r="SEN1812" s="635"/>
      <c r="SEO1812" s="560"/>
      <c r="SEP1812" s="589"/>
      <c r="SEQ1812" s="636"/>
      <c r="SER1812" s="559"/>
      <c r="SES1812" s="557"/>
      <c r="SET1812" s="558"/>
      <c r="SEU1812" s="590"/>
      <c r="SEV1812" s="591"/>
      <c r="SEW1812" s="591"/>
      <c r="SEX1812" s="592"/>
      <c r="SEY1812" s="593"/>
      <c r="SEZ1812" s="591"/>
      <c r="SFA1812" s="591"/>
      <c r="SFB1812" s="591"/>
      <c r="SFC1812" s="592"/>
      <c r="SFD1812" s="593"/>
      <c r="SFE1812" s="594"/>
      <c r="SFF1812" s="590"/>
      <c r="SFG1812" s="591"/>
      <c r="SFH1812" s="591"/>
      <c r="SFI1812" s="591"/>
      <c r="SFJ1812" s="591"/>
      <c r="SFK1812" s="591"/>
      <c r="SFL1812" s="591"/>
      <c r="SFM1812" s="560"/>
      <c r="SFN1812" s="560"/>
      <c r="SFO1812" s="592"/>
      <c r="SFP1812" s="594"/>
      <c r="SFQ1812" s="593"/>
      <c r="SFR1812" s="595"/>
      <c r="SFS1812" s="542"/>
      <c r="SFT1812" s="542"/>
      <c r="SFU1812" s="542"/>
      <c r="SFV1812" s="542"/>
      <c r="SFW1812" s="542"/>
      <c r="SFX1812" s="547"/>
      <c r="SFY1812" s="544"/>
      <c r="SFZ1812" s="545"/>
      <c r="SGA1812" s="545"/>
      <c r="SGB1812" s="545"/>
      <c r="SGC1812" s="652"/>
      <c r="SGD1812" s="582"/>
      <c r="SGE1812" s="582"/>
      <c r="SGF1812" s="629"/>
      <c r="SGG1812" s="630"/>
      <c r="SGH1812" s="630"/>
      <c r="SGI1812" s="630"/>
      <c r="SGJ1812" s="630"/>
      <c r="SGK1812" s="631"/>
      <c r="SGL1812" s="587"/>
      <c r="SGM1812" s="569"/>
      <c r="SGN1812" s="582"/>
      <c r="SGO1812" s="587"/>
      <c r="SGP1812" s="569"/>
      <c r="SGQ1812" s="569"/>
      <c r="SGR1812" s="569"/>
      <c r="SGS1812" s="582"/>
      <c r="SGT1812" s="587"/>
      <c r="SGU1812" s="582"/>
      <c r="SGV1812" s="587"/>
      <c r="SGW1812" s="569"/>
      <c r="SGX1812" s="569"/>
      <c r="SGY1812" s="569"/>
      <c r="SGZ1812" s="618"/>
      <c r="SHA1812" s="653"/>
      <c r="SHB1812" s="545"/>
      <c r="SHC1812" s="651"/>
      <c r="SHD1812" s="653"/>
      <c r="SHE1812" s="591"/>
      <c r="SHF1812" s="653"/>
      <c r="SHG1812" s="654"/>
      <c r="SHH1812" s="555"/>
      <c r="SHI1812" s="556"/>
      <c r="SHJ1812" s="633"/>
      <c r="SHK1812" s="634"/>
      <c r="SHL1812" s="635"/>
      <c r="SHM1812" s="560"/>
      <c r="SHN1812" s="589"/>
      <c r="SHO1812" s="636"/>
      <c r="SHP1812" s="559"/>
      <c r="SHQ1812" s="557"/>
      <c r="SHR1812" s="558"/>
      <c r="SHS1812" s="590"/>
      <c r="SHT1812" s="591"/>
      <c r="SHU1812" s="591"/>
      <c r="SHV1812" s="592"/>
      <c r="SHW1812" s="593"/>
      <c r="SHX1812" s="591"/>
      <c r="SHY1812" s="591"/>
      <c r="SHZ1812" s="591"/>
      <c r="SIA1812" s="592"/>
      <c r="SIB1812" s="593"/>
      <c r="SIC1812" s="594"/>
      <c r="SID1812" s="590"/>
      <c r="SIE1812" s="591"/>
      <c r="SIF1812" s="591"/>
      <c r="SIG1812" s="591"/>
      <c r="SIH1812" s="591"/>
      <c r="SII1812" s="591"/>
      <c r="SIJ1812" s="591"/>
      <c r="SIK1812" s="560"/>
      <c r="SIL1812" s="560"/>
      <c r="SIM1812" s="592"/>
      <c r="SIN1812" s="594"/>
      <c r="SIO1812" s="593"/>
      <c r="SIP1812" s="595"/>
      <c r="SIQ1812" s="542"/>
      <c r="SIR1812" s="542"/>
      <c r="SIS1812" s="542"/>
      <c r="SIT1812" s="542"/>
      <c r="SIU1812" s="542"/>
      <c r="SIV1812" s="547"/>
      <c r="SIW1812" s="544"/>
      <c r="SIX1812" s="545"/>
      <c r="SIY1812" s="545"/>
      <c r="SIZ1812" s="545"/>
      <c r="SJA1812" s="652"/>
      <c r="SJB1812" s="582"/>
      <c r="SJC1812" s="582"/>
      <c r="SJD1812" s="629"/>
      <c r="SJE1812" s="630"/>
      <c r="SJF1812" s="630"/>
      <c r="SJG1812" s="630"/>
      <c r="SJH1812" s="630"/>
      <c r="SJI1812" s="631"/>
      <c r="SJJ1812" s="587"/>
      <c r="SJK1812" s="569"/>
      <c r="SJL1812" s="582"/>
      <c r="SJM1812" s="587"/>
      <c r="SJN1812" s="569"/>
      <c r="SJO1812" s="569"/>
      <c r="SJP1812" s="569"/>
      <c r="SJQ1812" s="582"/>
      <c r="SJR1812" s="587"/>
      <c r="SJS1812" s="582"/>
      <c r="SJT1812" s="587"/>
      <c r="SJU1812" s="569"/>
      <c r="SJV1812" s="569"/>
      <c r="SJW1812" s="569"/>
      <c r="SJX1812" s="618"/>
      <c r="SJY1812" s="653"/>
      <c r="SJZ1812" s="545"/>
      <c r="SKA1812" s="651"/>
      <c r="SKB1812" s="653"/>
      <c r="SKC1812" s="591"/>
      <c r="SKD1812" s="653"/>
      <c r="SKE1812" s="654"/>
      <c r="SKF1812" s="555"/>
      <c r="SKG1812" s="556"/>
      <c r="SKH1812" s="633"/>
      <c r="SKI1812" s="634"/>
      <c r="SKJ1812" s="635"/>
      <c r="SKK1812" s="560"/>
      <c r="SKL1812" s="589"/>
      <c r="SKM1812" s="636"/>
      <c r="SKN1812" s="559"/>
      <c r="SKO1812" s="557"/>
      <c r="SKP1812" s="558"/>
      <c r="SKQ1812" s="590"/>
      <c r="SKR1812" s="591"/>
      <c r="SKS1812" s="591"/>
      <c r="SKT1812" s="592"/>
      <c r="SKU1812" s="593"/>
      <c r="SKV1812" s="591"/>
      <c r="SKW1812" s="591"/>
      <c r="SKX1812" s="591"/>
      <c r="SKY1812" s="592"/>
      <c r="SKZ1812" s="593"/>
      <c r="SLA1812" s="594"/>
      <c r="SLB1812" s="590"/>
      <c r="SLC1812" s="591"/>
      <c r="SLD1812" s="591"/>
      <c r="SLE1812" s="591"/>
      <c r="SLF1812" s="591"/>
      <c r="SLG1812" s="591"/>
      <c r="SLH1812" s="591"/>
      <c r="SLI1812" s="560"/>
      <c r="SLJ1812" s="560"/>
      <c r="SLK1812" s="592"/>
      <c r="SLL1812" s="594"/>
      <c r="SLM1812" s="593"/>
      <c r="SLN1812" s="595"/>
      <c r="SLO1812" s="542"/>
      <c r="SLP1812" s="542"/>
      <c r="SLQ1812" s="542"/>
      <c r="SLR1812" s="542"/>
      <c r="SLS1812" s="542"/>
      <c r="SLT1812" s="547"/>
      <c r="SLU1812" s="544"/>
      <c r="SLV1812" s="545"/>
      <c r="SLW1812" s="545"/>
      <c r="SLX1812" s="545"/>
      <c r="SLY1812" s="652"/>
      <c r="SLZ1812" s="582"/>
      <c r="SMA1812" s="582"/>
      <c r="SMB1812" s="629"/>
      <c r="SMC1812" s="630"/>
      <c r="SMD1812" s="630"/>
      <c r="SME1812" s="630"/>
      <c r="SMF1812" s="630"/>
      <c r="SMG1812" s="631"/>
      <c r="SMH1812" s="587"/>
      <c r="SMI1812" s="569"/>
      <c r="SMJ1812" s="582"/>
      <c r="SMK1812" s="587"/>
      <c r="SML1812" s="569"/>
      <c r="SMM1812" s="569"/>
      <c r="SMN1812" s="569"/>
      <c r="SMO1812" s="582"/>
      <c r="SMP1812" s="587"/>
      <c r="SMQ1812" s="582"/>
      <c r="SMR1812" s="587"/>
      <c r="SMS1812" s="569"/>
      <c r="SMT1812" s="569"/>
      <c r="SMU1812" s="569"/>
      <c r="SMV1812" s="618"/>
      <c r="SMW1812" s="653"/>
      <c r="SMX1812" s="545"/>
      <c r="SMY1812" s="651"/>
      <c r="SMZ1812" s="653"/>
      <c r="SNA1812" s="591"/>
      <c r="SNB1812" s="653"/>
      <c r="SNC1812" s="654"/>
      <c r="SND1812" s="555"/>
      <c r="SNE1812" s="556"/>
      <c r="SNF1812" s="633"/>
      <c r="SNG1812" s="634"/>
      <c r="SNH1812" s="635"/>
      <c r="SNI1812" s="560"/>
      <c r="SNJ1812" s="589"/>
      <c r="SNK1812" s="636"/>
      <c r="SNL1812" s="559"/>
      <c r="SNM1812" s="557"/>
      <c r="SNN1812" s="558"/>
      <c r="SNO1812" s="590"/>
      <c r="SNP1812" s="591"/>
      <c r="SNQ1812" s="591"/>
      <c r="SNR1812" s="592"/>
      <c r="SNS1812" s="593"/>
      <c r="SNT1812" s="591"/>
      <c r="SNU1812" s="591"/>
      <c r="SNV1812" s="591"/>
      <c r="SNW1812" s="592"/>
      <c r="SNX1812" s="593"/>
      <c r="SNY1812" s="594"/>
      <c r="SNZ1812" s="590"/>
      <c r="SOA1812" s="591"/>
      <c r="SOB1812" s="591"/>
      <c r="SOC1812" s="591"/>
      <c r="SOD1812" s="591"/>
      <c r="SOE1812" s="591"/>
      <c r="SOF1812" s="591"/>
      <c r="SOG1812" s="560"/>
      <c r="SOH1812" s="560"/>
      <c r="SOI1812" s="592"/>
      <c r="SOJ1812" s="594"/>
      <c r="SOK1812" s="593"/>
      <c r="SOL1812" s="595"/>
      <c r="SOM1812" s="542"/>
      <c r="SON1812" s="542"/>
      <c r="SOO1812" s="542"/>
      <c r="SOP1812" s="542"/>
      <c r="SOQ1812" s="542"/>
      <c r="SOR1812" s="547"/>
      <c r="SOS1812" s="544"/>
      <c r="SOT1812" s="545"/>
      <c r="SOU1812" s="545"/>
      <c r="SOV1812" s="545"/>
      <c r="SOW1812" s="652"/>
      <c r="SOX1812" s="582"/>
      <c r="SOY1812" s="582"/>
      <c r="SOZ1812" s="629"/>
      <c r="SPA1812" s="630"/>
      <c r="SPB1812" s="630"/>
      <c r="SPC1812" s="630"/>
      <c r="SPD1812" s="630"/>
      <c r="SPE1812" s="631"/>
      <c r="SPF1812" s="587"/>
      <c r="SPG1812" s="569"/>
      <c r="SPH1812" s="582"/>
      <c r="SPI1812" s="587"/>
      <c r="SPJ1812" s="569"/>
      <c r="SPK1812" s="569"/>
      <c r="SPL1812" s="569"/>
      <c r="SPM1812" s="582"/>
      <c r="SPN1812" s="587"/>
      <c r="SPO1812" s="582"/>
      <c r="SPP1812" s="587"/>
      <c r="SPQ1812" s="569"/>
      <c r="SPR1812" s="569"/>
      <c r="SPS1812" s="569"/>
      <c r="SPT1812" s="618"/>
      <c r="SPU1812" s="653"/>
      <c r="SPV1812" s="545"/>
      <c r="SPW1812" s="651"/>
      <c r="SPX1812" s="653"/>
      <c r="SPY1812" s="591"/>
      <c r="SPZ1812" s="653"/>
      <c r="SQA1812" s="654"/>
      <c r="SQB1812" s="555"/>
      <c r="SQC1812" s="556"/>
      <c r="SQD1812" s="633"/>
      <c r="SQE1812" s="634"/>
      <c r="SQF1812" s="635"/>
      <c r="SQG1812" s="560"/>
      <c r="SQH1812" s="589"/>
      <c r="SQI1812" s="636"/>
      <c r="SQJ1812" s="559"/>
      <c r="SQK1812" s="557"/>
      <c r="SQL1812" s="558"/>
      <c r="SQM1812" s="590"/>
      <c r="SQN1812" s="591"/>
      <c r="SQO1812" s="591"/>
      <c r="SQP1812" s="592"/>
      <c r="SQQ1812" s="593"/>
      <c r="SQR1812" s="591"/>
      <c r="SQS1812" s="591"/>
      <c r="SQT1812" s="591"/>
      <c r="SQU1812" s="592"/>
      <c r="SQV1812" s="593"/>
      <c r="SQW1812" s="594"/>
      <c r="SQX1812" s="590"/>
      <c r="SQY1812" s="591"/>
      <c r="SQZ1812" s="591"/>
      <c r="SRA1812" s="591"/>
      <c r="SRB1812" s="591"/>
      <c r="SRC1812" s="591"/>
      <c r="SRD1812" s="591"/>
      <c r="SRE1812" s="560"/>
      <c r="SRF1812" s="560"/>
      <c r="SRG1812" s="592"/>
      <c r="SRH1812" s="594"/>
      <c r="SRI1812" s="593"/>
      <c r="SRJ1812" s="595"/>
      <c r="SRK1812" s="542"/>
      <c r="SRL1812" s="542"/>
      <c r="SRM1812" s="542"/>
      <c r="SRN1812" s="542"/>
      <c r="SRO1812" s="542"/>
      <c r="SRP1812" s="547"/>
      <c r="SRQ1812" s="544"/>
      <c r="SRR1812" s="545"/>
      <c r="SRS1812" s="545"/>
      <c r="SRT1812" s="545"/>
      <c r="SRU1812" s="652"/>
      <c r="SRV1812" s="582"/>
      <c r="SRW1812" s="582"/>
      <c r="SRX1812" s="629"/>
      <c r="SRY1812" s="630"/>
      <c r="SRZ1812" s="630"/>
      <c r="SSA1812" s="630"/>
      <c r="SSB1812" s="630"/>
      <c r="SSC1812" s="631"/>
      <c r="SSD1812" s="587"/>
      <c r="SSE1812" s="569"/>
      <c r="SSF1812" s="582"/>
      <c r="SSG1812" s="587"/>
      <c r="SSH1812" s="569"/>
      <c r="SSI1812" s="569"/>
      <c r="SSJ1812" s="569"/>
      <c r="SSK1812" s="582"/>
      <c r="SSL1812" s="587"/>
      <c r="SSM1812" s="582"/>
      <c r="SSN1812" s="587"/>
      <c r="SSO1812" s="569"/>
      <c r="SSP1812" s="569"/>
      <c r="SSQ1812" s="569"/>
      <c r="SSR1812" s="618"/>
      <c r="SSS1812" s="653"/>
      <c r="SST1812" s="545"/>
      <c r="SSU1812" s="651"/>
      <c r="SSV1812" s="653"/>
      <c r="SSW1812" s="591"/>
      <c r="SSX1812" s="653"/>
      <c r="SSY1812" s="654"/>
      <c r="SSZ1812" s="555"/>
      <c r="STA1812" s="556"/>
      <c r="STB1812" s="633"/>
      <c r="STC1812" s="634"/>
      <c r="STD1812" s="635"/>
      <c r="STE1812" s="560"/>
      <c r="STF1812" s="589"/>
      <c r="STG1812" s="636"/>
      <c r="STH1812" s="559"/>
      <c r="STI1812" s="557"/>
      <c r="STJ1812" s="558"/>
      <c r="STK1812" s="590"/>
      <c r="STL1812" s="591"/>
      <c r="STM1812" s="591"/>
      <c r="STN1812" s="592"/>
      <c r="STO1812" s="593"/>
      <c r="STP1812" s="591"/>
      <c r="STQ1812" s="591"/>
      <c r="STR1812" s="591"/>
      <c r="STS1812" s="592"/>
      <c r="STT1812" s="593"/>
      <c r="STU1812" s="594"/>
      <c r="STV1812" s="590"/>
      <c r="STW1812" s="591"/>
      <c r="STX1812" s="591"/>
      <c r="STY1812" s="591"/>
      <c r="STZ1812" s="591"/>
      <c r="SUA1812" s="591"/>
      <c r="SUB1812" s="591"/>
      <c r="SUC1812" s="560"/>
      <c r="SUD1812" s="560"/>
      <c r="SUE1812" s="592"/>
      <c r="SUF1812" s="594"/>
      <c r="SUG1812" s="593"/>
      <c r="SUH1812" s="595"/>
      <c r="SUI1812" s="542"/>
      <c r="SUJ1812" s="542"/>
      <c r="SUK1812" s="542"/>
      <c r="SUL1812" s="542"/>
      <c r="SUM1812" s="542"/>
      <c r="SUN1812" s="547"/>
      <c r="SUO1812" s="544"/>
      <c r="SUP1812" s="545"/>
      <c r="SUQ1812" s="545"/>
      <c r="SUR1812" s="545"/>
      <c r="SUS1812" s="652"/>
      <c r="SUT1812" s="582"/>
      <c r="SUU1812" s="582"/>
      <c r="SUV1812" s="629"/>
      <c r="SUW1812" s="630"/>
      <c r="SUX1812" s="630"/>
      <c r="SUY1812" s="630"/>
      <c r="SUZ1812" s="630"/>
      <c r="SVA1812" s="631"/>
      <c r="SVB1812" s="587"/>
      <c r="SVC1812" s="569"/>
      <c r="SVD1812" s="582"/>
      <c r="SVE1812" s="587"/>
      <c r="SVF1812" s="569"/>
      <c r="SVG1812" s="569"/>
      <c r="SVH1812" s="569"/>
      <c r="SVI1812" s="582"/>
      <c r="SVJ1812" s="587"/>
      <c r="SVK1812" s="582"/>
      <c r="SVL1812" s="587"/>
      <c r="SVM1812" s="569"/>
      <c r="SVN1812" s="569"/>
      <c r="SVO1812" s="569"/>
      <c r="SVP1812" s="618"/>
      <c r="SVQ1812" s="653"/>
      <c r="SVR1812" s="545"/>
      <c r="SVS1812" s="651"/>
      <c r="SVT1812" s="653"/>
      <c r="SVU1812" s="591"/>
      <c r="SVV1812" s="653"/>
      <c r="SVW1812" s="654"/>
      <c r="SVX1812" s="555"/>
      <c r="SVY1812" s="556"/>
      <c r="SVZ1812" s="633"/>
      <c r="SWA1812" s="634"/>
      <c r="SWB1812" s="635"/>
      <c r="SWC1812" s="560"/>
      <c r="SWD1812" s="589"/>
      <c r="SWE1812" s="636"/>
      <c r="SWF1812" s="559"/>
      <c r="SWG1812" s="557"/>
      <c r="SWH1812" s="558"/>
      <c r="SWI1812" s="590"/>
      <c r="SWJ1812" s="591"/>
      <c r="SWK1812" s="591"/>
      <c r="SWL1812" s="592"/>
      <c r="SWM1812" s="593"/>
      <c r="SWN1812" s="591"/>
      <c r="SWO1812" s="591"/>
      <c r="SWP1812" s="591"/>
      <c r="SWQ1812" s="592"/>
      <c r="SWR1812" s="593"/>
      <c r="SWS1812" s="594"/>
      <c r="SWT1812" s="590"/>
      <c r="SWU1812" s="591"/>
      <c r="SWV1812" s="591"/>
      <c r="SWW1812" s="591"/>
      <c r="SWX1812" s="591"/>
      <c r="SWY1812" s="591"/>
      <c r="SWZ1812" s="591"/>
      <c r="SXA1812" s="560"/>
      <c r="SXB1812" s="560"/>
      <c r="SXC1812" s="592"/>
      <c r="SXD1812" s="594"/>
      <c r="SXE1812" s="593"/>
      <c r="SXF1812" s="595"/>
      <c r="SXG1812" s="542"/>
      <c r="SXH1812" s="542"/>
      <c r="SXI1812" s="542"/>
      <c r="SXJ1812" s="542"/>
      <c r="SXK1812" s="542"/>
      <c r="SXL1812" s="547"/>
      <c r="SXM1812" s="544"/>
      <c r="SXN1812" s="545"/>
      <c r="SXO1812" s="545"/>
      <c r="SXP1812" s="545"/>
      <c r="SXQ1812" s="652"/>
      <c r="SXR1812" s="582"/>
      <c r="SXS1812" s="582"/>
      <c r="SXT1812" s="629"/>
      <c r="SXU1812" s="630"/>
      <c r="SXV1812" s="630"/>
      <c r="SXW1812" s="630"/>
      <c r="SXX1812" s="630"/>
      <c r="SXY1812" s="631"/>
      <c r="SXZ1812" s="587"/>
      <c r="SYA1812" s="569"/>
      <c r="SYB1812" s="582"/>
      <c r="SYC1812" s="587"/>
      <c r="SYD1812" s="569"/>
      <c r="SYE1812" s="569"/>
      <c r="SYF1812" s="569"/>
      <c r="SYG1812" s="582"/>
      <c r="SYH1812" s="587"/>
      <c r="SYI1812" s="582"/>
      <c r="SYJ1812" s="587"/>
      <c r="SYK1812" s="569"/>
      <c r="SYL1812" s="569"/>
      <c r="SYM1812" s="569"/>
      <c r="SYN1812" s="618"/>
      <c r="SYO1812" s="653"/>
      <c r="SYP1812" s="545"/>
      <c r="SYQ1812" s="651"/>
      <c r="SYR1812" s="653"/>
      <c r="SYS1812" s="591"/>
      <c r="SYT1812" s="653"/>
      <c r="SYU1812" s="654"/>
      <c r="SYV1812" s="555"/>
      <c r="SYW1812" s="556"/>
      <c r="SYX1812" s="633"/>
      <c r="SYY1812" s="634"/>
      <c r="SYZ1812" s="635"/>
      <c r="SZA1812" s="560"/>
      <c r="SZB1812" s="589"/>
      <c r="SZC1812" s="636"/>
      <c r="SZD1812" s="559"/>
      <c r="SZE1812" s="557"/>
      <c r="SZF1812" s="558"/>
      <c r="SZG1812" s="590"/>
      <c r="SZH1812" s="591"/>
      <c r="SZI1812" s="591"/>
      <c r="SZJ1812" s="592"/>
      <c r="SZK1812" s="593"/>
      <c r="SZL1812" s="591"/>
      <c r="SZM1812" s="591"/>
      <c r="SZN1812" s="591"/>
      <c r="SZO1812" s="592"/>
      <c r="SZP1812" s="593"/>
      <c r="SZQ1812" s="594"/>
      <c r="SZR1812" s="590"/>
      <c r="SZS1812" s="591"/>
      <c r="SZT1812" s="591"/>
      <c r="SZU1812" s="591"/>
      <c r="SZV1812" s="591"/>
      <c r="SZW1812" s="591"/>
      <c r="SZX1812" s="591"/>
      <c r="SZY1812" s="560"/>
      <c r="SZZ1812" s="560"/>
      <c r="TAA1812" s="592"/>
      <c r="TAB1812" s="594"/>
      <c r="TAC1812" s="593"/>
      <c r="TAD1812" s="595"/>
      <c r="TAE1812" s="542"/>
      <c r="TAF1812" s="542"/>
      <c r="TAG1812" s="542"/>
      <c r="TAH1812" s="542"/>
      <c r="TAI1812" s="542"/>
      <c r="TAJ1812" s="547"/>
      <c r="TAK1812" s="544"/>
      <c r="TAL1812" s="545"/>
      <c r="TAM1812" s="545"/>
      <c r="TAN1812" s="545"/>
      <c r="TAO1812" s="652"/>
      <c r="TAP1812" s="582"/>
      <c r="TAQ1812" s="582"/>
      <c r="TAR1812" s="629"/>
      <c r="TAS1812" s="630"/>
      <c r="TAT1812" s="630"/>
      <c r="TAU1812" s="630"/>
      <c r="TAV1812" s="630"/>
      <c r="TAW1812" s="631"/>
      <c r="TAX1812" s="587"/>
      <c r="TAY1812" s="569"/>
      <c r="TAZ1812" s="582"/>
      <c r="TBA1812" s="587"/>
      <c r="TBB1812" s="569"/>
      <c r="TBC1812" s="569"/>
      <c r="TBD1812" s="569"/>
      <c r="TBE1812" s="582"/>
      <c r="TBF1812" s="587"/>
      <c r="TBG1812" s="582"/>
      <c r="TBH1812" s="587"/>
      <c r="TBI1812" s="569"/>
      <c r="TBJ1812" s="569"/>
      <c r="TBK1812" s="569"/>
      <c r="TBL1812" s="618"/>
      <c r="TBM1812" s="653"/>
      <c r="TBN1812" s="545"/>
      <c r="TBO1812" s="651"/>
      <c r="TBP1812" s="653"/>
      <c r="TBQ1812" s="591"/>
      <c r="TBR1812" s="653"/>
      <c r="TBS1812" s="654"/>
      <c r="TBT1812" s="555"/>
      <c r="TBU1812" s="556"/>
      <c r="TBV1812" s="633"/>
      <c r="TBW1812" s="634"/>
      <c r="TBX1812" s="635"/>
      <c r="TBY1812" s="560"/>
      <c r="TBZ1812" s="589"/>
      <c r="TCA1812" s="636"/>
      <c r="TCB1812" s="559"/>
      <c r="TCC1812" s="557"/>
      <c r="TCD1812" s="558"/>
      <c r="TCE1812" s="590"/>
      <c r="TCF1812" s="591"/>
      <c r="TCG1812" s="591"/>
      <c r="TCH1812" s="592"/>
      <c r="TCI1812" s="593"/>
      <c r="TCJ1812" s="591"/>
      <c r="TCK1812" s="591"/>
      <c r="TCL1812" s="591"/>
      <c r="TCM1812" s="592"/>
      <c r="TCN1812" s="593"/>
      <c r="TCO1812" s="594"/>
      <c r="TCP1812" s="590"/>
      <c r="TCQ1812" s="591"/>
      <c r="TCR1812" s="591"/>
      <c r="TCS1812" s="591"/>
      <c r="TCT1812" s="591"/>
      <c r="TCU1812" s="591"/>
      <c r="TCV1812" s="591"/>
      <c r="TCW1812" s="560"/>
      <c r="TCX1812" s="560"/>
      <c r="TCY1812" s="592"/>
      <c r="TCZ1812" s="594"/>
      <c r="TDA1812" s="593"/>
      <c r="TDB1812" s="595"/>
      <c r="TDC1812" s="542"/>
      <c r="TDD1812" s="542"/>
      <c r="TDE1812" s="542"/>
      <c r="TDF1812" s="542"/>
      <c r="TDG1812" s="542"/>
      <c r="TDH1812" s="547"/>
      <c r="TDI1812" s="544"/>
      <c r="TDJ1812" s="545"/>
      <c r="TDK1812" s="545"/>
      <c r="TDL1812" s="545"/>
      <c r="TDM1812" s="652"/>
      <c r="TDN1812" s="582"/>
      <c r="TDO1812" s="582"/>
      <c r="TDP1812" s="629"/>
      <c r="TDQ1812" s="630"/>
      <c r="TDR1812" s="630"/>
      <c r="TDS1812" s="630"/>
      <c r="TDT1812" s="630"/>
      <c r="TDU1812" s="631"/>
      <c r="TDV1812" s="587"/>
      <c r="TDW1812" s="569"/>
      <c r="TDX1812" s="582"/>
      <c r="TDY1812" s="587"/>
      <c r="TDZ1812" s="569"/>
      <c r="TEA1812" s="569"/>
      <c r="TEB1812" s="569"/>
      <c r="TEC1812" s="582"/>
      <c r="TED1812" s="587"/>
      <c r="TEE1812" s="582"/>
      <c r="TEF1812" s="587"/>
      <c r="TEG1812" s="569"/>
      <c r="TEH1812" s="569"/>
      <c r="TEI1812" s="569"/>
      <c r="TEJ1812" s="618"/>
      <c r="TEK1812" s="653"/>
      <c r="TEL1812" s="545"/>
      <c r="TEM1812" s="651"/>
      <c r="TEN1812" s="653"/>
      <c r="TEO1812" s="591"/>
      <c r="TEP1812" s="653"/>
      <c r="TEQ1812" s="654"/>
      <c r="TER1812" s="555"/>
      <c r="TES1812" s="556"/>
      <c r="TET1812" s="633"/>
      <c r="TEU1812" s="634"/>
      <c r="TEV1812" s="635"/>
      <c r="TEW1812" s="560"/>
      <c r="TEX1812" s="589"/>
      <c r="TEY1812" s="636"/>
      <c r="TEZ1812" s="559"/>
      <c r="TFA1812" s="557"/>
      <c r="TFB1812" s="558"/>
      <c r="TFC1812" s="590"/>
      <c r="TFD1812" s="591"/>
      <c r="TFE1812" s="591"/>
      <c r="TFF1812" s="592"/>
      <c r="TFG1812" s="593"/>
      <c r="TFH1812" s="591"/>
      <c r="TFI1812" s="591"/>
      <c r="TFJ1812" s="591"/>
      <c r="TFK1812" s="592"/>
      <c r="TFL1812" s="593"/>
      <c r="TFM1812" s="594"/>
      <c r="TFN1812" s="590"/>
      <c r="TFO1812" s="591"/>
      <c r="TFP1812" s="591"/>
      <c r="TFQ1812" s="591"/>
      <c r="TFR1812" s="591"/>
      <c r="TFS1812" s="591"/>
      <c r="TFT1812" s="591"/>
      <c r="TFU1812" s="560"/>
      <c r="TFV1812" s="560"/>
      <c r="TFW1812" s="592"/>
      <c r="TFX1812" s="594"/>
      <c r="TFY1812" s="593"/>
      <c r="TFZ1812" s="595"/>
      <c r="TGA1812" s="542"/>
      <c r="TGB1812" s="542"/>
      <c r="TGC1812" s="542"/>
      <c r="TGD1812" s="542"/>
      <c r="TGE1812" s="542"/>
      <c r="TGF1812" s="547"/>
      <c r="TGG1812" s="544"/>
      <c r="TGH1812" s="545"/>
      <c r="TGI1812" s="545"/>
      <c r="TGJ1812" s="545"/>
      <c r="TGK1812" s="652"/>
      <c r="TGL1812" s="582"/>
      <c r="TGM1812" s="582"/>
      <c r="TGN1812" s="629"/>
      <c r="TGO1812" s="630"/>
      <c r="TGP1812" s="630"/>
      <c r="TGQ1812" s="630"/>
      <c r="TGR1812" s="630"/>
      <c r="TGS1812" s="631"/>
      <c r="TGT1812" s="587"/>
      <c r="TGU1812" s="569"/>
      <c r="TGV1812" s="582"/>
      <c r="TGW1812" s="587"/>
      <c r="TGX1812" s="569"/>
      <c r="TGY1812" s="569"/>
      <c r="TGZ1812" s="569"/>
      <c r="THA1812" s="582"/>
      <c r="THB1812" s="587"/>
      <c r="THC1812" s="582"/>
      <c r="THD1812" s="587"/>
      <c r="THE1812" s="569"/>
      <c r="THF1812" s="569"/>
      <c r="THG1812" s="569"/>
      <c r="THH1812" s="618"/>
      <c r="THI1812" s="653"/>
      <c r="THJ1812" s="545"/>
      <c r="THK1812" s="651"/>
      <c r="THL1812" s="653"/>
      <c r="THM1812" s="591"/>
      <c r="THN1812" s="653"/>
      <c r="THO1812" s="654"/>
      <c r="THP1812" s="555"/>
      <c r="THQ1812" s="556"/>
      <c r="THR1812" s="633"/>
      <c r="THS1812" s="634"/>
      <c r="THT1812" s="635"/>
      <c r="THU1812" s="560"/>
      <c r="THV1812" s="589"/>
      <c r="THW1812" s="636"/>
      <c r="THX1812" s="559"/>
      <c r="THY1812" s="557"/>
      <c r="THZ1812" s="558"/>
      <c r="TIA1812" s="590"/>
      <c r="TIB1812" s="591"/>
      <c r="TIC1812" s="591"/>
      <c r="TID1812" s="592"/>
      <c r="TIE1812" s="593"/>
      <c r="TIF1812" s="591"/>
      <c r="TIG1812" s="591"/>
      <c r="TIH1812" s="591"/>
      <c r="TII1812" s="592"/>
      <c r="TIJ1812" s="593"/>
      <c r="TIK1812" s="594"/>
      <c r="TIL1812" s="590"/>
      <c r="TIM1812" s="591"/>
      <c r="TIN1812" s="591"/>
      <c r="TIO1812" s="591"/>
      <c r="TIP1812" s="591"/>
      <c r="TIQ1812" s="591"/>
      <c r="TIR1812" s="591"/>
      <c r="TIS1812" s="560"/>
      <c r="TIT1812" s="560"/>
      <c r="TIU1812" s="592"/>
      <c r="TIV1812" s="594"/>
      <c r="TIW1812" s="593"/>
      <c r="TIX1812" s="595"/>
      <c r="TIY1812" s="542"/>
      <c r="TIZ1812" s="542"/>
      <c r="TJA1812" s="542"/>
      <c r="TJB1812" s="542"/>
      <c r="TJC1812" s="542"/>
      <c r="TJD1812" s="547"/>
      <c r="TJE1812" s="544"/>
      <c r="TJF1812" s="545"/>
      <c r="TJG1812" s="545"/>
      <c r="TJH1812" s="545"/>
      <c r="TJI1812" s="652"/>
      <c r="TJJ1812" s="582"/>
      <c r="TJK1812" s="582"/>
      <c r="TJL1812" s="629"/>
      <c r="TJM1812" s="630"/>
      <c r="TJN1812" s="630"/>
      <c r="TJO1812" s="630"/>
      <c r="TJP1812" s="630"/>
      <c r="TJQ1812" s="631"/>
      <c r="TJR1812" s="587"/>
      <c r="TJS1812" s="569"/>
      <c r="TJT1812" s="582"/>
      <c r="TJU1812" s="587"/>
      <c r="TJV1812" s="569"/>
      <c r="TJW1812" s="569"/>
      <c r="TJX1812" s="569"/>
      <c r="TJY1812" s="582"/>
      <c r="TJZ1812" s="587"/>
      <c r="TKA1812" s="582"/>
      <c r="TKB1812" s="587"/>
      <c r="TKC1812" s="569"/>
      <c r="TKD1812" s="569"/>
      <c r="TKE1812" s="569"/>
      <c r="TKF1812" s="618"/>
      <c r="TKG1812" s="653"/>
      <c r="TKH1812" s="545"/>
      <c r="TKI1812" s="651"/>
      <c r="TKJ1812" s="653"/>
      <c r="TKK1812" s="591"/>
      <c r="TKL1812" s="653"/>
      <c r="TKM1812" s="654"/>
      <c r="TKN1812" s="555"/>
      <c r="TKO1812" s="556"/>
      <c r="TKP1812" s="633"/>
      <c r="TKQ1812" s="634"/>
      <c r="TKR1812" s="635"/>
      <c r="TKS1812" s="560"/>
      <c r="TKT1812" s="589"/>
      <c r="TKU1812" s="636"/>
      <c r="TKV1812" s="559"/>
      <c r="TKW1812" s="557"/>
      <c r="TKX1812" s="558"/>
      <c r="TKY1812" s="590"/>
      <c r="TKZ1812" s="591"/>
      <c r="TLA1812" s="591"/>
      <c r="TLB1812" s="592"/>
      <c r="TLC1812" s="593"/>
      <c r="TLD1812" s="591"/>
      <c r="TLE1812" s="591"/>
      <c r="TLF1812" s="591"/>
      <c r="TLG1812" s="592"/>
      <c r="TLH1812" s="593"/>
      <c r="TLI1812" s="594"/>
      <c r="TLJ1812" s="590"/>
      <c r="TLK1812" s="591"/>
      <c r="TLL1812" s="591"/>
      <c r="TLM1812" s="591"/>
      <c r="TLN1812" s="591"/>
      <c r="TLO1812" s="591"/>
      <c r="TLP1812" s="591"/>
      <c r="TLQ1812" s="560"/>
      <c r="TLR1812" s="560"/>
      <c r="TLS1812" s="592"/>
      <c r="TLT1812" s="594"/>
      <c r="TLU1812" s="593"/>
      <c r="TLV1812" s="595"/>
      <c r="TLW1812" s="542"/>
      <c r="TLX1812" s="542"/>
      <c r="TLY1812" s="542"/>
      <c r="TLZ1812" s="542"/>
      <c r="TMA1812" s="542"/>
      <c r="TMB1812" s="547"/>
      <c r="TMC1812" s="544"/>
      <c r="TMD1812" s="545"/>
      <c r="TME1812" s="545"/>
      <c r="TMF1812" s="545"/>
      <c r="TMG1812" s="652"/>
      <c r="TMH1812" s="582"/>
      <c r="TMI1812" s="582"/>
      <c r="TMJ1812" s="629"/>
      <c r="TMK1812" s="630"/>
      <c r="TML1812" s="630"/>
      <c r="TMM1812" s="630"/>
      <c r="TMN1812" s="630"/>
      <c r="TMO1812" s="631"/>
      <c r="TMP1812" s="587"/>
      <c r="TMQ1812" s="569"/>
      <c r="TMR1812" s="582"/>
      <c r="TMS1812" s="587"/>
      <c r="TMT1812" s="569"/>
      <c r="TMU1812" s="569"/>
      <c r="TMV1812" s="569"/>
      <c r="TMW1812" s="582"/>
      <c r="TMX1812" s="587"/>
      <c r="TMY1812" s="582"/>
      <c r="TMZ1812" s="587"/>
      <c r="TNA1812" s="569"/>
      <c r="TNB1812" s="569"/>
      <c r="TNC1812" s="569"/>
      <c r="TND1812" s="618"/>
      <c r="TNE1812" s="653"/>
      <c r="TNF1812" s="545"/>
      <c r="TNG1812" s="651"/>
      <c r="TNH1812" s="653"/>
      <c r="TNI1812" s="591"/>
      <c r="TNJ1812" s="653"/>
      <c r="TNK1812" s="654"/>
      <c r="TNL1812" s="555"/>
      <c r="TNM1812" s="556"/>
      <c r="TNN1812" s="633"/>
      <c r="TNO1812" s="634"/>
      <c r="TNP1812" s="635"/>
      <c r="TNQ1812" s="560"/>
      <c r="TNR1812" s="589"/>
      <c r="TNS1812" s="636"/>
      <c r="TNT1812" s="559"/>
      <c r="TNU1812" s="557"/>
      <c r="TNV1812" s="558"/>
      <c r="TNW1812" s="590"/>
      <c r="TNX1812" s="591"/>
      <c r="TNY1812" s="591"/>
      <c r="TNZ1812" s="592"/>
      <c r="TOA1812" s="593"/>
      <c r="TOB1812" s="591"/>
      <c r="TOC1812" s="591"/>
      <c r="TOD1812" s="591"/>
      <c r="TOE1812" s="592"/>
      <c r="TOF1812" s="593"/>
      <c r="TOG1812" s="594"/>
      <c r="TOH1812" s="590"/>
      <c r="TOI1812" s="591"/>
      <c r="TOJ1812" s="591"/>
      <c r="TOK1812" s="591"/>
      <c r="TOL1812" s="591"/>
      <c r="TOM1812" s="591"/>
      <c r="TON1812" s="591"/>
      <c r="TOO1812" s="560"/>
      <c r="TOP1812" s="560"/>
      <c r="TOQ1812" s="592"/>
      <c r="TOR1812" s="594"/>
      <c r="TOS1812" s="593"/>
      <c r="TOT1812" s="595"/>
      <c r="TOU1812" s="542"/>
      <c r="TOV1812" s="542"/>
      <c r="TOW1812" s="542"/>
      <c r="TOX1812" s="542"/>
      <c r="TOY1812" s="542"/>
      <c r="TOZ1812" s="547"/>
      <c r="TPA1812" s="544"/>
      <c r="TPB1812" s="545"/>
      <c r="TPC1812" s="545"/>
      <c r="TPD1812" s="545"/>
      <c r="TPE1812" s="652"/>
      <c r="TPF1812" s="582"/>
      <c r="TPG1812" s="582"/>
      <c r="TPH1812" s="629"/>
      <c r="TPI1812" s="630"/>
      <c r="TPJ1812" s="630"/>
      <c r="TPK1812" s="630"/>
      <c r="TPL1812" s="630"/>
      <c r="TPM1812" s="631"/>
      <c r="TPN1812" s="587"/>
      <c r="TPO1812" s="569"/>
      <c r="TPP1812" s="582"/>
      <c r="TPQ1812" s="587"/>
      <c r="TPR1812" s="569"/>
      <c r="TPS1812" s="569"/>
      <c r="TPT1812" s="569"/>
      <c r="TPU1812" s="582"/>
      <c r="TPV1812" s="587"/>
      <c r="TPW1812" s="582"/>
      <c r="TPX1812" s="587"/>
      <c r="TPY1812" s="569"/>
      <c r="TPZ1812" s="569"/>
      <c r="TQA1812" s="569"/>
      <c r="TQB1812" s="618"/>
      <c r="TQC1812" s="653"/>
      <c r="TQD1812" s="545"/>
      <c r="TQE1812" s="651"/>
      <c r="TQF1812" s="653"/>
      <c r="TQG1812" s="591"/>
      <c r="TQH1812" s="653"/>
      <c r="TQI1812" s="654"/>
      <c r="TQJ1812" s="555"/>
      <c r="TQK1812" s="556"/>
      <c r="TQL1812" s="633"/>
      <c r="TQM1812" s="634"/>
      <c r="TQN1812" s="635"/>
      <c r="TQO1812" s="560"/>
      <c r="TQP1812" s="589"/>
      <c r="TQQ1812" s="636"/>
      <c r="TQR1812" s="559"/>
      <c r="TQS1812" s="557"/>
      <c r="TQT1812" s="558"/>
      <c r="TQU1812" s="590"/>
      <c r="TQV1812" s="591"/>
      <c r="TQW1812" s="591"/>
      <c r="TQX1812" s="592"/>
      <c r="TQY1812" s="593"/>
      <c r="TQZ1812" s="591"/>
      <c r="TRA1812" s="591"/>
      <c r="TRB1812" s="591"/>
      <c r="TRC1812" s="592"/>
      <c r="TRD1812" s="593"/>
      <c r="TRE1812" s="594"/>
      <c r="TRF1812" s="590"/>
      <c r="TRG1812" s="591"/>
      <c r="TRH1812" s="591"/>
      <c r="TRI1812" s="591"/>
      <c r="TRJ1812" s="591"/>
      <c r="TRK1812" s="591"/>
      <c r="TRL1812" s="591"/>
      <c r="TRM1812" s="560"/>
      <c r="TRN1812" s="560"/>
      <c r="TRO1812" s="592"/>
      <c r="TRP1812" s="594"/>
      <c r="TRQ1812" s="593"/>
      <c r="TRR1812" s="595"/>
      <c r="TRS1812" s="542"/>
      <c r="TRT1812" s="542"/>
      <c r="TRU1812" s="542"/>
      <c r="TRV1812" s="542"/>
      <c r="TRW1812" s="542"/>
      <c r="TRX1812" s="547"/>
      <c r="TRY1812" s="544"/>
      <c r="TRZ1812" s="545"/>
      <c r="TSA1812" s="545"/>
      <c r="TSB1812" s="545"/>
      <c r="TSC1812" s="652"/>
      <c r="TSD1812" s="582"/>
      <c r="TSE1812" s="582"/>
      <c r="TSF1812" s="629"/>
      <c r="TSG1812" s="630"/>
      <c r="TSH1812" s="630"/>
      <c r="TSI1812" s="630"/>
      <c r="TSJ1812" s="630"/>
      <c r="TSK1812" s="631"/>
      <c r="TSL1812" s="587"/>
      <c r="TSM1812" s="569"/>
      <c r="TSN1812" s="582"/>
      <c r="TSO1812" s="587"/>
      <c r="TSP1812" s="569"/>
      <c r="TSQ1812" s="569"/>
      <c r="TSR1812" s="569"/>
      <c r="TSS1812" s="582"/>
      <c r="TST1812" s="587"/>
      <c r="TSU1812" s="582"/>
      <c r="TSV1812" s="587"/>
      <c r="TSW1812" s="569"/>
      <c r="TSX1812" s="569"/>
      <c r="TSY1812" s="569"/>
      <c r="TSZ1812" s="618"/>
      <c r="TTA1812" s="653"/>
      <c r="TTB1812" s="545"/>
      <c r="TTC1812" s="651"/>
      <c r="TTD1812" s="653"/>
      <c r="TTE1812" s="591"/>
      <c r="TTF1812" s="653"/>
      <c r="TTG1812" s="654"/>
      <c r="TTH1812" s="555"/>
      <c r="TTI1812" s="556"/>
      <c r="TTJ1812" s="633"/>
      <c r="TTK1812" s="634"/>
      <c r="TTL1812" s="635"/>
      <c r="TTM1812" s="560"/>
      <c r="TTN1812" s="589"/>
      <c r="TTO1812" s="636"/>
      <c r="TTP1812" s="559"/>
      <c r="TTQ1812" s="557"/>
      <c r="TTR1812" s="558"/>
      <c r="TTS1812" s="590"/>
      <c r="TTT1812" s="591"/>
      <c r="TTU1812" s="591"/>
      <c r="TTV1812" s="592"/>
      <c r="TTW1812" s="593"/>
      <c r="TTX1812" s="591"/>
      <c r="TTY1812" s="591"/>
      <c r="TTZ1812" s="591"/>
      <c r="TUA1812" s="592"/>
      <c r="TUB1812" s="593"/>
      <c r="TUC1812" s="594"/>
      <c r="TUD1812" s="590"/>
      <c r="TUE1812" s="591"/>
      <c r="TUF1812" s="591"/>
      <c r="TUG1812" s="591"/>
      <c r="TUH1812" s="591"/>
      <c r="TUI1812" s="591"/>
      <c r="TUJ1812" s="591"/>
      <c r="TUK1812" s="560"/>
      <c r="TUL1812" s="560"/>
      <c r="TUM1812" s="592"/>
      <c r="TUN1812" s="594"/>
      <c r="TUO1812" s="593"/>
      <c r="TUP1812" s="595"/>
      <c r="TUQ1812" s="542"/>
      <c r="TUR1812" s="542"/>
      <c r="TUS1812" s="542"/>
      <c r="TUT1812" s="542"/>
      <c r="TUU1812" s="542"/>
      <c r="TUV1812" s="547"/>
      <c r="TUW1812" s="544"/>
      <c r="TUX1812" s="545"/>
      <c r="TUY1812" s="545"/>
      <c r="TUZ1812" s="545"/>
      <c r="TVA1812" s="652"/>
      <c r="TVB1812" s="582"/>
      <c r="TVC1812" s="582"/>
      <c r="TVD1812" s="629"/>
      <c r="TVE1812" s="630"/>
      <c r="TVF1812" s="630"/>
      <c r="TVG1812" s="630"/>
      <c r="TVH1812" s="630"/>
      <c r="TVI1812" s="631"/>
      <c r="TVJ1812" s="587"/>
      <c r="TVK1812" s="569"/>
      <c r="TVL1812" s="582"/>
      <c r="TVM1812" s="587"/>
      <c r="TVN1812" s="569"/>
      <c r="TVO1812" s="569"/>
      <c r="TVP1812" s="569"/>
      <c r="TVQ1812" s="582"/>
      <c r="TVR1812" s="587"/>
      <c r="TVS1812" s="582"/>
      <c r="TVT1812" s="587"/>
      <c r="TVU1812" s="569"/>
      <c r="TVV1812" s="569"/>
      <c r="TVW1812" s="569"/>
      <c r="TVX1812" s="618"/>
      <c r="TVY1812" s="653"/>
      <c r="TVZ1812" s="545"/>
      <c r="TWA1812" s="651"/>
      <c r="TWB1812" s="653"/>
      <c r="TWC1812" s="591"/>
      <c r="TWD1812" s="653"/>
      <c r="TWE1812" s="654"/>
      <c r="TWF1812" s="555"/>
      <c r="TWG1812" s="556"/>
      <c r="TWH1812" s="633"/>
      <c r="TWI1812" s="634"/>
      <c r="TWJ1812" s="635"/>
      <c r="TWK1812" s="560"/>
      <c r="TWL1812" s="589"/>
      <c r="TWM1812" s="636"/>
      <c r="TWN1812" s="559"/>
      <c r="TWO1812" s="557"/>
      <c r="TWP1812" s="558"/>
      <c r="TWQ1812" s="590"/>
      <c r="TWR1812" s="591"/>
      <c r="TWS1812" s="591"/>
      <c r="TWT1812" s="592"/>
      <c r="TWU1812" s="593"/>
      <c r="TWV1812" s="591"/>
      <c r="TWW1812" s="591"/>
      <c r="TWX1812" s="591"/>
      <c r="TWY1812" s="592"/>
      <c r="TWZ1812" s="593"/>
      <c r="TXA1812" s="594"/>
      <c r="TXB1812" s="590"/>
      <c r="TXC1812" s="591"/>
      <c r="TXD1812" s="591"/>
      <c r="TXE1812" s="591"/>
      <c r="TXF1812" s="591"/>
      <c r="TXG1812" s="591"/>
      <c r="TXH1812" s="591"/>
      <c r="TXI1812" s="560"/>
      <c r="TXJ1812" s="560"/>
      <c r="TXK1812" s="592"/>
      <c r="TXL1812" s="594"/>
      <c r="TXM1812" s="593"/>
      <c r="TXN1812" s="595"/>
      <c r="TXO1812" s="542"/>
      <c r="TXP1812" s="542"/>
      <c r="TXQ1812" s="542"/>
      <c r="TXR1812" s="542"/>
      <c r="TXS1812" s="542"/>
      <c r="TXT1812" s="547"/>
      <c r="TXU1812" s="544"/>
      <c r="TXV1812" s="545"/>
      <c r="TXW1812" s="545"/>
      <c r="TXX1812" s="545"/>
      <c r="TXY1812" s="652"/>
      <c r="TXZ1812" s="582"/>
      <c r="TYA1812" s="582"/>
      <c r="TYB1812" s="629"/>
      <c r="TYC1812" s="630"/>
      <c r="TYD1812" s="630"/>
      <c r="TYE1812" s="630"/>
      <c r="TYF1812" s="630"/>
      <c r="TYG1812" s="631"/>
      <c r="TYH1812" s="587"/>
      <c r="TYI1812" s="569"/>
      <c r="TYJ1812" s="582"/>
      <c r="TYK1812" s="587"/>
      <c r="TYL1812" s="569"/>
      <c r="TYM1812" s="569"/>
      <c r="TYN1812" s="569"/>
      <c r="TYO1812" s="582"/>
      <c r="TYP1812" s="587"/>
      <c r="TYQ1812" s="582"/>
      <c r="TYR1812" s="587"/>
      <c r="TYS1812" s="569"/>
      <c r="TYT1812" s="569"/>
      <c r="TYU1812" s="569"/>
      <c r="TYV1812" s="618"/>
      <c r="TYW1812" s="653"/>
      <c r="TYX1812" s="545"/>
      <c r="TYY1812" s="651"/>
      <c r="TYZ1812" s="653"/>
      <c r="TZA1812" s="591"/>
      <c r="TZB1812" s="653"/>
      <c r="TZC1812" s="654"/>
      <c r="TZD1812" s="555"/>
      <c r="TZE1812" s="556"/>
      <c r="TZF1812" s="633"/>
      <c r="TZG1812" s="634"/>
      <c r="TZH1812" s="635"/>
      <c r="TZI1812" s="560"/>
      <c r="TZJ1812" s="589"/>
      <c r="TZK1812" s="636"/>
      <c r="TZL1812" s="559"/>
      <c r="TZM1812" s="557"/>
      <c r="TZN1812" s="558"/>
      <c r="TZO1812" s="590"/>
      <c r="TZP1812" s="591"/>
      <c r="TZQ1812" s="591"/>
      <c r="TZR1812" s="592"/>
      <c r="TZS1812" s="593"/>
      <c r="TZT1812" s="591"/>
      <c r="TZU1812" s="591"/>
      <c r="TZV1812" s="591"/>
      <c r="TZW1812" s="592"/>
      <c r="TZX1812" s="593"/>
      <c r="TZY1812" s="594"/>
      <c r="TZZ1812" s="590"/>
      <c r="UAA1812" s="591"/>
      <c r="UAB1812" s="591"/>
      <c r="UAC1812" s="591"/>
      <c r="UAD1812" s="591"/>
      <c r="UAE1812" s="591"/>
      <c r="UAF1812" s="591"/>
      <c r="UAG1812" s="560"/>
      <c r="UAH1812" s="560"/>
      <c r="UAI1812" s="592"/>
      <c r="UAJ1812" s="594"/>
      <c r="UAK1812" s="593"/>
      <c r="UAL1812" s="595"/>
      <c r="UAM1812" s="542"/>
      <c r="UAN1812" s="542"/>
      <c r="UAO1812" s="542"/>
      <c r="UAP1812" s="542"/>
      <c r="UAQ1812" s="542"/>
      <c r="UAR1812" s="547"/>
      <c r="UAS1812" s="544"/>
      <c r="UAT1812" s="545"/>
      <c r="UAU1812" s="545"/>
      <c r="UAV1812" s="545"/>
      <c r="UAW1812" s="652"/>
      <c r="UAX1812" s="582"/>
      <c r="UAY1812" s="582"/>
      <c r="UAZ1812" s="629"/>
      <c r="UBA1812" s="630"/>
      <c r="UBB1812" s="630"/>
      <c r="UBC1812" s="630"/>
      <c r="UBD1812" s="630"/>
      <c r="UBE1812" s="631"/>
      <c r="UBF1812" s="587"/>
      <c r="UBG1812" s="569"/>
      <c r="UBH1812" s="582"/>
      <c r="UBI1812" s="587"/>
      <c r="UBJ1812" s="569"/>
      <c r="UBK1812" s="569"/>
      <c r="UBL1812" s="569"/>
      <c r="UBM1812" s="582"/>
      <c r="UBN1812" s="587"/>
      <c r="UBO1812" s="582"/>
      <c r="UBP1812" s="587"/>
      <c r="UBQ1812" s="569"/>
      <c r="UBR1812" s="569"/>
      <c r="UBS1812" s="569"/>
      <c r="UBT1812" s="618"/>
      <c r="UBU1812" s="653"/>
      <c r="UBV1812" s="545"/>
      <c r="UBW1812" s="651"/>
      <c r="UBX1812" s="653"/>
      <c r="UBY1812" s="591"/>
      <c r="UBZ1812" s="653"/>
      <c r="UCA1812" s="654"/>
      <c r="UCB1812" s="555"/>
      <c r="UCC1812" s="556"/>
      <c r="UCD1812" s="633"/>
      <c r="UCE1812" s="634"/>
      <c r="UCF1812" s="635"/>
      <c r="UCG1812" s="560"/>
      <c r="UCH1812" s="589"/>
      <c r="UCI1812" s="636"/>
      <c r="UCJ1812" s="559"/>
      <c r="UCK1812" s="557"/>
      <c r="UCL1812" s="558"/>
      <c r="UCM1812" s="590"/>
      <c r="UCN1812" s="591"/>
      <c r="UCO1812" s="591"/>
      <c r="UCP1812" s="592"/>
      <c r="UCQ1812" s="593"/>
      <c r="UCR1812" s="591"/>
      <c r="UCS1812" s="591"/>
      <c r="UCT1812" s="591"/>
      <c r="UCU1812" s="592"/>
      <c r="UCV1812" s="593"/>
      <c r="UCW1812" s="594"/>
      <c r="UCX1812" s="590"/>
      <c r="UCY1812" s="591"/>
      <c r="UCZ1812" s="591"/>
      <c r="UDA1812" s="591"/>
      <c r="UDB1812" s="591"/>
      <c r="UDC1812" s="591"/>
      <c r="UDD1812" s="591"/>
      <c r="UDE1812" s="560"/>
      <c r="UDF1812" s="560"/>
      <c r="UDG1812" s="592"/>
      <c r="UDH1812" s="594"/>
      <c r="UDI1812" s="593"/>
      <c r="UDJ1812" s="595"/>
      <c r="UDK1812" s="542"/>
      <c r="UDL1812" s="542"/>
      <c r="UDM1812" s="542"/>
      <c r="UDN1812" s="542"/>
      <c r="UDO1812" s="542"/>
      <c r="UDP1812" s="547"/>
      <c r="UDQ1812" s="544"/>
      <c r="UDR1812" s="545"/>
      <c r="UDS1812" s="545"/>
      <c r="UDT1812" s="545"/>
      <c r="UDU1812" s="652"/>
      <c r="UDV1812" s="582"/>
      <c r="UDW1812" s="582"/>
      <c r="UDX1812" s="629"/>
      <c r="UDY1812" s="630"/>
      <c r="UDZ1812" s="630"/>
      <c r="UEA1812" s="630"/>
      <c r="UEB1812" s="630"/>
      <c r="UEC1812" s="631"/>
      <c r="UED1812" s="587"/>
      <c r="UEE1812" s="569"/>
      <c r="UEF1812" s="582"/>
      <c r="UEG1812" s="587"/>
      <c r="UEH1812" s="569"/>
      <c r="UEI1812" s="569"/>
      <c r="UEJ1812" s="569"/>
      <c r="UEK1812" s="582"/>
      <c r="UEL1812" s="587"/>
      <c r="UEM1812" s="582"/>
      <c r="UEN1812" s="587"/>
      <c r="UEO1812" s="569"/>
      <c r="UEP1812" s="569"/>
      <c r="UEQ1812" s="569"/>
      <c r="UER1812" s="618"/>
      <c r="UES1812" s="653"/>
      <c r="UET1812" s="545"/>
      <c r="UEU1812" s="651"/>
      <c r="UEV1812" s="653"/>
      <c r="UEW1812" s="591"/>
      <c r="UEX1812" s="653"/>
      <c r="UEY1812" s="654"/>
      <c r="UEZ1812" s="555"/>
      <c r="UFA1812" s="556"/>
      <c r="UFB1812" s="633"/>
      <c r="UFC1812" s="634"/>
      <c r="UFD1812" s="635"/>
      <c r="UFE1812" s="560"/>
      <c r="UFF1812" s="589"/>
      <c r="UFG1812" s="636"/>
      <c r="UFH1812" s="559"/>
      <c r="UFI1812" s="557"/>
      <c r="UFJ1812" s="558"/>
      <c r="UFK1812" s="590"/>
      <c r="UFL1812" s="591"/>
      <c r="UFM1812" s="591"/>
      <c r="UFN1812" s="592"/>
      <c r="UFO1812" s="593"/>
      <c r="UFP1812" s="591"/>
      <c r="UFQ1812" s="591"/>
      <c r="UFR1812" s="591"/>
      <c r="UFS1812" s="592"/>
      <c r="UFT1812" s="593"/>
      <c r="UFU1812" s="594"/>
      <c r="UFV1812" s="590"/>
      <c r="UFW1812" s="591"/>
      <c r="UFX1812" s="591"/>
      <c r="UFY1812" s="591"/>
      <c r="UFZ1812" s="591"/>
      <c r="UGA1812" s="591"/>
      <c r="UGB1812" s="591"/>
      <c r="UGC1812" s="560"/>
      <c r="UGD1812" s="560"/>
      <c r="UGE1812" s="592"/>
      <c r="UGF1812" s="594"/>
      <c r="UGG1812" s="593"/>
      <c r="UGH1812" s="595"/>
      <c r="UGI1812" s="542"/>
      <c r="UGJ1812" s="542"/>
      <c r="UGK1812" s="542"/>
      <c r="UGL1812" s="542"/>
      <c r="UGM1812" s="542"/>
      <c r="UGN1812" s="547"/>
      <c r="UGO1812" s="544"/>
      <c r="UGP1812" s="545"/>
      <c r="UGQ1812" s="545"/>
      <c r="UGR1812" s="545"/>
      <c r="UGS1812" s="652"/>
      <c r="UGT1812" s="582"/>
      <c r="UGU1812" s="582"/>
      <c r="UGV1812" s="629"/>
      <c r="UGW1812" s="630"/>
      <c r="UGX1812" s="630"/>
      <c r="UGY1812" s="630"/>
      <c r="UGZ1812" s="630"/>
      <c r="UHA1812" s="631"/>
      <c r="UHB1812" s="587"/>
      <c r="UHC1812" s="569"/>
      <c r="UHD1812" s="582"/>
      <c r="UHE1812" s="587"/>
      <c r="UHF1812" s="569"/>
      <c r="UHG1812" s="569"/>
      <c r="UHH1812" s="569"/>
      <c r="UHI1812" s="582"/>
      <c r="UHJ1812" s="587"/>
      <c r="UHK1812" s="582"/>
      <c r="UHL1812" s="587"/>
      <c r="UHM1812" s="569"/>
      <c r="UHN1812" s="569"/>
      <c r="UHO1812" s="569"/>
      <c r="UHP1812" s="618"/>
      <c r="UHQ1812" s="653"/>
      <c r="UHR1812" s="545"/>
      <c r="UHS1812" s="651"/>
      <c r="UHT1812" s="653"/>
      <c r="UHU1812" s="591"/>
      <c r="UHV1812" s="653"/>
      <c r="UHW1812" s="654"/>
      <c r="UHX1812" s="555"/>
      <c r="UHY1812" s="556"/>
      <c r="UHZ1812" s="633"/>
      <c r="UIA1812" s="634"/>
      <c r="UIB1812" s="635"/>
      <c r="UIC1812" s="560"/>
      <c r="UID1812" s="589"/>
      <c r="UIE1812" s="636"/>
      <c r="UIF1812" s="559"/>
      <c r="UIG1812" s="557"/>
      <c r="UIH1812" s="558"/>
      <c r="UII1812" s="590"/>
      <c r="UIJ1812" s="591"/>
      <c r="UIK1812" s="591"/>
      <c r="UIL1812" s="592"/>
      <c r="UIM1812" s="593"/>
      <c r="UIN1812" s="591"/>
      <c r="UIO1812" s="591"/>
      <c r="UIP1812" s="591"/>
      <c r="UIQ1812" s="592"/>
      <c r="UIR1812" s="593"/>
      <c r="UIS1812" s="594"/>
      <c r="UIT1812" s="590"/>
      <c r="UIU1812" s="591"/>
      <c r="UIV1812" s="591"/>
      <c r="UIW1812" s="591"/>
      <c r="UIX1812" s="591"/>
      <c r="UIY1812" s="591"/>
      <c r="UIZ1812" s="591"/>
      <c r="UJA1812" s="560"/>
      <c r="UJB1812" s="560"/>
      <c r="UJC1812" s="592"/>
      <c r="UJD1812" s="594"/>
      <c r="UJE1812" s="593"/>
      <c r="UJF1812" s="595"/>
      <c r="UJG1812" s="542"/>
      <c r="UJH1812" s="542"/>
      <c r="UJI1812" s="542"/>
      <c r="UJJ1812" s="542"/>
      <c r="UJK1812" s="542"/>
      <c r="UJL1812" s="547"/>
      <c r="UJM1812" s="544"/>
      <c r="UJN1812" s="545"/>
      <c r="UJO1812" s="545"/>
      <c r="UJP1812" s="545"/>
      <c r="UJQ1812" s="652"/>
      <c r="UJR1812" s="582"/>
      <c r="UJS1812" s="582"/>
      <c r="UJT1812" s="629"/>
      <c r="UJU1812" s="630"/>
      <c r="UJV1812" s="630"/>
      <c r="UJW1812" s="630"/>
      <c r="UJX1812" s="630"/>
      <c r="UJY1812" s="631"/>
      <c r="UJZ1812" s="587"/>
      <c r="UKA1812" s="569"/>
      <c r="UKB1812" s="582"/>
      <c r="UKC1812" s="587"/>
      <c r="UKD1812" s="569"/>
      <c r="UKE1812" s="569"/>
      <c r="UKF1812" s="569"/>
      <c r="UKG1812" s="582"/>
      <c r="UKH1812" s="587"/>
      <c r="UKI1812" s="582"/>
      <c r="UKJ1812" s="587"/>
      <c r="UKK1812" s="569"/>
      <c r="UKL1812" s="569"/>
      <c r="UKM1812" s="569"/>
      <c r="UKN1812" s="618"/>
      <c r="UKO1812" s="653"/>
      <c r="UKP1812" s="545"/>
      <c r="UKQ1812" s="651"/>
      <c r="UKR1812" s="653"/>
      <c r="UKS1812" s="591"/>
      <c r="UKT1812" s="653"/>
      <c r="UKU1812" s="654"/>
      <c r="UKV1812" s="555"/>
      <c r="UKW1812" s="556"/>
      <c r="UKX1812" s="633"/>
      <c r="UKY1812" s="634"/>
      <c r="UKZ1812" s="635"/>
      <c r="ULA1812" s="560"/>
      <c r="ULB1812" s="589"/>
      <c r="ULC1812" s="636"/>
      <c r="ULD1812" s="559"/>
      <c r="ULE1812" s="557"/>
      <c r="ULF1812" s="558"/>
      <c r="ULG1812" s="590"/>
      <c r="ULH1812" s="591"/>
      <c r="ULI1812" s="591"/>
      <c r="ULJ1812" s="592"/>
      <c r="ULK1812" s="593"/>
      <c r="ULL1812" s="591"/>
      <c r="ULM1812" s="591"/>
      <c r="ULN1812" s="591"/>
      <c r="ULO1812" s="592"/>
      <c r="ULP1812" s="593"/>
      <c r="ULQ1812" s="594"/>
      <c r="ULR1812" s="590"/>
      <c r="ULS1812" s="591"/>
      <c r="ULT1812" s="591"/>
      <c r="ULU1812" s="591"/>
      <c r="ULV1812" s="591"/>
      <c r="ULW1812" s="591"/>
      <c r="ULX1812" s="591"/>
      <c r="ULY1812" s="560"/>
      <c r="ULZ1812" s="560"/>
      <c r="UMA1812" s="592"/>
      <c r="UMB1812" s="594"/>
      <c r="UMC1812" s="593"/>
      <c r="UMD1812" s="595"/>
      <c r="UME1812" s="542"/>
      <c r="UMF1812" s="542"/>
      <c r="UMG1812" s="542"/>
      <c r="UMH1812" s="542"/>
      <c r="UMI1812" s="542"/>
      <c r="UMJ1812" s="547"/>
      <c r="UMK1812" s="544"/>
      <c r="UML1812" s="545"/>
      <c r="UMM1812" s="545"/>
      <c r="UMN1812" s="545"/>
      <c r="UMO1812" s="652"/>
      <c r="UMP1812" s="582"/>
      <c r="UMQ1812" s="582"/>
      <c r="UMR1812" s="629"/>
      <c r="UMS1812" s="630"/>
      <c r="UMT1812" s="630"/>
      <c r="UMU1812" s="630"/>
      <c r="UMV1812" s="630"/>
      <c r="UMW1812" s="631"/>
      <c r="UMX1812" s="587"/>
      <c r="UMY1812" s="569"/>
      <c r="UMZ1812" s="582"/>
      <c r="UNA1812" s="587"/>
      <c r="UNB1812" s="569"/>
      <c r="UNC1812" s="569"/>
      <c r="UND1812" s="569"/>
      <c r="UNE1812" s="582"/>
      <c r="UNF1812" s="587"/>
      <c r="UNG1812" s="582"/>
      <c r="UNH1812" s="587"/>
      <c r="UNI1812" s="569"/>
      <c r="UNJ1812" s="569"/>
      <c r="UNK1812" s="569"/>
      <c r="UNL1812" s="618"/>
      <c r="UNM1812" s="653"/>
      <c r="UNN1812" s="545"/>
      <c r="UNO1812" s="651"/>
      <c r="UNP1812" s="653"/>
      <c r="UNQ1812" s="591"/>
      <c r="UNR1812" s="653"/>
      <c r="UNS1812" s="654"/>
      <c r="UNT1812" s="555"/>
      <c r="UNU1812" s="556"/>
      <c r="UNV1812" s="633"/>
      <c r="UNW1812" s="634"/>
      <c r="UNX1812" s="635"/>
      <c r="UNY1812" s="560"/>
      <c r="UNZ1812" s="589"/>
      <c r="UOA1812" s="636"/>
      <c r="UOB1812" s="559"/>
      <c r="UOC1812" s="557"/>
      <c r="UOD1812" s="558"/>
      <c r="UOE1812" s="590"/>
      <c r="UOF1812" s="591"/>
      <c r="UOG1812" s="591"/>
      <c r="UOH1812" s="592"/>
      <c r="UOI1812" s="593"/>
      <c r="UOJ1812" s="591"/>
      <c r="UOK1812" s="591"/>
      <c r="UOL1812" s="591"/>
      <c r="UOM1812" s="592"/>
      <c r="UON1812" s="593"/>
      <c r="UOO1812" s="594"/>
      <c r="UOP1812" s="590"/>
      <c r="UOQ1812" s="591"/>
      <c r="UOR1812" s="591"/>
      <c r="UOS1812" s="591"/>
      <c r="UOT1812" s="591"/>
      <c r="UOU1812" s="591"/>
      <c r="UOV1812" s="591"/>
      <c r="UOW1812" s="560"/>
      <c r="UOX1812" s="560"/>
      <c r="UOY1812" s="592"/>
      <c r="UOZ1812" s="594"/>
      <c r="UPA1812" s="593"/>
      <c r="UPB1812" s="595"/>
      <c r="UPC1812" s="542"/>
      <c r="UPD1812" s="542"/>
      <c r="UPE1812" s="542"/>
      <c r="UPF1812" s="542"/>
      <c r="UPG1812" s="542"/>
      <c r="UPH1812" s="547"/>
      <c r="UPI1812" s="544"/>
      <c r="UPJ1812" s="545"/>
      <c r="UPK1812" s="545"/>
      <c r="UPL1812" s="545"/>
      <c r="UPM1812" s="652"/>
      <c r="UPN1812" s="582"/>
      <c r="UPO1812" s="582"/>
      <c r="UPP1812" s="629"/>
      <c r="UPQ1812" s="630"/>
      <c r="UPR1812" s="630"/>
      <c r="UPS1812" s="630"/>
      <c r="UPT1812" s="630"/>
      <c r="UPU1812" s="631"/>
      <c r="UPV1812" s="587"/>
      <c r="UPW1812" s="569"/>
      <c r="UPX1812" s="582"/>
      <c r="UPY1812" s="587"/>
      <c r="UPZ1812" s="569"/>
      <c r="UQA1812" s="569"/>
      <c r="UQB1812" s="569"/>
      <c r="UQC1812" s="582"/>
      <c r="UQD1812" s="587"/>
      <c r="UQE1812" s="582"/>
      <c r="UQF1812" s="587"/>
      <c r="UQG1812" s="569"/>
      <c r="UQH1812" s="569"/>
      <c r="UQI1812" s="569"/>
      <c r="UQJ1812" s="618"/>
      <c r="UQK1812" s="653"/>
      <c r="UQL1812" s="545"/>
      <c r="UQM1812" s="651"/>
      <c r="UQN1812" s="653"/>
      <c r="UQO1812" s="591"/>
      <c r="UQP1812" s="653"/>
      <c r="UQQ1812" s="654"/>
      <c r="UQR1812" s="555"/>
      <c r="UQS1812" s="556"/>
      <c r="UQT1812" s="633"/>
      <c r="UQU1812" s="634"/>
      <c r="UQV1812" s="635"/>
      <c r="UQW1812" s="560"/>
      <c r="UQX1812" s="589"/>
      <c r="UQY1812" s="636"/>
      <c r="UQZ1812" s="559"/>
      <c r="URA1812" s="557"/>
      <c r="URB1812" s="558"/>
      <c r="URC1812" s="590"/>
      <c r="URD1812" s="591"/>
      <c r="URE1812" s="591"/>
      <c r="URF1812" s="592"/>
      <c r="URG1812" s="593"/>
      <c r="URH1812" s="591"/>
      <c r="URI1812" s="591"/>
      <c r="URJ1812" s="591"/>
      <c r="URK1812" s="592"/>
      <c r="URL1812" s="593"/>
      <c r="URM1812" s="594"/>
      <c r="URN1812" s="590"/>
      <c r="URO1812" s="591"/>
      <c r="URP1812" s="591"/>
      <c r="URQ1812" s="591"/>
      <c r="URR1812" s="591"/>
      <c r="URS1812" s="591"/>
      <c r="URT1812" s="591"/>
      <c r="URU1812" s="560"/>
      <c r="URV1812" s="560"/>
      <c r="URW1812" s="592"/>
      <c r="URX1812" s="594"/>
      <c r="URY1812" s="593"/>
      <c r="URZ1812" s="595"/>
      <c r="USA1812" s="542"/>
      <c r="USB1812" s="542"/>
      <c r="USC1812" s="542"/>
      <c r="USD1812" s="542"/>
      <c r="USE1812" s="542"/>
      <c r="USF1812" s="547"/>
      <c r="USG1812" s="544"/>
      <c r="USH1812" s="545"/>
      <c r="USI1812" s="545"/>
      <c r="USJ1812" s="545"/>
      <c r="USK1812" s="652"/>
      <c r="USL1812" s="582"/>
      <c r="USM1812" s="582"/>
      <c r="USN1812" s="629"/>
      <c r="USO1812" s="630"/>
      <c r="USP1812" s="630"/>
      <c r="USQ1812" s="630"/>
      <c r="USR1812" s="630"/>
      <c r="USS1812" s="631"/>
      <c r="UST1812" s="587"/>
      <c r="USU1812" s="569"/>
      <c r="USV1812" s="582"/>
      <c r="USW1812" s="587"/>
      <c r="USX1812" s="569"/>
      <c r="USY1812" s="569"/>
      <c r="USZ1812" s="569"/>
      <c r="UTA1812" s="582"/>
      <c r="UTB1812" s="587"/>
      <c r="UTC1812" s="582"/>
      <c r="UTD1812" s="587"/>
      <c r="UTE1812" s="569"/>
      <c r="UTF1812" s="569"/>
      <c r="UTG1812" s="569"/>
      <c r="UTH1812" s="618"/>
      <c r="UTI1812" s="653"/>
      <c r="UTJ1812" s="545"/>
      <c r="UTK1812" s="651"/>
      <c r="UTL1812" s="653"/>
      <c r="UTM1812" s="591"/>
      <c r="UTN1812" s="653"/>
      <c r="UTO1812" s="654"/>
      <c r="UTP1812" s="555"/>
      <c r="UTQ1812" s="556"/>
      <c r="UTR1812" s="633"/>
      <c r="UTS1812" s="634"/>
      <c r="UTT1812" s="635"/>
      <c r="UTU1812" s="560"/>
      <c r="UTV1812" s="589"/>
      <c r="UTW1812" s="636"/>
      <c r="UTX1812" s="559"/>
      <c r="UTY1812" s="557"/>
      <c r="UTZ1812" s="558"/>
      <c r="UUA1812" s="590"/>
      <c r="UUB1812" s="591"/>
      <c r="UUC1812" s="591"/>
      <c r="UUD1812" s="592"/>
      <c r="UUE1812" s="593"/>
      <c r="UUF1812" s="591"/>
      <c r="UUG1812" s="591"/>
      <c r="UUH1812" s="591"/>
      <c r="UUI1812" s="592"/>
      <c r="UUJ1812" s="593"/>
      <c r="UUK1812" s="594"/>
      <c r="UUL1812" s="590"/>
      <c r="UUM1812" s="591"/>
      <c r="UUN1812" s="591"/>
      <c r="UUO1812" s="591"/>
      <c r="UUP1812" s="591"/>
      <c r="UUQ1812" s="591"/>
      <c r="UUR1812" s="591"/>
      <c r="UUS1812" s="560"/>
      <c r="UUT1812" s="560"/>
      <c r="UUU1812" s="592"/>
      <c r="UUV1812" s="594"/>
      <c r="UUW1812" s="593"/>
      <c r="UUX1812" s="595"/>
      <c r="UUY1812" s="542"/>
      <c r="UUZ1812" s="542"/>
      <c r="UVA1812" s="542"/>
      <c r="UVB1812" s="542"/>
      <c r="UVC1812" s="542"/>
      <c r="UVD1812" s="547"/>
      <c r="UVE1812" s="544"/>
      <c r="UVF1812" s="545"/>
      <c r="UVG1812" s="545"/>
      <c r="UVH1812" s="545"/>
      <c r="UVI1812" s="652"/>
      <c r="UVJ1812" s="582"/>
      <c r="UVK1812" s="582"/>
      <c r="UVL1812" s="629"/>
      <c r="UVM1812" s="630"/>
      <c r="UVN1812" s="630"/>
      <c r="UVO1812" s="630"/>
      <c r="UVP1812" s="630"/>
      <c r="UVQ1812" s="631"/>
      <c r="UVR1812" s="587"/>
      <c r="UVS1812" s="569"/>
      <c r="UVT1812" s="582"/>
      <c r="UVU1812" s="587"/>
      <c r="UVV1812" s="569"/>
      <c r="UVW1812" s="569"/>
      <c r="UVX1812" s="569"/>
      <c r="UVY1812" s="582"/>
      <c r="UVZ1812" s="587"/>
      <c r="UWA1812" s="582"/>
      <c r="UWB1812" s="587"/>
      <c r="UWC1812" s="569"/>
      <c r="UWD1812" s="569"/>
      <c r="UWE1812" s="569"/>
      <c r="UWF1812" s="618"/>
      <c r="UWG1812" s="653"/>
      <c r="UWH1812" s="545"/>
      <c r="UWI1812" s="651"/>
      <c r="UWJ1812" s="653"/>
      <c r="UWK1812" s="591"/>
      <c r="UWL1812" s="653"/>
      <c r="UWM1812" s="654"/>
      <c r="UWN1812" s="555"/>
      <c r="UWO1812" s="556"/>
      <c r="UWP1812" s="633"/>
      <c r="UWQ1812" s="634"/>
      <c r="UWR1812" s="635"/>
      <c r="UWS1812" s="560"/>
      <c r="UWT1812" s="589"/>
      <c r="UWU1812" s="636"/>
      <c r="UWV1812" s="559"/>
      <c r="UWW1812" s="557"/>
      <c r="UWX1812" s="558"/>
      <c r="UWY1812" s="590"/>
      <c r="UWZ1812" s="591"/>
      <c r="UXA1812" s="591"/>
      <c r="UXB1812" s="592"/>
      <c r="UXC1812" s="593"/>
      <c r="UXD1812" s="591"/>
      <c r="UXE1812" s="591"/>
      <c r="UXF1812" s="591"/>
      <c r="UXG1812" s="592"/>
      <c r="UXH1812" s="593"/>
      <c r="UXI1812" s="594"/>
      <c r="UXJ1812" s="590"/>
      <c r="UXK1812" s="591"/>
      <c r="UXL1812" s="591"/>
      <c r="UXM1812" s="591"/>
      <c r="UXN1812" s="591"/>
      <c r="UXO1812" s="591"/>
      <c r="UXP1812" s="591"/>
      <c r="UXQ1812" s="560"/>
      <c r="UXR1812" s="560"/>
      <c r="UXS1812" s="592"/>
      <c r="UXT1812" s="594"/>
      <c r="UXU1812" s="593"/>
      <c r="UXV1812" s="595"/>
      <c r="UXW1812" s="542"/>
      <c r="UXX1812" s="542"/>
      <c r="UXY1812" s="542"/>
      <c r="UXZ1812" s="542"/>
      <c r="UYA1812" s="542"/>
      <c r="UYB1812" s="547"/>
      <c r="UYC1812" s="544"/>
      <c r="UYD1812" s="545"/>
      <c r="UYE1812" s="545"/>
      <c r="UYF1812" s="545"/>
      <c r="UYG1812" s="652"/>
      <c r="UYH1812" s="582"/>
      <c r="UYI1812" s="582"/>
      <c r="UYJ1812" s="629"/>
      <c r="UYK1812" s="630"/>
      <c r="UYL1812" s="630"/>
      <c r="UYM1812" s="630"/>
      <c r="UYN1812" s="630"/>
      <c r="UYO1812" s="631"/>
      <c r="UYP1812" s="587"/>
      <c r="UYQ1812" s="569"/>
      <c r="UYR1812" s="582"/>
      <c r="UYS1812" s="587"/>
      <c r="UYT1812" s="569"/>
      <c r="UYU1812" s="569"/>
      <c r="UYV1812" s="569"/>
      <c r="UYW1812" s="582"/>
      <c r="UYX1812" s="587"/>
      <c r="UYY1812" s="582"/>
      <c r="UYZ1812" s="587"/>
      <c r="UZA1812" s="569"/>
      <c r="UZB1812" s="569"/>
      <c r="UZC1812" s="569"/>
      <c r="UZD1812" s="618"/>
      <c r="UZE1812" s="653"/>
      <c r="UZF1812" s="545"/>
      <c r="UZG1812" s="651"/>
      <c r="UZH1812" s="653"/>
      <c r="UZI1812" s="591"/>
      <c r="UZJ1812" s="653"/>
      <c r="UZK1812" s="654"/>
      <c r="UZL1812" s="555"/>
      <c r="UZM1812" s="556"/>
      <c r="UZN1812" s="633"/>
      <c r="UZO1812" s="634"/>
      <c r="UZP1812" s="635"/>
      <c r="UZQ1812" s="560"/>
      <c r="UZR1812" s="589"/>
      <c r="UZS1812" s="636"/>
      <c r="UZT1812" s="559"/>
      <c r="UZU1812" s="557"/>
      <c r="UZV1812" s="558"/>
      <c r="UZW1812" s="590"/>
      <c r="UZX1812" s="591"/>
      <c r="UZY1812" s="591"/>
      <c r="UZZ1812" s="592"/>
      <c r="VAA1812" s="593"/>
      <c r="VAB1812" s="591"/>
      <c r="VAC1812" s="591"/>
      <c r="VAD1812" s="591"/>
      <c r="VAE1812" s="592"/>
      <c r="VAF1812" s="593"/>
      <c r="VAG1812" s="594"/>
      <c r="VAH1812" s="590"/>
      <c r="VAI1812" s="591"/>
      <c r="VAJ1812" s="591"/>
      <c r="VAK1812" s="591"/>
      <c r="VAL1812" s="591"/>
      <c r="VAM1812" s="591"/>
      <c r="VAN1812" s="591"/>
      <c r="VAO1812" s="560"/>
      <c r="VAP1812" s="560"/>
      <c r="VAQ1812" s="592"/>
      <c r="VAR1812" s="594"/>
      <c r="VAS1812" s="593"/>
      <c r="VAT1812" s="595"/>
      <c r="VAU1812" s="542"/>
      <c r="VAV1812" s="542"/>
      <c r="VAW1812" s="542"/>
      <c r="VAX1812" s="542"/>
      <c r="VAY1812" s="542"/>
      <c r="VAZ1812" s="547"/>
      <c r="VBA1812" s="544"/>
      <c r="VBB1812" s="545"/>
      <c r="VBC1812" s="545"/>
      <c r="VBD1812" s="545"/>
      <c r="VBE1812" s="652"/>
      <c r="VBF1812" s="582"/>
      <c r="VBG1812" s="582"/>
      <c r="VBH1812" s="629"/>
      <c r="VBI1812" s="630"/>
      <c r="VBJ1812" s="630"/>
      <c r="VBK1812" s="630"/>
      <c r="VBL1812" s="630"/>
      <c r="VBM1812" s="631"/>
      <c r="VBN1812" s="587"/>
      <c r="VBO1812" s="569"/>
      <c r="VBP1812" s="582"/>
      <c r="VBQ1812" s="587"/>
      <c r="VBR1812" s="569"/>
      <c r="VBS1812" s="569"/>
      <c r="VBT1812" s="569"/>
      <c r="VBU1812" s="582"/>
      <c r="VBV1812" s="587"/>
      <c r="VBW1812" s="582"/>
      <c r="VBX1812" s="587"/>
      <c r="VBY1812" s="569"/>
      <c r="VBZ1812" s="569"/>
      <c r="VCA1812" s="569"/>
      <c r="VCB1812" s="618"/>
      <c r="VCC1812" s="653"/>
      <c r="VCD1812" s="545"/>
      <c r="VCE1812" s="651"/>
      <c r="VCF1812" s="653"/>
      <c r="VCG1812" s="591"/>
      <c r="VCH1812" s="653"/>
      <c r="VCI1812" s="654"/>
      <c r="VCJ1812" s="555"/>
      <c r="VCK1812" s="556"/>
      <c r="VCL1812" s="633"/>
      <c r="VCM1812" s="634"/>
      <c r="VCN1812" s="635"/>
      <c r="VCO1812" s="560"/>
      <c r="VCP1812" s="589"/>
      <c r="VCQ1812" s="636"/>
      <c r="VCR1812" s="559"/>
      <c r="VCS1812" s="557"/>
      <c r="VCT1812" s="558"/>
      <c r="VCU1812" s="590"/>
      <c r="VCV1812" s="591"/>
      <c r="VCW1812" s="591"/>
      <c r="VCX1812" s="592"/>
      <c r="VCY1812" s="593"/>
      <c r="VCZ1812" s="591"/>
      <c r="VDA1812" s="591"/>
      <c r="VDB1812" s="591"/>
      <c r="VDC1812" s="592"/>
      <c r="VDD1812" s="593"/>
      <c r="VDE1812" s="594"/>
      <c r="VDF1812" s="590"/>
      <c r="VDG1812" s="591"/>
      <c r="VDH1812" s="591"/>
      <c r="VDI1812" s="591"/>
      <c r="VDJ1812" s="591"/>
      <c r="VDK1812" s="591"/>
      <c r="VDL1812" s="591"/>
      <c r="VDM1812" s="560"/>
      <c r="VDN1812" s="560"/>
      <c r="VDO1812" s="592"/>
      <c r="VDP1812" s="594"/>
      <c r="VDQ1812" s="593"/>
      <c r="VDR1812" s="595"/>
      <c r="VDS1812" s="542"/>
      <c r="VDT1812" s="542"/>
      <c r="VDU1812" s="542"/>
      <c r="VDV1812" s="542"/>
      <c r="VDW1812" s="542"/>
      <c r="VDX1812" s="547"/>
      <c r="VDY1812" s="544"/>
      <c r="VDZ1812" s="545"/>
      <c r="VEA1812" s="545"/>
      <c r="VEB1812" s="545"/>
      <c r="VEC1812" s="652"/>
      <c r="VED1812" s="582"/>
      <c r="VEE1812" s="582"/>
      <c r="VEF1812" s="629"/>
      <c r="VEG1812" s="630"/>
      <c r="VEH1812" s="630"/>
      <c r="VEI1812" s="630"/>
      <c r="VEJ1812" s="630"/>
      <c r="VEK1812" s="631"/>
      <c r="VEL1812" s="587"/>
      <c r="VEM1812" s="569"/>
      <c r="VEN1812" s="582"/>
      <c r="VEO1812" s="587"/>
      <c r="VEP1812" s="569"/>
      <c r="VEQ1812" s="569"/>
      <c r="VER1812" s="569"/>
      <c r="VES1812" s="582"/>
      <c r="VET1812" s="587"/>
      <c r="VEU1812" s="582"/>
      <c r="VEV1812" s="587"/>
      <c r="VEW1812" s="569"/>
      <c r="VEX1812" s="569"/>
      <c r="VEY1812" s="569"/>
      <c r="VEZ1812" s="618"/>
      <c r="VFA1812" s="653"/>
      <c r="VFB1812" s="545"/>
      <c r="VFC1812" s="651"/>
      <c r="VFD1812" s="653"/>
      <c r="VFE1812" s="591"/>
      <c r="VFF1812" s="653"/>
      <c r="VFG1812" s="654"/>
      <c r="VFH1812" s="555"/>
      <c r="VFI1812" s="556"/>
      <c r="VFJ1812" s="633"/>
      <c r="VFK1812" s="634"/>
      <c r="VFL1812" s="635"/>
      <c r="VFM1812" s="560"/>
      <c r="VFN1812" s="589"/>
      <c r="VFO1812" s="636"/>
      <c r="VFP1812" s="559"/>
      <c r="VFQ1812" s="557"/>
      <c r="VFR1812" s="558"/>
      <c r="VFS1812" s="590"/>
      <c r="VFT1812" s="591"/>
      <c r="VFU1812" s="591"/>
      <c r="VFV1812" s="592"/>
      <c r="VFW1812" s="593"/>
      <c r="VFX1812" s="591"/>
      <c r="VFY1812" s="591"/>
      <c r="VFZ1812" s="591"/>
      <c r="VGA1812" s="592"/>
      <c r="VGB1812" s="593"/>
      <c r="VGC1812" s="594"/>
      <c r="VGD1812" s="590"/>
      <c r="VGE1812" s="591"/>
      <c r="VGF1812" s="591"/>
      <c r="VGG1812" s="591"/>
      <c r="VGH1812" s="591"/>
      <c r="VGI1812" s="591"/>
      <c r="VGJ1812" s="591"/>
      <c r="VGK1812" s="560"/>
      <c r="VGL1812" s="560"/>
      <c r="VGM1812" s="592"/>
      <c r="VGN1812" s="594"/>
      <c r="VGO1812" s="593"/>
      <c r="VGP1812" s="595"/>
      <c r="VGQ1812" s="542"/>
      <c r="VGR1812" s="542"/>
      <c r="VGS1812" s="542"/>
      <c r="VGT1812" s="542"/>
      <c r="VGU1812" s="542"/>
      <c r="VGV1812" s="547"/>
      <c r="VGW1812" s="544"/>
      <c r="VGX1812" s="545"/>
      <c r="VGY1812" s="545"/>
      <c r="VGZ1812" s="545"/>
      <c r="VHA1812" s="652"/>
      <c r="VHB1812" s="582"/>
      <c r="VHC1812" s="582"/>
      <c r="VHD1812" s="629"/>
      <c r="VHE1812" s="630"/>
      <c r="VHF1812" s="630"/>
      <c r="VHG1812" s="630"/>
      <c r="VHH1812" s="630"/>
      <c r="VHI1812" s="631"/>
      <c r="VHJ1812" s="587"/>
      <c r="VHK1812" s="569"/>
      <c r="VHL1812" s="582"/>
      <c r="VHM1812" s="587"/>
      <c r="VHN1812" s="569"/>
      <c r="VHO1812" s="569"/>
      <c r="VHP1812" s="569"/>
      <c r="VHQ1812" s="582"/>
      <c r="VHR1812" s="587"/>
      <c r="VHS1812" s="582"/>
      <c r="VHT1812" s="587"/>
      <c r="VHU1812" s="569"/>
      <c r="VHV1812" s="569"/>
      <c r="VHW1812" s="569"/>
      <c r="VHX1812" s="618"/>
      <c r="VHY1812" s="653"/>
      <c r="VHZ1812" s="545"/>
      <c r="VIA1812" s="651"/>
      <c r="VIB1812" s="653"/>
      <c r="VIC1812" s="591"/>
      <c r="VID1812" s="653"/>
      <c r="VIE1812" s="654"/>
      <c r="VIF1812" s="555"/>
      <c r="VIG1812" s="556"/>
      <c r="VIH1812" s="633"/>
      <c r="VII1812" s="634"/>
      <c r="VIJ1812" s="635"/>
      <c r="VIK1812" s="560"/>
      <c r="VIL1812" s="589"/>
      <c r="VIM1812" s="636"/>
      <c r="VIN1812" s="559"/>
      <c r="VIO1812" s="557"/>
      <c r="VIP1812" s="558"/>
      <c r="VIQ1812" s="590"/>
      <c r="VIR1812" s="591"/>
      <c r="VIS1812" s="591"/>
      <c r="VIT1812" s="592"/>
      <c r="VIU1812" s="593"/>
      <c r="VIV1812" s="591"/>
      <c r="VIW1812" s="591"/>
      <c r="VIX1812" s="591"/>
      <c r="VIY1812" s="592"/>
      <c r="VIZ1812" s="593"/>
      <c r="VJA1812" s="594"/>
      <c r="VJB1812" s="590"/>
      <c r="VJC1812" s="591"/>
      <c r="VJD1812" s="591"/>
      <c r="VJE1812" s="591"/>
      <c r="VJF1812" s="591"/>
      <c r="VJG1812" s="591"/>
      <c r="VJH1812" s="591"/>
      <c r="VJI1812" s="560"/>
      <c r="VJJ1812" s="560"/>
      <c r="VJK1812" s="592"/>
      <c r="VJL1812" s="594"/>
      <c r="VJM1812" s="593"/>
      <c r="VJN1812" s="595"/>
      <c r="VJO1812" s="542"/>
      <c r="VJP1812" s="542"/>
      <c r="VJQ1812" s="542"/>
      <c r="VJR1812" s="542"/>
      <c r="VJS1812" s="542"/>
      <c r="VJT1812" s="547"/>
      <c r="VJU1812" s="544"/>
      <c r="VJV1812" s="545"/>
      <c r="VJW1812" s="545"/>
      <c r="VJX1812" s="545"/>
      <c r="VJY1812" s="652"/>
      <c r="VJZ1812" s="582"/>
      <c r="VKA1812" s="582"/>
      <c r="VKB1812" s="629"/>
      <c r="VKC1812" s="630"/>
      <c r="VKD1812" s="630"/>
      <c r="VKE1812" s="630"/>
      <c r="VKF1812" s="630"/>
      <c r="VKG1812" s="631"/>
      <c r="VKH1812" s="587"/>
      <c r="VKI1812" s="569"/>
      <c r="VKJ1812" s="582"/>
      <c r="VKK1812" s="587"/>
      <c r="VKL1812" s="569"/>
      <c r="VKM1812" s="569"/>
      <c r="VKN1812" s="569"/>
      <c r="VKO1812" s="582"/>
      <c r="VKP1812" s="587"/>
      <c r="VKQ1812" s="582"/>
      <c r="VKR1812" s="587"/>
      <c r="VKS1812" s="569"/>
      <c r="VKT1812" s="569"/>
      <c r="VKU1812" s="569"/>
      <c r="VKV1812" s="618"/>
      <c r="VKW1812" s="653"/>
      <c r="VKX1812" s="545"/>
      <c r="VKY1812" s="651"/>
      <c r="VKZ1812" s="653"/>
      <c r="VLA1812" s="591"/>
      <c r="VLB1812" s="653"/>
      <c r="VLC1812" s="654"/>
      <c r="VLD1812" s="555"/>
      <c r="VLE1812" s="556"/>
      <c r="VLF1812" s="633"/>
      <c r="VLG1812" s="634"/>
      <c r="VLH1812" s="635"/>
      <c r="VLI1812" s="560"/>
      <c r="VLJ1812" s="589"/>
      <c r="VLK1812" s="636"/>
      <c r="VLL1812" s="559"/>
      <c r="VLM1812" s="557"/>
      <c r="VLN1812" s="558"/>
      <c r="VLO1812" s="590"/>
      <c r="VLP1812" s="591"/>
      <c r="VLQ1812" s="591"/>
      <c r="VLR1812" s="592"/>
      <c r="VLS1812" s="593"/>
      <c r="VLT1812" s="591"/>
      <c r="VLU1812" s="591"/>
      <c r="VLV1812" s="591"/>
      <c r="VLW1812" s="592"/>
      <c r="VLX1812" s="593"/>
      <c r="VLY1812" s="594"/>
      <c r="VLZ1812" s="590"/>
      <c r="VMA1812" s="591"/>
      <c r="VMB1812" s="591"/>
      <c r="VMC1812" s="591"/>
      <c r="VMD1812" s="591"/>
      <c r="VME1812" s="591"/>
      <c r="VMF1812" s="591"/>
      <c r="VMG1812" s="560"/>
      <c r="VMH1812" s="560"/>
      <c r="VMI1812" s="592"/>
      <c r="VMJ1812" s="594"/>
      <c r="VMK1812" s="593"/>
      <c r="VML1812" s="595"/>
      <c r="VMM1812" s="542"/>
      <c r="VMN1812" s="542"/>
      <c r="VMO1812" s="542"/>
      <c r="VMP1812" s="542"/>
      <c r="VMQ1812" s="542"/>
      <c r="VMR1812" s="547"/>
      <c r="VMS1812" s="544"/>
      <c r="VMT1812" s="545"/>
      <c r="VMU1812" s="545"/>
      <c r="VMV1812" s="545"/>
      <c r="VMW1812" s="652"/>
      <c r="VMX1812" s="582"/>
      <c r="VMY1812" s="582"/>
      <c r="VMZ1812" s="629"/>
      <c r="VNA1812" s="630"/>
      <c r="VNB1812" s="630"/>
      <c r="VNC1812" s="630"/>
      <c r="VND1812" s="630"/>
      <c r="VNE1812" s="631"/>
      <c r="VNF1812" s="587"/>
      <c r="VNG1812" s="569"/>
      <c r="VNH1812" s="582"/>
      <c r="VNI1812" s="587"/>
      <c r="VNJ1812" s="569"/>
      <c r="VNK1812" s="569"/>
      <c r="VNL1812" s="569"/>
      <c r="VNM1812" s="582"/>
      <c r="VNN1812" s="587"/>
      <c r="VNO1812" s="582"/>
      <c r="VNP1812" s="587"/>
      <c r="VNQ1812" s="569"/>
      <c r="VNR1812" s="569"/>
      <c r="VNS1812" s="569"/>
      <c r="VNT1812" s="618"/>
      <c r="VNU1812" s="653"/>
      <c r="VNV1812" s="545"/>
      <c r="VNW1812" s="651"/>
      <c r="VNX1812" s="653"/>
      <c r="VNY1812" s="591"/>
      <c r="VNZ1812" s="653"/>
      <c r="VOA1812" s="654"/>
      <c r="VOB1812" s="555"/>
      <c r="VOC1812" s="556"/>
      <c r="VOD1812" s="633"/>
      <c r="VOE1812" s="634"/>
      <c r="VOF1812" s="635"/>
      <c r="VOG1812" s="560"/>
      <c r="VOH1812" s="589"/>
      <c r="VOI1812" s="636"/>
      <c r="VOJ1812" s="559"/>
      <c r="VOK1812" s="557"/>
      <c r="VOL1812" s="558"/>
      <c r="VOM1812" s="590"/>
      <c r="VON1812" s="591"/>
      <c r="VOO1812" s="591"/>
      <c r="VOP1812" s="592"/>
      <c r="VOQ1812" s="593"/>
      <c r="VOR1812" s="591"/>
      <c r="VOS1812" s="591"/>
      <c r="VOT1812" s="591"/>
      <c r="VOU1812" s="592"/>
      <c r="VOV1812" s="593"/>
      <c r="VOW1812" s="594"/>
      <c r="VOX1812" s="590"/>
      <c r="VOY1812" s="591"/>
      <c r="VOZ1812" s="591"/>
      <c r="VPA1812" s="591"/>
      <c r="VPB1812" s="591"/>
      <c r="VPC1812" s="591"/>
      <c r="VPD1812" s="591"/>
      <c r="VPE1812" s="560"/>
      <c r="VPF1812" s="560"/>
      <c r="VPG1812" s="592"/>
      <c r="VPH1812" s="594"/>
      <c r="VPI1812" s="593"/>
      <c r="VPJ1812" s="595"/>
      <c r="VPK1812" s="542"/>
      <c r="VPL1812" s="542"/>
      <c r="VPM1812" s="542"/>
      <c r="VPN1812" s="542"/>
      <c r="VPO1812" s="542"/>
      <c r="VPP1812" s="547"/>
      <c r="VPQ1812" s="544"/>
      <c r="VPR1812" s="545"/>
      <c r="VPS1812" s="545"/>
      <c r="VPT1812" s="545"/>
      <c r="VPU1812" s="652"/>
      <c r="VPV1812" s="582"/>
      <c r="VPW1812" s="582"/>
      <c r="VPX1812" s="629"/>
      <c r="VPY1812" s="630"/>
      <c r="VPZ1812" s="630"/>
      <c r="VQA1812" s="630"/>
      <c r="VQB1812" s="630"/>
      <c r="VQC1812" s="631"/>
      <c r="VQD1812" s="587"/>
      <c r="VQE1812" s="569"/>
      <c r="VQF1812" s="582"/>
      <c r="VQG1812" s="587"/>
      <c r="VQH1812" s="569"/>
      <c r="VQI1812" s="569"/>
      <c r="VQJ1812" s="569"/>
      <c r="VQK1812" s="582"/>
      <c r="VQL1812" s="587"/>
      <c r="VQM1812" s="582"/>
      <c r="VQN1812" s="587"/>
      <c r="VQO1812" s="569"/>
      <c r="VQP1812" s="569"/>
      <c r="VQQ1812" s="569"/>
      <c r="VQR1812" s="618"/>
      <c r="VQS1812" s="653"/>
      <c r="VQT1812" s="545"/>
      <c r="VQU1812" s="651"/>
      <c r="VQV1812" s="653"/>
      <c r="VQW1812" s="591"/>
      <c r="VQX1812" s="653"/>
      <c r="VQY1812" s="654"/>
      <c r="VQZ1812" s="555"/>
      <c r="VRA1812" s="556"/>
      <c r="VRB1812" s="633"/>
      <c r="VRC1812" s="634"/>
      <c r="VRD1812" s="635"/>
      <c r="VRE1812" s="560"/>
      <c r="VRF1812" s="589"/>
      <c r="VRG1812" s="636"/>
      <c r="VRH1812" s="559"/>
      <c r="VRI1812" s="557"/>
      <c r="VRJ1812" s="558"/>
      <c r="VRK1812" s="590"/>
      <c r="VRL1812" s="591"/>
      <c r="VRM1812" s="591"/>
      <c r="VRN1812" s="592"/>
      <c r="VRO1812" s="593"/>
      <c r="VRP1812" s="591"/>
      <c r="VRQ1812" s="591"/>
      <c r="VRR1812" s="591"/>
      <c r="VRS1812" s="592"/>
      <c r="VRT1812" s="593"/>
      <c r="VRU1812" s="594"/>
      <c r="VRV1812" s="590"/>
      <c r="VRW1812" s="591"/>
      <c r="VRX1812" s="591"/>
      <c r="VRY1812" s="591"/>
      <c r="VRZ1812" s="591"/>
      <c r="VSA1812" s="591"/>
      <c r="VSB1812" s="591"/>
      <c r="VSC1812" s="560"/>
      <c r="VSD1812" s="560"/>
      <c r="VSE1812" s="592"/>
      <c r="VSF1812" s="594"/>
      <c r="VSG1812" s="593"/>
      <c r="VSH1812" s="595"/>
      <c r="VSI1812" s="542"/>
      <c r="VSJ1812" s="542"/>
      <c r="VSK1812" s="542"/>
      <c r="VSL1812" s="542"/>
      <c r="VSM1812" s="542"/>
      <c r="VSN1812" s="547"/>
      <c r="VSO1812" s="544"/>
      <c r="VSP1812" s="545"/>
      <c r="VSQ1812" s="545"/>
      <c r="VSR1812" s="545"/>
      <c r="VSS1812" s="652"/>
      <c r="VST1812" s="582"/>
      <c r="VSU1812" s="582"/>
      <c r="VSV1812" s="629"/>
      <c r="VSW1812" s="630"/>
      <c r="VSX1812" s="630"/>
      <c r="VSY1812" s="630"/>
      <c r="VSZ1812" s="630"/>
      <c r="VTA1812" s="631"/>
      <c r="VTB1812" s="587"/>
      <c r="VTC1812" s="569"/>
      <c r="VTD1812" s="582"/>
      <c r="VTE1812" s="587"/>
      <c r="VTF1812" s="569"/>
      <c r="VTG1812" s="569"/>
      <c r="VTH1812" s="569"/>
      <c r="VTI1812" s="582"/>
      <c r="VTJ1812" s="587"/>
      <c r="VTK1812" s="582"/>
      <c r="VTL1812" s="587"/>
      <c r="VTM1812" s="569"/>
      <c r="VTN1812" s="569"/>
      <c r="VTO1812" s="569"/>
      <c r="VTP1812" s="618"/>
      <c r="VTQ1812" s="653"/>
      <c r="VTR1812" s="545"/>
      <c r="VTS1812" s="651"/>
      <c r="VTT1812" s="653"/>
      <c r="VTU1812" s="591"/>
      <c r="VTV1812" s="653"/>
      <c r="VTW1812" s="654"/>
      <c r="VTX1812" s="555"/>
      <c r="VTY1812" s="556"/>
      <c r="VTZ1812" s="633"/>
      <c r="VUA1812" s="634"/>
      <c r="VUB1812" s="635"/>
      <c r="VUC1812" s="560"/>
      <c r="VUD1812" s="589"/>
      <c r="VUE1812" s="636"/>
      <c r="VUF1812" s="559"/>
      <c r="VUG1812" s="557"/>
      <c r="VUH1812" s="558"/>
      <c r="VUI1812" s="590"/>
      <c r="VUJ1812" s="591"/>
      <c r="VUK1812" s="591"/>
      <c r="VUL1812" s="592"/>
      <c r="VUM1812" s="593"/>
      <c r="VUN1812" s="591"/>
      <c r="VUO1812" s="591"/>
      <c r="VUP1812" s="591"/>
      <c r="VUQ1812" s="592"/>
      <c r="VUR1812" s="593"/>
      <c r="VUS1812" s="594"/>
      <c r="VUT1812" s="590"/>
      <c r="VUU1812" s="591"/>
      <c r="VUV1812" s="591"/>
      <c r="VUW1812" s="591"/>
      <c r="VUX1812" s="591"/>
      <c r="VUY1812" s="591"/>
      <c r="VUZ1812" s="591"/>
      <c r="VVA1812" s="560"/>
      <c r="VVB1812" s="560"/>
      <c r="VVC1812" s="592"/>
      <c r="VVD1812" s="594"/>
      <c r="VVE1812" s="593"/>
      <c r="VVF1812" s="595"/>
      <c r="VVG1812" s="542"/>
      <c r="VVH1812" s="542"/>
      <c r="VVI1812" s="542"/>
      <c r="VVJ1812" s="542"/>
      <c r="VVK1812" s="542"/>
      <c r="VVL1812" s="547"/>
      <c r="VVM1812" s="544"/>
      <c r="VVN1812" s="545"/>
      <c r="VVO1812" s="545"/>
      <c r="VVP1812" s="545"/>
      <c r="VVQ1812" s="652"/>
      <c r="VVR1812" s="582"/>
      <c r="VVS1812" s="582"/>
      <c r="VVT1812" s="629"/>
      <c r="VVU1812" s="630"/>
      <c r="VVV1812" s="630"/>
      <c r="VVW1812" s="630"/>
      <c r="VVX1812" s="630"/>
      <c r="VVY1812" s="631"/>
      <c r="VVZ1812" s="587"/>
      <c r="VWA1812" s="569"/>
      <c r="VWB1812" s="582"/>
      <c r="VWC1812" s="587"/>
      <c r="VWD1812" s="569"/>
      <c r="VWE1812" s="569"/>
      <c r="VWF1812" s="569"/>
      <c r="VWG1812" s="582"/>
      <c r="VWH1812" s="587"/>
      <c r="VWI1812" s="582"/>
      <c r="VWJ1812" s="587"/>
      <c r="VWK1812" s="569"/>
      <c r="VWL1812" s="569"/>
      <c r="VWM1812" s="569"/>
      <c r="VWN1812" s="618"/>
      <c r="VWO1812" s="653"/>
      <c r="VWP1812" s="545"/>
      <c r="VWQ1812" s="651"/>
      <c r="VWR1812" s="653"/>
      <c r="VWS1812" s="591"/>
      <c r="VWT1812" s="653"/>
      <c r="VWU1812" s="654"/>
      <c r="VWV1812" s="555"/>
      <c r="VWW1812" s="556"/>
      <c r="VWX1812" s="633"/>
      <c r="VWY1812" s="634"/>
      <c r="VWZ1812" s="635"/>
      <c r="VXA1812" s="560"/>
      <c r="VXB1812" s="589"/>
      <c r="VXC1812" s="636"/>
      <c r="VXD1812" s="559"/>
      <c r="VXE1812" s="557"/>
      <c r="VXF1812" s="558"/>
      <c r="VXG1812" s="590"/>
      <c r="VXH1812" s="591"/>
      <c r="VXI1812" s="591"/>
      <c r="VXJ1812" s="592"/>
      <c r="VXK1812" s="593"/>
      <c r="VXL1812" s="591"/>
      <c r="VXM1812" s="591"/>
      <c r="VXN1812" s="591"/>
      <c r="VXO1812" s="592"/>
      <c r="VXP1812" s="593"/>
      <c r="VXQ1812" s="594"/>
      <c r="VXR1812" s="590"/>
      <c r="VXS1812" s="591"/>
      <c r="VXT1812" s="591"/>
      <c r="VXU1812" s="591"/>
      <c r="VXV1812" s="591"/>
      <c r="VXW1812" s="591"/>
      <c r="VXX1812" s="591"/>
      <c r="VXY1812" s="560"/>
      <c r="VXZ1812" s="560"/>
      <c r="VYA1812" s="592"/>
      <c r="VYB1812" s="594"/>
      <c r="VYC1812" s="593"/>
      <c r="VYD1812" s="595"/>
      <c r="VYE1812" s="542"/>
      <c r="VYF1812" s="542"/>
      <c r="VYG1812" s="542"/>
      <c r="VYH1812" s="542"/>
      <c r="VYI1812" s="542"/>
      <c r="VYJ1812" s="547"/>
      <c r="VYK1812" s="544"/>
      <c r="VYL1812" s="545"/>
      <c r="VYM1812" s="545"/>
      <c r="VYN1812" s="545"/>
      <c r="VYO1812" s="652"/>
      <c r="VYP1812" s="582"/>
      <c r="VYQ1812" s="582"/>
      <c r="VYR1812" s="629"/>
      <c r="VYS1812" s="630"/>
      <c r="VYT1812" s="630"/>
      <c r="VYU1812" s="630"/>
      <c r="VYV1812" s="630"/>
      <c r="VYW1812" s="631"/>
      <c r="VYX1812" s="587"/>
      <c r="VYY1812" s="569"/>
      <c r="VYZ1812" s="582"/>
      <c r="VZA1812" s="587"/>
      <c r="VZB1812" s="569"/>
      <c r="VZC1812" s="569"/>
      <c r="VZD1812" s="569"/>
      <c r="VZE1812" s="582"/>
      <c r="VZF1812" s="587"/>
      <c r="VZG1812" s="582"/>
      <c r="VZH1812" s="587"/>
      <c r="VZI1812" s="569"/>
      <c r="VZJ1812" s="569"/>
      <c r="VZK1812" s="569"/>
      <c r="VZL1812" s="618"/>
      <c r="VZM1812" s="653"/>
      <c r="VZN1812" s="545"/>
      <c r="VZO1812" s="651"/>
      <c r="VZP1812" s="653"/>
      <c r="VZQ1812" s="591"/>
      <c r="VZR1812" s="653"/>
      <c r="VZS1812" s="654"/>
      <c r="VZT1812" s="555"/>
      <c r="VZU1812" s="556"/>
      <c r="VZV1812" s="633"/>
      <c r="VZW1812" s="634"/>
      <c r="VZX1812" s="635"/>
      <c r="VZY1812" s="560"/>
      <c r="VZZ1812" s="589"/>
      <c r="WAA1812" s="636"/>
      <c r="WAB1812" s="559"/>
      <c r="WAC1812" s="557"/>
      <c r="WAD1812" s="558"/>
      <c r="WAE1812" s="590"/>
      <c r="WAF1812" s="591"/>
      <c r="WAG1812" s="591"/>
      <c r="WAH1812" s="592"/>
      <c r="WAI1812" s="593"/>
      <c r="WAJ1812" s="591"/>
      <c r="WAK1812" s="591"/>
      <c r="WAL1812" s="591"/>
      <c r="WAM1812" s="592"/>
      <c r="WAN1812" s="593"/>
      <c r="WAO1812" s="594"/>
      <c r="WAP1812" s="590"/>
      <c r="WAQ1812" s="591"/>
      <c r="WAR1812" s="591"/>
      <c r="WAS1812" s="591"/>
      <c r="WAT1812" s="591"/>
      <c r="WAU1812" s="591"/>
      <c r="WAV1812" s="591"/>
      <c r="WAW1812" s="560"/>
      <c r="WAX1812" s="560"/>
      <c r="WAY1812" s="592"/>
      <c r="WAZ1812" s="594"/>
      <c r="WBA1812" s="593"/>
      <c r="WBB1812" s="595"/>
      <c r="WBC1812" s="542"/>
      <c r="WBD1812" s="542"/>
      <c r="WBE1812" s="542"/>
      <c r="WBF1812" s="542"/>
      <c r="WBG1812" s="542"/>
      <c r="WBH1812" s="547"/>
      <c r="WBI1812" s="544"/>
      <c r="WBJ1812" s="545"/>
      <c r="WBK1812" s="545"/>
      <c r="WBL1812" s="545"/>
      <c r="WBM1812" s="652"/>
      <c r="WBN1812" s="582"/>
      <c r="WBO1812" s="582"/>
      <c r="WBP1812" s="629"/>
      <c r="WBQ1812" s="630"/>
      <c r="WBR1812" s="630"/>
      <c r="WBS1812" s="630"/>
      <c r="WBT1812" s="630"/>
      <c r="WBU1812" s="631"/>
      <c r="WBV1812" s="587"/>
      <c r="WBW1812" s="569"/>
      <c r="WBX1812" s="582"/>
      <c r="WBY1812" s="587"/>
      <c r="WBZ1812" s="569"/>
      <c r="WCA1812" s="569"/>
      <c r="WCB1812" s="569"/>
      <c r="WCC1812" s="582"/>
      <c r="WCD1812" s="587"/>
      <c r="WCE1812" s="582"/>
      <c r="WCF1812" s="587"/>
      <c r="WCG1812" s="569"/>
      <c r="WCH1812" s="569"/>
      <c r="WCI1812" s="569"/>
      <c r="WCJ1812" s="618"/>
      <c r="WCK1812" s="653"/>
      <c r="WCL1812" s="545"/>
      <c r="WCM1812" s="651"/>
      <c r="WCN1812" s="653"/>
      <c r="WCO1812" s="591"/>
      <c r="WCP1812" s="653"/>
      <c r="WCQ1812" s="654"/>
      <c r="WCR1812" s="555"/>
      <c r="WCS1812" s="556"/>
      <c r="WCT1812" s="633"/>
      <c r="WCU1812" s="634"/>
      <c r="WCV1812" s="635"/>
      <c r="WCW1812" s="560"/>
      <c r="WCX1812" s="589"/>
      <c r="WCY1812" s="636"/>
      <c r="WCZ1812" s="559"/>
      <c r="WDA1812" s="557"/>
      <c r="WDB1812" s="558"/>
      <c r="WDC1812" s="590"/>
      <c r="WDD1812" s="591"/>
      <c r="WDE1812" s="591"/>
      <c r="WDF1812" s="592"/>
      <c r="WDG1812" s="593"/>
      <c r="WDH1812" s="591"/>
      <c r="WDI1812" s="591"/>
      <c r="WDJ1812" s="591"/>
      <c r="WDK1812" s="592"/>
      <c r="WDL1812" s="593"/>
      <c r="WDM1812" s="594"/>
      <c r="WDN1812" s="590"/>
      <c r="WDO1812" s="591"/>
      <c r="WDP1812" s="591"/>
      <c r="WDQ1812" s="591"/>
      <c r="WDR1812" s="591"/>
      <c r="WDS1812" s="591"/>
      <c r="WDT1812" s="591"/>
      <c r="WDU1812" s="560"/>
      <c r="WDV1812" s="560"/>
      <c r="WDW1812" s="592"/>
      <c r="WDX1812" s="594"/>
      <c r="WDY1812" s="593"/>
      <c r="WDZ1812" s="595"/>
      <c r="WEA1812" s="542"/>
      <c r="WEB1812" s="542"/>
      <c r="WEC1812" s="542"/>
      <c r="WED1812" s="542"/>
      <c r="WEE1812" s="542"/>
      <c r="WEF1812" s="547"/>
      <c r="WEG1812" s="544"/>
      <c r="WEH1812" s="545"/>
      <c r="WEI1812" s="545"/>
      <c r="WEJ1812" s="545"/>
      <c r="WEK1812" s="652"/>
      <c r="WEL1812" s="582"/>
      <c r="WEM1812" s="582"/>
      <c r="WEN1812" s="629"/>
      <c r="WEO1812" s="630"/>
      <c r="WEP1812" s="630"/>
      <c r="WEQ1812" s="630"/>
      <c r="WER1812" s="630"/>
      <c r="WES1812" s="631"/>
      <c r="WET1812" s="587"/>
      <c r="WEU1812" s="569"/>
      <c r="WEV1812" s="582"/>
      <c r="WEW1812" s="587"/>
      <c r="WEX1812" s="569"/>
      <c r="WEY1812" s="569"/>
      <c r="WEZ1812" s="569"/>
      <c r="WFA1812" s="582"/>
      <c r="WFB1812" s="587"/>
      <c r="WFC1812" s="582"/>
      <c r="WFD1812" s="587"/>
      <c r="WFE1812" s="569"/>
      <c r="WFF1812" s="569"/>
      <c r="WFG1812" s="569"/>
      <c r="WFH1812" s="618"/>
      <c r="WFI1812" s="653"/>
      <c r="WFJ1812" s="545"/>
      <c r="WFK1812" s="651"/>
      <c r="WFL1812" s="653"/>
      <c r="WFM1812" s="591"/>
      <c r="WFN1812" s="653"/>
      <c r="WFO1812" s="654"/>
      <c r="WFP1812" s="555"/>
      <c r="WFQ1812" s="556"/>
      <c r="WFR1812" s="633"/>
      <c r="WFS1812" s="634"/>
      <c r="WFT1812" s="635"/>
      <c r="WFU1812" s="560"/>
      <c r="WFV1812" s="589"/>
      <c r="WFW1812" s="636"/>
      <c r="WFX1812" s="559"/>
      <c r="WFY1812" s="557"/>
      <c r="WFZ1812" s="558"/>
      <c r="WGA1812" s="590"/>
      <c r="WGB1812" s="591"/>
      <c r="WGC1812" s="591"/>
      <c r="WGD1812" s="592"/>
      <c r="WGE1812" s="593"/>
      <c r="WGF1812" s="591"/>
      <c r="WGG1812" s="591"/>
      <c r="WGH1812" s="591"/>
      <c r="WGI1812" s="592"/>
      <c r="WGJ1812" s="593"/>
      <c r="WGK1812" s="594"/>
      <c r="WGL1812" s="590"/>
      <c r="WGM1812" s="591"/>
      <c r="WGN1812" s="591"/>
      <c r="WGO1812" s="591"/>
      <c r="WGP1812" s="591"/>
      <c r="WGQ1812" s="591"/>
      <c r="WGR1812" s="591"/>
      <c r="WGS1812" s="560"/>
      <c r="WGT1812" s="560"/>
      <c r="WGU1812" s="592"/>
      <c r="WGV1812" s="594"/>
      <c r="WGW1812" s="593"/>
      <c r="WGX1812" s="595"/>
      <c r="WGY1812" s="542"/>
      <c r="WGZ1812" s="542"/>
      <c r="WHA1812" s="542"/>
      <c r="WHB1812" s="542"/>
      <c r="WHC1812" s="542"/>
      <c r="WHD1812" s="547"/>
      <c r="WHE1812" s="544"/>
      <c r="WHF1812" s="545"/>
      <c r="WHG1812" s="545"/>
      <c r="WHH1812" s="545"/>
      <c r="WHI1812" s="652"/>
      <c r="WHJ1812" s="582"/>
      <c r="WHK1812" s="582"/>
      <c r="WHL1812" s="629"/>
      <c r="WHM1812" s="630"/>
      <c r="WHN1812" s="630"/>
      <c r="WHO1812" s="630"/>
      <c r="WHP1812" s="630"/>
      <c r="WHQ1812" s="631"/>
      <c r="WHR1812" s="587"/>
      <c r="WHS1812" s="569"/>
      <c r="WHT1812" s="582"/>
      <c r="WHU1812" s="587"/>
      <c r="WHV1812" s="569"/>
      <c r="WHW1812" s="569"/>
      <c r="WHX1812" s="569"/>
      <c r="WHY1812" s="582"/>
      <c r="WHZ1812" s="587"/>
      <c r="WIA1812" s="582"/>
      <c r="WIB1812" s="587"/>
      <c r="WIC1812" s="569"/>
      <c r="WID1812" s="569"/>
      <c r="WIE1812" s="569"/>
      <c r="WIF1812" s="618"/>
      <c r="WIG1812" s="653"/>
      <c r="WIH1812" s="545"/>
      <c r="WII1812" s="651"/>
      <c r="WIJ1812" s="653"/>
      <c r="WIK1812" s="591"/>
      <c r="WIL1812" s="653"/>
      <c r="WIM1812" s="654"/>
      <c r="WIN1812" s="555"/>
      <c r="WIO1812" s="556"/>
      <c r="WIP1812" s="633"/>
      <c r="WIQ1812" s="634"/>
      <c r="WIR1812" s="635"/>
      <c r="WIS1812" s="560"/>
      <c r="WIT1812" s="589"/>
      <c r="WIU1812" s="636"/>
      <c r="WIV1812" s="559"/>
      <c r="WIW1812" s="557"/>
      <c r="WIX1812" s="558"/>
      <c r="WIY1812" s="590"/>
      <c r="WIZ1812" s="591"/>
      <c r="WJA1812" s="591"/>
      <c r="WJB1812" s="592"/>
      <c r="WJC1812" s="593"/>
      <c r="WJD1812" s="591"/>
      <c r="WJE1812" s="591"/>
      <c r="WJF1812" s="591"/>
      <c r="WJG1812" s="592"/>
      <c r="WJH1812" s="593"/>
      <c r="WJI1812" s="594"/>
      <c r="WJJ1812" s="590"/>
      <c r="WJK1812" s="591"/>
      <c r="WJL1812" s="591"/>
      <c r="WJM1812" s="591"/>
      <c r="WJN1812" s="591"/>
      <c r="WJO1812" s="591"/>
      <c r="WJP1812" s="591"/>
      <c r="WJQ1812" s="560"/>
      <c r="WJR1812" s="560"/>
      <c r="WJS1812" s="592"/>
      <c r="WJT1812" s="594"/>
      <c r="WJU1812" s="593"/>
      <c r="WJV1812" s="595"/>
      <c r="WJW1812" s="542"/>
      <c r="WJX1812" s="542"/>
      <c r="WJY1812" s="542"/>
      <c r="WJZ1812" s="542"/>
      <c r="WKA1812" s="542"/>
      <c r="WKB1812" s="547"/>
      <c r="WKC1812" s="544"/>
      <c r="WKD1812" s="545"/>
      <c r="WKE1812" s="545"/>
      <c r="WKF1812" s="545"/>
      <c r="WKG1812" s="652"/>
      <c r="WKH1812" s="582"/>
      <c r="WKI1812" s="582"/>
      <c r="WKJ1812" s="629"/>
      <c r="WKK1812" s="630"/>
      <c r="WKL1812" s="630"/>
      <c r="WKM1812" s="630"/>
      <c r="WKN1812" s="630"/>
      <c r="WKO1812" s="631"/>
      <c r="WKP1812" s="587"/>
      <c r="WKQ1812" s="569"/>
      <c r="WKR1812" s="582"/>
      <c r="WKS1812" s="587"/>
      <c r="WKT1812" s="569"/>
      <c r="WKU1812" s="569"/>
      <c r="WKV1812" s="569"/>
      <c r="WKW1812" s="582"/>
      <c r="WKX1812" s="587"/>
      <c r="WKY1812" s="582"/>
      <c r="WKZ1812" s="587"/>
      <c r="WLA1812" s="569"/>
      <c r="WLB1812" s="569"/>
      <c r="WLC1812" s="569"/>
      <c r="WLD1812" s="618"/>
      <c r="WLE1812" s="653"/>
      <c r="WLF1812" s="545"/>
      <c r="WLG1812" s="651"/>
      <c r="WLH1812" s="653"/>
      <c r="WLI1812" s="591"/>
      <c r="WLJ1812" s="653"/>
      <c r="WLK1812" s="654"/>
      <c r="WLL1812" s="555"/>
      <c r="WLM1812" s="556"/>
      <c r="WLN1812" s="633"/>
      <c r="WLO1812" s="634"/>
      <c r="WLP1812" s="635"/>
      <c r="WLQ1812" s="560"/>
      <c r="WLR1812" s="589"/>
      <c r="WLS1812" s="636"/>
      <c r="WLT1812" s="559"/>
      <c r="WLU1812" s="557"/>
      <c r="WLV1812" s="558"/>
      <c r="WLW1812" s="590"/>
      <c r="WLX1812" s="591"/>
      <c r="WLY1812" s="591"/>
      <c r="WLZ1812" s="592"/>
      <c r="WMA1812" s="593"/>
      <c r="WMB1812" s="591"/>
      <c r="WMC1812" s="591"/>
      <c r="WMD1812" s="591"/>
      <c r="WME1812" s="592"/>
      <c r="WMF1812" s="593"/>
      <c r="WMG1812" s="594"/>
      <c r="WMH1812" s="590"/>
      <c r="WMI1812" s="591"/>
      <c r="WMJ1812" s="591"/>
      <c r="WMK1812" s="591"/>
      <c r="WML1812" s="591"/>
      <c r="WMM1812" s="591"/>
      <c r="WMN1812" s="591"/>
      <c r="WMO1812" s="560"/>
      <c r="WMP1812" s="560"/>
      <c r="WMQ1812" s="592"/>
      <c r="WMR1812" s="594"/>
      <c r="WMS1812" s="593"/>
      <c r="WMT1812" s="595"/>
      <c r="WMU1812" s="542"/>
      <c r="WMV1812" s="542"/>
      <c r="WMW1812" s="542"/>
      <c r="WMX1812" s="542"/>
      <c r="WMY1812" s="542"/>
      <c r="WMZ1812" s="547"/>
      <c r="WNA1812" s="544"/>
      <c r="WNB1812" s="545"/>
      <c r="WNC1812" s="545"/>
      <c r="WND1812" s="545"/>
      <c r="WNE1812" s="652"/>
      <c r="WNF1812" s="582"/>
      <c r="WNG1812" s="582"/>
      <c r="WNH1812" s="629"/>
      <c r="WNI1812" s="630"/>
      <c r="WNJ1812" s="630"/>
      <c r="WNK1812" s="630"/>
      <c r="WNL1812" s="630"/>
      <c r="WNM1812" s="631"/>
      <c r="WNN1812" s="587"/>
      <c r="WNO1812" s="569"/>
      <c r="WNP1812" s="582"/>
      <c r="WNQ1812" s="587"/>
      <c r="WNR1812" s="569"/>
      <c r="WNS1812" s="569"/>
      <c r="WNT1812" s="569"/>
      <c r="WNU1812" s="582"/>
      <c r="WNV1812" s="587"/>
      <c r="WNW1812" s="582"/>
      <c r="WNX1812" s="587"/>
      <c r="WNY1812" s="569"/>
      <c r="WNZ1812" s="569"/>
      <c r="WOA1812" s="569"/>
      <c r="WOB1812" s="618"/>
      <c r="WOC1812" s="653"/>
      <c r="WOD1812" s="545"/>
      <c r="WOE1812" s="651"/>
      <c r="WOF1812" s="653"/>
      <c r="WOG1812" s="591"/>
      <c r="WOH1812" s="653"/>
      <c r="WOI1812" s="654"/>
      <c r="WOJ1812" s="555"/>
      <c r="WOK1812" s="556"/>
      <c r="WOL1812" s="633"/>
      <c r="WOM1812" s="634"/>
      <c r="WON1812" s="635"/>
      <c r="WOO1812" s="560"/>
      <c r="WOP1812" s="589"/>
      <c r="WOQ1812" s="636"/>
      <c r="WOR1812" s="559"/>
      <c r="WOS1812" s="557"/>
      <c r="WOT1812" s="558"/>
      <c r="WOU1812" s="590"/>
      <c r="WOV1812" s="591"/>
      <c r="WOW1812" s="591"/>
      <c r="WOX1812" s="592"/>
      <c r="WOY1812" s="593"/>
      <c r="WOZ1812" s="591"/>
      <c r="WPA1812" s="591"/>
      <c r="WPB1812" s="591"/>
      <c r="WPC1812" s="592"/>
      <c r="WPD1812" s="593"/>
      <c r="WPE1812" s="594"/>
      <c r="WPF1812" s="590"/>
      <c r="WPG1812" s="591"/>
      <c r="WPH1812" s="591"/>
      <c r="WPI1812" s="591"/>
      <c r="WPJ1812" s="591"/>
      <c r="WPK1812" s="591"/>
      <c r="WPL1812" s="591"/>
      <c r="WPM1812" s="560"/>
      <c r="WPN1812" s="560"/>
      <c r="WPO1812" s="592"/>
      <c r="WPP1812" s="594"/>
      <c r="WPQ1812" s="593"/>
      <c r="WPR1812" s="595"/>
      <c r="WPS1812" s="542"/>
      <c r="WPT1812" s="542"/>
      <c r="WPU1812" s="542"/>
      <c r="WPV1812" s="542"/>
      <c r="WPW1812" s="542"/>
      <c r="WPX1812" s="547"/>
      <c r="WPY1812" s="544"/>
      <c r="WPZ1812" s="545"/>
      <c r="WQA1812" s="545"/>
      <c r="WQB1812" s="545"/>
      <c r="WQC1812" s="652"/>
      <c r="WQD1812" s="582"/>
      <c r="WQE1812" s="582"/>
      <c r="WQF1812" s="629"/>
      <c r="WQG1812" s="630"/>
      <c r="WQH1812" s="630"/>
      <c r="WQI1812" s="630"/>
      <c r="WQJ1812" s="630"/>
      <c r="WQK1812" s="631"/>
      <c r="WQL1812" s="587"/>
      <c r="WQM1812" s="569"/>
      <c r="WQN1812" s="582"/>
      <c r="WQO1812" s="587"/>
      <c r="WQP1812" s="569"/>
      <c r="WQQ1812" s="569"/>
      <c r="WQR1812" s="569"/>
      <c r="WQS1812" s="582"/>
      <c r="WQT1812" s="587"/>
      <c r="WQU1812" s="582"/>
      <c r="WQV1812" s="587"/>
      <c r="WQW1812" s="569"/>
      <c r="WQX1812" s="569"/>
      <c r="WQY1812" s="569"/>
      <c r="WQZ1812" s="618"/>
      <c r="WRA1812" s="653"/>
      <c r="WRB1812" s="545"/>
      <c r="WRC1812" s="651"/>
      <c r="WRD1812" s="653"/>
      <c r="WRE1812" s="591"/>
      <c r="WRF1812" s="653"/>
      <c r="WRG1812" s="654"/>
      <c r="WRH1812" s="555"/>
      <c r="WRI1812" s="556"/>
      <c r="WRJ1812" s="633"/>
      <c r="WRK1812" s="634"/>
      <c r="WRL1812" s="635"/>
      <c r="WRM1812" s="560"/>
      <c r="WRN1812" s="589"/>
      <c r="WRO1812" s="636"/>
      <c r="WRP1812" s="559"/>
      <c r="WRQ1812" s="557"/>
      <c r="WRR1812" s="558"/>
      <c r="WRS1812" s="590"/>
      <c r="WRT1812" s="591"/>
      <c r="WRU1812" s="591"/>
      <c r="WRV1812" s="592"/>
      <c r="WRW1812" s="593"/>
      <c r="WRX1812" s="591"/>
      <c r="WRY1812" s="591"/>
      <c r="WRZ1812" s="591"/>
      <c r="WSA1812" s="592"/>
      <c r="WSB1812" s="593"/>
      <c r="WSC1812" s="594"/>
      <c r="WSD1812" s="590"/>
      <c r="WSE1812" s="591"/>
      <c r="WSF1812" s="591"/>
      <c r="WSG1812" s="591"/>
      <c r="WSH1812" s="591"/>
      <c r="WSI1812" s="591"/>
      <c r="WSJ1812" s="591"/>
      <c r="WSK1812" s="560"/>
      <c r="WSL1812" s="560"/>
      <c r="WSM1812" s="592"/>
      <c r="WSN1812" s="594"/>
      <c r="WSO1812" s="593"/>
      <c r="WSP1812" s="595"/>
      <c r="WSQ1812" s="542"/>
      <c r="WSR1812" s="542"/>
      <c r="WSS1812" s="542"/>
      <c r="WST1812" s="542"/>
      <c r="WSU1812" s="542"/>
      <c r="WSV1812" s="547"/>
      <c r="WSW1812" s="544"/>
      <c r="WSX1812" s="545"/>
      <c r="WSY1812" s="545"/>
      <c r="WSZ1812" s="545"/>
      <c r="WTA1812" s="652"/>
      <c r="WTB1812" s="582"/>
      <c r="WTC1812" s="582"/>
      <c r="WTD1812" s="629"/>
      <c r="WTE1812" s="630"/>
      <c r="WTF1812" s="630"/>
      <c r="WTG1812" s="630"/>
      <c r="WTH1812" s="630"/>
      <c r="WTI1812" s="631"/>
      <c r="WTJ1812" s="587"/>
      <c r="WTK1812" s="569"/>
      <c r="WTL1812" s="582"/>
      <c r="WTM1812" s="587"/>
      <c r="WTN1812" s="569"/>
      <c r="WTO1812" s="569"/>
      <c r="WTP1812" s="569"/>
      <c r="WTQ1812" s="582"/>
      <c r="WTR1812" s="587"/>
      <c r="WTS1812" s="582"/>
      <c r="WTT1812" s="587"/>
      <c r="WTU1812" s="569"/>
      <c r="WTV1812" s="569"/>
      <c r="WTW1812" s="569"/>
      <c r="WTX1812" s="618"/>
      <c r="WTY1812" s="653"/>
      <c r="WTZ1812" s="545"/>
      <c r="WUA1812" s="651"/>
      <c r="WUB1812" s="653"/>
      <c r="WUC1812" s="591"/>
      <c r="WUD1812" s="653"/>
      <c r="WUE1812" s="654"/>
      <c r="WUF1812" s="555"/>
      <c r="WUG1812" s="556"/>
      <c r="WUH1812" s="633"/>
      <c r="WUI1812" s="634"/>
      <c r="WUJ1812" s="635"/>
      <c r="WUK1812" s="560"/>
      <c r="WUL1812" s="589"/>
      <c r="WUM1812" s="636"/>
      <c r="WUN1812" s="559"/>
      <c r="WUO1812" s="557"/>
      <c r="WUP1812" s="558"/>
      <c r="WUQ1812" s="590"/>
      <c r="WUR1812" s="591"/>
      <c r="WUS1812" s="591"/>
      <c r="WUT1812" s="592"/>
      <c r="WUU1812" s="593"/>
      <c r="WUV1812" s="591"/>
      <c r="WUW1812" s="591"/>
      <c r="WUX1812" s="591"/>
      <c r="WUY1812" s="592"/>
      <c r="WUZ1812" s="593"/>
      <c r="WVA1812" s="594"/>
      <c r="WVB1812" s="590"/>
      <c r="WVC1812" s="591"/>
      <c r="WVD1812" s="591"/>
      <c r="WVE1812" s="591"/>
      <c r="WVF1812" s="591"/>
      <c r="WVG1812" s="591"/>
      <c r="WVH1812" s="591"/>
      <c r="WVI1812" s="560"/>
      <c r="WVJ1812" s="560"/>
      <c r="WVK1812" s="592"/>
      <c r="WVL1812" s="594"/>
      <c r="WVM1812" s="593"/>
      <c r="WVN1812" s="595"/>
      <c r="WVO1812" s="542"/>
      <c r="WVP1812" s="542"/>
      <c r="WVQ1812" s="542"/>
      <c r="WVR1812" s="542"/>
      <c r="WVS1812" s="542"/>
      <c r="WVT1812" s="547"/>
      <c r="WVU1812" s="544"/>
      <c r="WVV1812" s="545"/>
      <c r="WVW1812" s="545"/>
      <c r="WVX1812" s="545"/>
      <c r="WVY1812" s="652"/>
      <c r="WVZ1812" s="582"/>
      <c r="WWA1812" s="582"/>
      <c r="WWB1812" s="629"/>
      <c r="WWC1812" s="630"/>
      <c r="WWD1812" s="630"/>
      <c r="WWE1812" s="630"/>
      <c r="WWF1812" s="630"/>
      <c r="WWG1812" s="631"/>
      <c r="WWH1812" s="587"/>
      <c r="WWI1812" s="569"/>
      <c r="WWJ1812" s="582"/>
      <c r="WWK1812" s="587"/>
      <c r="WWL1812" s="569"/>
      <c r="WWM1812" s="569"/>
      <c r="WWN1812" s="569"/>
      <c r="WWO1812" s="582"/>
      <c r="WWP1812" s="587"/>
      <c r="WWQ1812" s="582"/>
      <c r="WWR1812" s="587"/>
      <c r="WWS1812" s="569"/>
      <c r="WWT1812" s="569"/>
      <c r="WWU1812" s="569"/>
      <c r="WWV1812" s="618"/>
      <c r="WWW1812" s="653"/>
      <c r="WWX1812" s="545"/>
      <c r="WWY1812" s="651"/>
      <c r="WWZ1812" s="653"/>
      <c r="WXA1812" s="591"/>
      <c r="WXB1812" s="653"/>
      <c r="WXC1812" s="654"/>
      <c r="WXD1812" s="555"/>
      <c r="WXE1812" s="556"/>
      <c r="WXF1812" s="633"/>
      <c r="WXG1812" s="634"/>
      <c r="WXH1812" s="635"/>
      <c r="WXI1812" s="560"/>
      <c r="WXJ1812" s="589"/>
      <c r="WXK1812" s="636"/>
      <c r="WXL1812" s="559"/>
      <c r="WXM1812" s="557"/>
      <c r="WXN1812" s="558"/>
      <c r="WXO1812" s="590"/>
      <c r="WXP1812" s="591"/>
      <c r="WXQ1812" s="591"/>
      <c r="WXR1812" s="592"/>
      <c r="WXS1812" s="593"/>
      <c r="WXT1812" s="591"/>
      <c r="WXU1812" s="591"/>
      <c r="WXV1812" s="591"/>
      <c r="WXW1812" s="592"/>
      <c r="WXX1812" s="593"/>
      <c r="WXY1812" s="594"/>
      <c r="WXZ1812" s="590"/>
      <c r="WYA1812" s="591"/>
      <c r="WYB1812" s="591"/>
      <c r="WYC1812" s="591"/>
      <c r="WYD1812" s="591"/>
      <c r="WYE1812" s="591"/>
      <c r="WYF1812" s="591"/>
      <c r="WYG1812" s="560"/>
      <c r="WYH1812" s="560"/>
      <c r="WYI1812" s="592"/>
      <c r="WYJ1812" s="594"/>
      <c r="WYK1812" s="593"/>
      <c r="WYL1812" s="595"/>
      <c r="WYM1812" s="542"/>
      <c r="WYN1812" s="542"/>
      <c r="WYO1812" s="542"/>
      <c r="WYP1812" s="542"/>
      <c r="WYQ1812" s="542"/>
      <c r="WYR1812" s="547"/>
      <c r="WYS1812" s="544"/>
      <c r="WYT1812" s="545"/>
      <c r="WYU1812" s="545"/>
      <c r="WYV1812" s="545"/>
      <c r="WYW1812" s="652"/>
      <c r="WYX1812" s="582"/>
      <c r="WYY1812" s="582"/>
      <c r="WYZ1812" s="629"/>
      <c r="WZA1812" s="630"/>
      <c r="WZB1812" s="630"/>
      <c r="WZC1812" s="630"/>
      <c r="WZD1812" s="630"/>
      <c r="WZE1812" s="631"/>
      <c r="WZF1812" s="587"/>
      <c r="WZG1812" s="569"/>
      <c r="WZH1812" s="582"/>
      <c r="WZI1812" s="587"/>
      <c r="WZJ1812" s="569"/>
      <c r="WZK1812" s="569"/>
      <c r="WZL1812" s="569"/>
      <c r="WZM1812" s="582"/>
      <c r="WZN1812" s="587"/>
      <c r="WZO1812" s="582"/>
      <c r="WZP1812" s="587"/>
      <c r="WZQ1812" s="569"/>
      <c r="WZR1812" s="569"/>
      <c r="WZS1812" s="569"/>
      <c r="WZT1812" s="618"/>
      <c r="WZU1812" s="653"/>
      <c r="WZV1812" s="545"/>
      <c r="WZW1812" s="651"/>
      <c r="WZX1812" s="653"/>
      <c r="WZY1812" s="591"/>
      <c r="WZZ1812" s="653"/>
      <c r="XAA1812" s="654"/>
      <c r="XAB1812" s="555"/>
      <c r="XAC1812" s="556"/>
      <c r="XAD1812" s="633"/>
      <c r="XAE1812" s="634"/>
      <c r="XAF1812" s="635"/>
      <c r="XAG1812" s="560"/>
      <c r="XAH1812" s="589"/>
      <c r="XAI1812" s="636"/>
      <c r="XAJ1812" s="559"/>
      <c r="XAK1812" s="557"/>
      <c r="XAL1812" s="558"/>
      <c r="XAM1812" s="590"/>
      <c r="XAN1812" s="591"/>
      <c r="XAO1812" s="591"/>
      <c r="XAP1812" s="592"/>
      <c r="XAQ1812" s="593"/>
      <c r="XAR1812" s="591"/>
      <c r="XAS1812" s="591"/>
      <c r="XAT1812" s="591"/>
      <c r="XAU1812" s="592"/>
      <c r="XAV1812" s="593"/>
      <c r="XAW1812" s="594"/>
      <c r="XAX1812" s="590"/>
      <c r="XAY1812" s="591"/>
      <c r="XAZ1812" s="591"/>
      <c r="XBA1812" s="591"/>
      <c r="XBB1812" s="591"/>
      <c r="XBC1812" s="591"/>
      <c r="XBD1812" s="591"/>
      <c r="XBE1812" s="560"/>
      <c r="XBF1812" s="560"/>
      <c r="XBG1812" s="592"/>
      <c r="XBH1812" s="594"/>
      <c r="XBI1812" s="593"/>
      <c r="XBJ1812" s="595"/>
      <c r="XBK1812" s="542"/>
      <c r="XBL1812" s="542"/>
      <c r="XBM1812" s="542"/>
      <c r="XBN1812" s="542"/>
      <c r="XBO1812" s="542"/>
      <c r="XBP1812" s="547"/>
      <c r="XBQ1812" s="544"/>
      <c r="XBR1812" s="545"/>
      <c r="XBS1812" s="545"/>
      <c r="XBT1812" s="545"/>
      <c r="XBU1812" s="652"/>
      <c r="XBV1812" s="582"/>
      <c r="XBW1812" s="582"/>
      <c r="XBX1812" s="629"/>
      <c r="XBY1812" s="630"/>
      <c r="XBZ1812" s="630"/>
      <c r="XCA1812" s="630"/>
      <c r="XCB1812" s="630"/>
      <c r="XCC1812" s="631"/>
      <c r="XCD1812" s="587"/>
      <c r="XCE1812" s="569"/>
      <c r="XCF1812" s="582"/>
      <c r="XCG1812" s="587"/>
      <c r="XCH1812" s="569"/>
      <c r="XCI1812" s="569"/>
      <c r="XCJ1812" s="569"/>
      <c r="XCK1812" s="582"/>
      <c r="XCL1812" s="587"/>
      <c r="XCM1812" s="582"/>
      <c r="XCN1812" s="587"/>
      <c r="XCO1812" s="569"/>
      <c r="XCP1812" s="569"/>
      <c r="XCQ1812" s="569"/>
      <c r="XCR1812" s="618"/>
      <c r="XCS1812" s="653"/>
      <c r="XCT1812" s="545"/>
      <c r="XCU1812" s="651"/>
      <c r="XCV1812" s="653"/>
      <c r="XCW1812" s="591"/>
      <c r="XCX1812" s="653"/>
      <c r="XCY1812" s="654"/>
      <c r="XCZ1812" s="555"/>
      <c r="XDA1812" s="556"/>
      <c r="XDB1812" s="633"/>
      <c r="XDC1812" s="634"/>
      <c r="XDD1812" s="635"/>
      <c r="XDE1812" s="560"/>
      <c r="XDF1812" s="589"/>
    </row>
    <row r="1813" spans="1:16334" s="302" customFormat="1" ht="27" customHeight="1" x14ac:dyDescent="0.15">
      <c r="A1813" s="132">
        <v>1111300164</v>
      </c>
      <c r="B1813" s="130" t="s">
        <v>8906</v>
      </c>
      <c r="C1813" s="108" t="s">
        <v>8932</v>
      </c>
      <c r="D1813" s="108" t="s">
        <v>8933</v>
      </c>
      <c r="E1813" s="108" t="s">
        <v>8934</v>
      </c>
      <c r="F1813" s="139" t="s">
        <v>8935</v>
      </c>
      <c r="G1813" s="140" t="s">
        <v>8943</v>
      </c>
      <c r="H1813" s="140" t="s">
        <v>8936</v>
      </c>
      <c r="I1813" s="141" t="s">
        <v>391</v>
      </c>
      <c r="J1813" s="142" t="s">
        <v>392</v>
      </c>
      <c r="K1813" s="142" t="s">
        <v>393</v>
      </c>
      <c r="L1813" s="142" t="s">
        <v>394</v>
      </c>
      <c r="M1813" s="142" t="s">
        <v>395</v>
      </c>
      <c r="N1813" s="143" t="s">
        <v>396</v>
      </c>
      <c r="O1813" s="138" t="s">
        <v>2178</v>
      </c>
      <c r="P1813" s="105"/>
      <c r="Q1813" s="137" t="s">
        <v>9001</v>
      </c>
      <c r="R1813" s="138">
        <v>2</v>
      </c>
      <c r="S1813" s="105"/>
      <c r="T1813" s="105"/>
      <c r="U1813" s="105"/>
      <c r="V1813" s="137"/>
      <c r="W1813" s="138"/>
      <c r="X1813" s="137"/>
      <c r="Y1813" s="117"/>
      <c r="Z1813" s="105"/>
      <c r="AA1813" s="105"/>
      <c r="AB1813" s="105"/>
      <c r="AC1813" s="105"/>
      <c r="AD1813" s="155">
        <v>45292</v>
      </c>
      <c r="AE1813" s="108" t="s">
        <v>8937</v>
      </c>
    </row>
    <row r="1814" spans="1:16334" ht="27" customHeight="1" x14ac:dyDescent="0.15">
      <c r="A1814" s="228">
        <v>1111400295</v>
      </c>
      <c r="B1814" s="130" t="s">
        <v>945</v>
      </c>
      <c r="C1814" s="130" t="s">
        <v>2895</v>
      </c>
      <c r="D1814" s="108" t="s">
        <v>946</v>
      </c>
      <c r="E1814" s="130" t="s">
        <v>2896</v>
      </c>
      <c r="F1814" s="131" t="s">
        <v>2897</v>
      </c>
      <c r="G1814" s="132" t="s">
        <v>2899</v>
      </c>
      <c r="H1814" s="132" t="s">
        <v>2898</v>
      </c>
      <c r="I1814" s="133"/>
      <c r="J1814" s="134"/>
      <c r="K1814" s="134"/>
      <c r="L1814" s="134"/>
      <c r="M1814" s="134" t="s">
        <v>395</v>
      </c>
      <c r="N1814" s="135"/>
      <c r="O1814" s="136"/>
      <c r="P1814" s="132"/>
      <c r="Q1814" s="490"/>
      <c r="R1814" s="248">
        <v>2</v>
      </c>
      <c r="S1814" s="132"/>
      <c r="T1814" s="132"/>
      <c r="U1814" s="132"/>
      <c r="V1814" s="152"/>
      <c r="W1814" s="248"/>
      <c r="X1814" s="152"/>
      <c r="Y1814" s="136"/>
      <c r="Z1814" s="132"/>
      <c r="AA1814" s="132"/>
      <c r="AB1814" s="132"/>
      <c r="AC1814" s="132"/>
      <c r="AD1814" s="239">
        <v>42095</v>
      </c>
      <c r="AE1814" s="273" t="s">
        <v>2900</v>
      </c>
    </row>
    <row r="1815" spans="1:16334" s="65" customFormat="1" ht="27" customHeight="1" x14ac:dyDescent="0.15">
      <c r="A1815" s="228">
        <v>1111600696</v>
      </c>
      <c r="B1815" s="130" t="s">
        <v>2877</v>
      </c>
      <c r="C1815" s="130" t="s">
        <v>2878</v>
      </c>
      <c r="D1815" s="108" t="s">
        <v>74</v>
      </c>
      <c r="E1815" s="130" t="s">
        <v>2879</v>
      </c>
      <c r="F1815" s="131" t="s">
        <v>2880</v>
      </c>
      <c r="G1815" s="132" t="s">
        <v>2881</v>
      </c>
      <c r="H1815" s="132" t="s">
        <v>2882</v>
      </c>
      <c r="I1815" s="133"/>
      <c r="J1815" s="134"/>
      <c r="K1815" s="134"/>
      <c r="L1815" s="134"/>
      <c r="M1815" s="134"/>
      <c r="N1815" s="135" t="s">
        <v>396</v>
      </c>
      <c r="O1815" s="136"/>
      <c r="P1815" s="132"/>
      <c r="Q1815" s="490"/>
      <c r="R1815" s="248">
        <v>1</v>
      </c>
      <c r="S1815" s="132"/>
      <c r="T1815" s="132"/>
      <c r="U1815" s="132"/>
      <c r="V1815" s="152"/>
      <c r="W1815" s="248"/>
      <c r="X1815" s="152"/>
      <c r="Y1815" s="136"/>
      <c r="Z1815" s="132"/>
      <c r="AA1815" s="132"/>
      <c r="AB1815" s="132"/>
      <c r="AC1815" s="132"/>
      <c r="AD1815" s="239">
        <v>42095</v>
      </c>
      <c r="AE1815" s="273" t="s">
        <v>2888</v>
      </c>
    </row>
    <row r="1816" spans="1:16334" s="302" customFormat="1" ht="27" customHeight="1" x14ac:dyDescent="0.15">
      <c r="A1816" s="228">
        <v>1111600878</v>
      </c>
      <c r="B1816" s="130" t="s">
        <v>5014</v>
      </c>
      <c r="C1816" s="130" t="s">
        <v>5015</v>
      </c>
      <c r="D1816" s="108" t="s">
        <v>74</v>
      </c>
      <c r="E1816" s="130" t="s">
        <v>5016</v>
      </c>
      <c r="F1816" s="131" t="s">
        <v>5017</v>
      </c>
      <c r="G1816" s="132" t="s">
        <v>5018</v>
      </c>
      <c r="H1816" s="132" t="s">
        <v>5018</v>
      </c>
      <c r="I1816" s="133"/>
      <c r="J1816" s="134"/>
      <c r="K1816" s="134"/>
      <c r="L1816" s="134"/>
      <c r="M1816" s="134" t="s">
        <v>395</v>
      </c>
      <c r="N1816" s="135"/>
      <c r="O1816" s="136"/>
      <c r="P1816" s="132"/>
      <c r="Q1816" s="490"/>
      <c r="R1816" s="248">
        <v>2</v>
      </c>
      <c r="S1816" s="132"/>
      <c r="T1816" s="132"/>
      <c r="U1816" s="132"/>
      <c r="V1816" s="152"/>
      <c r="W1816" s="248"/>
      <c r="X1816" s="152"/>
      <c r="Y1816" s="136"/>
      <c r="Z1816" s="132"/>
      <c r="AA1816" s="132"/>
      <c r="AB1816" s="132"/>
      <c r="AC1816" s="132"/>
      <c r="AD1816" s="239">
        <v>43556</v>
      </c>
      <c r="AE1816" s="273" t="s">
        <v>5019</v>
      </c>
    </row>
    <row r="1817" spans="1:16334" s="65" customFormat="1" ht="27" customHeight="1" x14ac:dyDescent="0.15">
      <c r="A1817" s="105">
        <v>1111601058</v>
      </c>
      <c r="B1817" s="130" t="s">
        <v>7336</v>
      </c>
      <c r="C1817" s="130" t="s">
        <v>7337</v>
      </c>
      <c r="D1817" s="108" t="s">
        <v>74</v>
      </c>
      <c r="E1817" s="281" t="s">
        <v>7338</v>
      </c>
      <c r="F1817" s="132" t="s">
        <v>7339</v>
      </c>
      <c r="G1817" s="139" t="s">
        <v>7340</v>
      </c>
      <c r="H1817" s="139" t="s">
        <v>7341</v>
      </c>
      <c r="I1817" s="141" t="s">
        <v>391</v>
      </c>
      <c r="J1817" s="142" t="s">
        <v>392</v>
      </c>
      <c r="K1817" s="142" t="s">
        <v>393</v>
      </c>
      <c r="L1817" s="142" t="s">
        <v>394</v>
      </c>
      <c r="M1817" s="142" t="s">
        <v>395</v>
      </c>
      <c r="N1817" s="142"/>
      <c r="O1817" s="142"/>
      <c r="P1817" s="105"/>
      <c r="Q1817" s="137"/>
      <c r="R1817" s="138">
        <v>1</v>
      </c>
      <c r="S1817" s="105"/>
      <c r="T1817" s="105"/>
      <c r="U1817" s="105"/>
      <c r="V1817" s="137"/>
      <c r="W1817" s="138"/>
      <c r="X1817" s="137"/>
      <c r="Y1817" s="138"/>
      <c r="Z1817" s="105"/>
      <c r="AA1817" s="105"/>
      <c r="AB1817" s="105"/>
      <c r="AC1817" s="105"/>
      <c r="AD1817" s="144">
        <v>44652</v>
      </c>
      <c r="AE1817" s="108" t="s">
        <v>7342</v>
      </c>
    </row>
    <row r="1818" spans="1:16334" ht="27" customHeight="1" x14ac:dyDescent="0.15">
      <c r="A1818" s="76">
        <v>1111601108</v>
      </c>
      <c r="B1818" s="165" t="s">
        <v>11679</v>
      </c>
      <c r="C1818" s="166" t="s">
        <v>8732</v>
      </c>
      <c r="D1818" s="166" t="s">
        <v>74</v>
      </c>
      <c r="E1818" s="166" t="s">
        <v>8733</v>
      </c>
      <c r="F1818" s="254" t="s">
        <v>8734</v>
      </c>
      <c r="G1818" s="72" t="s">
        <v>8735</v>
      </c>
      <c r="H1818" s="72" t="s">
        <v>8735</v>
      </c>
      <c r="I1818" s="292" t="s">
        <v>391</v>
      </c>
      <c r="J1818" s="293" t="s">
        <v>392</v>
      </c>
      <c r="K1818" s="293" t="s">
        <v>393</v>
      </c>
      <c r="L1818" s="293" t="s">
        <v>394</v>
      </c>
      <c r="M1818" s="293" t="s">
        <v>395</v>
      </c>
      <c r="N1818" s="294" t="s">
        <v>396</v>
      </c>
      <c r="O1818" s="295" t="s">
        <v>2178</v>
      </c>
      <c r="P1818" s="76"/>
      <c r="Q1818" s="70"/>
      <c r="R1818" s="92">
        <v>4</v>
      </c>
      <c r="S1818" s="76"/>
      <c r="T1818" s="76"/>
      <c r="U1818" s="76"/>
      <c r="V1818" s="70"/>
      <c r="W1818" s="92"/>
      <c r="X1818" s="73"/>
      <c r="Y1818" s="92"/>
      <c r="Z1818" s="76"/>
      <c r="AA1818" s="76"/>
      <c r="AB1818" s="76"/>
      <c r="AC1818" s="76"/>
      <c r="AD1818" s="104">
        <v>45200</v>
      </c>
      <c r="AE1818" s="166" t="s">
        <v>8736</v>
      </c>
    </row>
    <row r="1819" spans="1:16334" ht="27" customHeight="1" x14ac:dyDescent="0.15">
      <c r="A1819" s="150">
        <v>1111601116</v>
      </c>
      <c r="B1819" s="130" t="s">
        <v>8781</v>
      </c>
      <c r="C1819" s="130" t="s">
        <v>8782</v>
      </c>
      <c r="D1819" s="108" t="s">
        <v>74</v>
      </c>
      <c r="E1819" s="130" t="s">
        <v>8783</v>
      </c>
      <c r="F1819" s="131" t="s">
        <v>8784</v>
      </c>
      <c r="G1819" s="132" t="s">
        <v>8785</v>
      </c>
      <c r="H1819" s="132" t="s">
        <v>8785</v>
      </c>
      <c r="I1819" s="116"/>
      <c r="J1819" s="134" t="s">
        <v>392</v>
      </c>
      <c r="K1819" s="154"/>
      <c r="L1819" s="154"/>
      <c r="M1819" s="154"/>
      <c r="N1819" s="143"/>
      <c r="O1819" s="138"/>
      <c r="P1819" s="132"/>
      <c r="Q1819" s="152"/>
      <c r="R1819" s="248">
        <v>6</v>
      </c>
      <c r="S1819" s="132"/>
      <c r="T1819" s="132"/>
      <c r="U1819" s="132"/>
      <c r="V1819" s="152"/>
      <c r="W1819" s="248"/>
      <c r="X1819" s="152"/>
      <c r="Y1819" s="136"/>
      <c r="Z1819" s="132"/>
      <c r="AA1819" s="132"/>
      <c r="AB1819" s="132"/>
      <c r="AC1819" s="132"/>
      <c r="AD1819" s="239">
        <v>45231</v>
      </c>
      <c r="AE1819" s="489" t="s">
        <v>8786</v>
      </c>
    </row>
    <row r="1820" spans="1:16334" s="302" customFormat="1" ht="27" customHeight="1" x14ac:dyDescent="0.15">
      <c r="A1820" s="203">
        <v>1111601132</v>
      </c>
      <c r="B1820" s="204" t="s">
        <v>11680</v>
      </c>
      <c r="C1820" s="162" t="s">
        <v>8862</v>
      </c>
      <c r="D1820" s="162" t="s">
        <v>74</v>
      </c>
      <c r="E1820" s="162" t="s">
        <v>8863</v>
      </c>
      <c r="F1820" s="205" t="s">
        <v>8864</v>
      </c>
      <c r="G1820" s="206" t="s">
        <v>8865</v>
      </c>
      <c r="H1820" s="206" t="s">
        <v>8866</v>
      </c>
      <c r="I1820" s="141"/>
      <c r="J1820" s="142"/>
      <c r="K1820" s="142"/>
      <c r="L1820" s="142"/>
      <c r="M1820" s="142" t="s">
        <v>395</v>
      </c>
      <c r="N1820" s="143" t="s">
        <v>396</v>
      </c>
      <c r="O1820" s="138"/>
      <c r="P1820" s="105"/>
      <c r="Q1820" s="137" t="s">
        <v>765</v>
      </c>
      <c r="R1820" s="138"/>
      <c r="S1820" s="105"/>
      <c r="T1820" s="105"/>
      <c r="U1820" s="105"/>
      <c r="V1820" s="137"/>
      <c r="W1820" s="138"/>
      <c r="X1820" s="137"/>
      <c r="Y1820" s="138"/>
      <c r="Z1820" s="105"/>
      <c r="AA1820" s="105"/>
      <c r="AB1820" s="105"/>
      <c r="AC1820" s="105"/>
      <c r="AD1820" s="155">
        <v>45261</v>
      </c>
      <c r="AE1820" s="108" t="s">
        <v>8867</v>
      </c>
    </row>
    <row r="1821" spans="1:16334" s="65" customFormat="1" ht="27" customHeight="1" x14ac:dyDescent="0.15">
      <c r="A1821" s="228">
        <v>1111601181</v>
      </c>
      <c r="B1821" s="280" t="s">
        <v>5656</v>
      </c>
      <c r="C1821" s="130" t="s">
        <v>9668</v>
      </c>
      <c r="D1821" s="108" t="s">
        <v>74</v>
      </c>
      <c r="E1821" s="130" t="s">
        <v>5608</v>
      </c>
      <c r="F1821" s="131" t="s">
        <v>4804</v>
      </c>
      <c r="G1821" s="132" t="s">
        <v>5609</v>
      </c>
      <c r="H1821" s="132" t="s">
        <v>5610</v>
      </c>
      <c r="I1821" s="133" t="s">
        <v>391</v>
      </c>
      <c r="J1821" s="134" t="s">
        <v>392</v>
      </c>
      <c r="K1821" s="154" t="s">
        <v>393</v>
      </c>
      <c r="L1821" s="154" t="s">
        <v>394</v>
      </c>
      <c r="M1821" s="154" t="s">
        <v>395</v>
      </c>
      <c r="N1821" s="143" t="s">
        <v>396</v>
      </c>
      <c r="O1821" s="136"/>
      <c r="P1821" s="132"/>
      <c r="Q1821" s="490"/>
      <c r="R1821" s="248">
        <v>2</v>
      </c>
      <c r="S1821" s="132"/>
      <c r="T1821" s="132"/>
      <c r="U1821" s="132"/>
      <c r="V1821" s="152"/>
      <c r="W1821" s="248"/>
      <c r="X1821" s="152"/>
      <c r="Y1821" s="136"/>
      <c r="Z1821" s="132"/>
      <c r="AA1821" s="132"/>
      <c r="AB1821" s="132"/>
      <c r="AC1821" s="132"/>
      <c r="AD1821" s="239">
        <v>43739</v>
      </c>
      <c r="AE1821" s="273" t="s">
        <v>5611</v>
      </c>
    </row>
    <row r="1822" spans="1:16334" s="65" customFormat="1" ht="27" customHeight="1" x14ac:dyDescent="0.15">
      <c r="A1822" s="105">
        <v>1111601264</v>
      </c>
      <c r="B1822" s="280" t="s">
        <v>11918</v>
      </c>
      <c r="C1822" s="130" t="s">
        <v>10159</v>
      </c>
      <c r="D1822" s="108" t="s">
        <v>74</v>
      </c>
      <c r="E1822" s="281" t="s">
        <v>10160</v>
      </c>
      <c r="F1822" s="132" t="s">
        <v>10161</v>
      </c>
      <c r="G1822" s="139" t="s">
        <v>10162</v>
      </c>
      <c r="H1822" s="139" t="s">
        <v>10163</v>
      </c>
      <c r="I1822" s="141" t="s">
        <v>391</v>
      </c>
      <c r="J1822" s="142" t="s">
        <v>392</v>
      </c>
      <c r="K1822" s="142" t="s">
        <v>393</v>
      </c>
      <c r="L1822" s="142" t="s">
        <v>394</v>
      </c>
      <c r="M1822" s="142" t="s">
        <v>395</v>
      </c>
      <c r="N1822" s="142" t="s">
        <v>396</v>
      </c>
      <c r="O1822" s="142" t="s">
        <v>2178</v>
      </c>
      <c r="P1822" s="105"/>
      <c r="Q1822" s="137"/>
      <c r="R1822" s="138">
        <v>2</v>
      </c>
      <c r="S1822" s="105"/>
      <c r="T1822" s="105"/>
      <c r="U1822" s="105"/>
      <c r="V1822" s="137"/>
      <c r="W1822" s="138"/>
      <c r="X1822" s="137"/>
      <c r="Y1822" s="138"/>
      <c r="Z1822" s="105"/>
      <c r="AA1822" s="105"/>
      <c r="AB1822" s="105"/>
      <c r="AC1822" s="105"/>
      <c r="AD1822" s="144">
        <v>45748</v>
      </c>
      <c r="AE1822" s="108" t="s">
        <v>10164</v>
      </c>
    </row>
    <row r="1823" spans="1:16334" s="302" customFormat="1" ht="27" customHeight="1" x14ac:dyDescent="0.15">
      <c r="A1823" s="175">
        <v>1111700314</v>
      </c>
      <c r="B1823" s="161" t="s">
        <v>11988</v>
      </c>
      <c r="C1823" s="263" t="s">
        <v>11364</v>
      </c>
      <c r="D1823" s="162" t="s">
        <v>75</v>
      </c>
      <c r="E1823" s="162" t="s">
        <v>11365</v>
      </c>
      <c r="F1823" s="205" t="s">
        <v>11366</v>
      </c>
      <c r="G1823" s="274" t="s">
        <v>11367</v>
      </c>
      <c r="H1823" s="206" t="s">
        <v>11368</v>
      </c>
      <c r="I1823" s="221"/>
      <c r="J1823" s="222"/>
      <c r="K1823" s="222"/>
      <c r="L1823" s="222"/>
      <c r="M1823" s="222" t="s">
        <v>10951</v>
      </c>
      <c r="N1823" s="208"/>
      <c r="O1823" s="208"/>
      <c r="P1823" s="175"/>
      <c r="Q1823" s="209"/>
      <c r="R1823" s="210">
        <v>2</v>
      </c>
      <c r="S1823" s="175"/>
      <c r="T1823" s="175"/>
      <c r="U1823" s="175"/>
      <c r="V1823" s="209"/>
      <c r="W1823" s="210"/>
      <c r="X1823" s="209"/>
      <c r="Y1823" s="210"/>
      <c r="Z1823" s="175"/>
      <c r="AA1823" s="175"/>
      <c r="AB1823" s="175"/>
      <c r="AC1823" s="175"/>
      <c r="AD1823" s="275">
        <v>46113</v>
      </c>
      <c r="AE1823" s="162" t="s">
        <v>11369</v>
      </c>
    </row>
    <row r="1824" spans="1:16334" s="65" customFormat="1" ht="27" customHeight="1" x14ac:dyDescent="0.15">
      <c r="A1824" s="228">
        <v>1111700397</v>
      </c>
      <c r="B1824" s="130" t="s">
        <v>2584</v>
      </c>
      <c r="C1824" s="130" t="s">
        <v>2596</v>
      </c>
      <c r="D1824" s="108" t="s">
        <v>2597</v>
      </c>
      <c r="E1824" s="130" t="s">
        <v>2598</v>
      </c>
      <c r="F1824" s="131">
        <v>3690112</v>
      </c>
      <c r="G1824" s="132" t="s">
        <v>2599</v>
      </c>
      <c r="H1824" s="132" t="s">
        <v>2600</v>
      </c>
      <c r="I1824" s="116"/>
      <c r="J1824" s="154"/>
      <c r="K1824" s="154" t="s">
        <v>456</v>
      </c>
      <c r="L1824" s="154"/>
      <c r="M1824" s="154" t="s">
        <v>395</v>
      </c>
      <c r="N1824" s="143"/>
      <c r="O1824" s="138"/>
      <c r="P1824" s="132"/>
      <c r="Q1824" s="152" t="s">
        <v>49</v>
      </c>
      <c r="R1824" s="248"/>
      <c r="S1824" s="132"/>
      <c r="T1824" s="132"/>
      <c r="U1824" s="132"/>
      <c r="V1824" s="152"/>
      <c r="W1824" s="248"/>
      <c r="X1824" s="152"/>
      <c r="Y1824" s="136"/>
      <c r="Z1824" s="132"/>
      <c r="AA1824" s="132"/>
      <c r="AB1824" s="132"/>
      <c r="AC1824" s="132"/>
      <c r="AD1824" s="239">
        <v>41061</v>
      </c>
      <c r="AE1824" s="273" t="s">
        <v>2613</v>
      </c>
    </row>
    <row r="1825" spans="1:31" s="218" customFormat="1" ht="30" customHeight="1" x14ac:dyDescent="0.15">
      <c r="A1825" s="228">
        <v>1111700686</v>
      </c>
      <c r="B1825" s="130" t="s">
        <v>6251</v>
      </c>
      <c r="C1825" s="130" t="s">
        <v>6252</v>
      </c>
      <c r="D1825" s="108" t="s">
        <v>2597</v>
      </c>
      <c r="E1825" s="130" t="s">
        <v>6253</v>
      </c>
      <c r="F1825" s="131">
        <v>3690131</v>
      </c>
      <c r="G1825" s="132" t="s">
        <v>6254</v>
      </c>
      <c r="H1825" s="132"/>
      <c r="I1825" s="116"/>
      <c r="J1825" s="154"/>
      <c r="K1825" s="154"/>
      <c r="L1825" s="154"/>
      <c r="M1825" s="154" t="s">
        <v>395</v>
      </c>
      <c r="N1825" s="143" t="s">
        <v>396</v>
      </c>
      <c r="O1825" s="138"/>
      <c r="P1825" s="132"/>
      <c r="Q1825" s="152" t="s">
        <v>49</v>
      </c>
      <c r="R1825" s="248"/>
      <c r="S1825" s="132"/>
      <c r="T1825" s="132"/>
      <c r="U1825" s="132"/>
      <c r="V1825" s="152"/>
      <c r="W1825" s="248"/>
      <c r="X1825" s="152"/>
      <c r="Y1825" s="136"/>
      <c r="Z1825" s="132"/>
      <c r="AA1825" s="132"/>
      <c r="AB1825" s="132"/>
      <c r="AC1825" s="132"/>
      <c r="AD1825" s="239">
        <v>44075</v>
      </c>
      <c r="AE1825" s="273" t="s">
        <v>6255</v>
      </c>
    </row>
    <row r="1826" spans="1:31" ht="27" customHeight="1" x14ac:dyDescent="0.15">
      <c r="A1826" s="225">
        <v>1111700744</v>
      </c>
      <c r="B1826" s="291" t="s">
        <v>879</v>
      </c>
      <c r="C1826" s="364" t="s">
        <v>6589</v>
      </c>
      <c r="D1826" s="108" t="s">
        <v>75</v>
      </c>
      <c r="E1826" s="108" t="s">
        <v>880</v>
      </c>
      <c r="F1826" s="156">
        <v>3650073</v>
      </c>
      <c r="G1826" s="159" t="s">
        <v>937</v>
      </c>
      <c r="H1826" s="140" t="s">
        <v>938</v>
      </c>
      <c r="I1826" s="181"/>
      <c r="J1826" s="154"/>
      <c r="K1826" s="154"/>
      <c r="L1826" s="154"/>
      <c r="M1826" s="154"/>
      <c r="N1826" s="143" t="s">
        <v>396</v>
      </c>
      <c r="O1826" s="138"/>
      <c r="P1826" s="105"/>
      <c r="Q1826" s="137" t="s">
        <v>49</v>
      </c>
      <c r="R1826" s="138"/>
      <c r="S1826" s="105"/>
      <c r="T1826" s="105"/>
      <c r="U1826" s="105"/>
      <c r="V1826" s="137"/>
      <c r="W1826" s="138"/>
      <c r="X1826" s="137"/>
      <c r="Y1826" s="138"/>
      <c r="Z1826" s="105"/>
      <c r="AA1826" s="105"/>
      <c r="AB1826" s="105"/>
      <c r="AC1826" s="105"/>
      <c r="AD1826" s="118">
        <v>44287</v>
      </c>
      <c r="AE1826" s="108" t="s">
        <v>972</v>
      </c>
    </row>
    <row r="1827" spans="1:31" ht="27" customHeight="1" x14ac:dyDescent="0.15">
      <c r="A1827" s="228">
        <v>1111700769</v>
      </c>
      <c r="B1827" s="130" t="s">
        <v>6889</v>
      </c>
      <c r="C1827" s="130" t="s">
        <v>6890</v>
      </c>
      <c r="D1827" s="108" t="s">
        <v>75</v>
      </c>
      <c r="E1827" s="130" t="s">
        <v>6891</v>
      </c>
      <c r="F1827" s="131" t="s">
        <v>6892</v>
      </c>
      <c r="G1827" s="132" t="s">
        <v>6893</v>
      </c>
      <c r="H1827" s="132" t="s">
        <v>6894</v>
      </c>
      <c r="I1827" s="133"/>
      <c r="J1827" s="134"/>
      <c r="K1827" s="134"/>
      <c r="L1827" s="134"/>
      <c r="M1827" s="134" t="s">
        <v>395</v>
      </c>
      <c r="N1827" s="135" t="s">
        <v>396</v>
      </c>
      <c r="O1827" s="136"/>
      <c r="P1827" s="132"/>
      <c r="Q1827" s="137" t="s">
        <v>49</v>
      </c>
      <c r="R1827" s="248"/>
      <c r="S1827" s="132"/>
      <c r="T1827" s="132"/>
      <c r="U1827" s="132"/>
      <c r="V1827" s="152"/>
      <c r="W1827" s="248"/>
      <c r="X1827" s="152"/>
      <c r="Y1827" s="136"/>
      <c r="Z1827" s="132"/>
      <c r="AA1827" s="132"/>
      <c r="AB1827" s="132"/>
      <c r="AC1827" s="132"/>
      <c r="AD1827" s="118">
        <v>44378</v>
      </c>
      <c r="AE1827" s="273" t="s">
        <v>6895</v>
      </c>
    </row>
    <row r="1828" spans="1:31" s="302" customFormat="1" ht="27" customHeight="1" x14ac:dyDescent="0.15">
      <c r="A1828" s="132">
        <v>1111700850</v>
      </c>
      <c r="B1828" s="130" t="s">
        <v>10319</v>
      </c>
      <c r="C1828" s="108" t="s">
        <v>10261</v>
      </c>
      <c r="D1828" s="108" t="s">
        <v>75</v>
      </c>
      <c r="E1828" s="108" t="s">
        <v>10320</v>
      </c>
      <c r="F1828" s="264" t="s">
        <v>10262</v>
      </c>
      <c r="G1828" s="137" t="s">
        <v>10263</v>
      </c>
      <c r="H1828" s="137" t="s">
        <v>10263</v>
      </c>
      <c r="I1828" s="141"/>
      <c r="J1828" s="142"/>
      <c r="K1828" s="142"/>
      <c r="L1828" s="142"/>
      <c r="M1828" s="142" t="s">
        <v>395</v>
      </c>
      <c r="N1828" s="143" t="s">
        <v>396</v>
      </c>
      <c r="O1828" s="92"/>
      <c r="P1828" s="105"/>
      <c r="Q1828" s="137" t="s">
        <v>49</v>
      </c>
      <c r="R1828" s="138"/>
      <c r="S1828" s="105"/>
      <c r="T1828" s="105"/>
      <c r="U1828" s="105"/>
      <c r="V1828" s="137"/>
      <c r="W1828" s="138"/>
      <c r="X1828" s="137"/>
      <c r="Y1828" s="138"/>
      <c r="Z1828" s="105"/>
      <c r="AA1828" s="105"/>
      <c r="AB1828" s="105"/>
      <c r="AC1828" s="105"/>
      <c r="AD1828" s="118">
        <v>45261</v>
      </c>
      <c r="AE1828" s="108" t="s">
        <v>10264</v>
      </c>
    </row>
    <row r="1829" spans="1:31" s="302" customFormat="1" ht="27" customHeight="1" x14ac:dyDescent="0.15">
      <c r="A1829" s="81">
        <v>1111700884</v>
      </c>
      <c r="B1829" s="280" t="s">
        <v>5656</v>
      </c>
      <c r="C1829" s="296" t="s">
        <v>9229</v>
      </c>
      <c r="D1829" s="84" t="s">
        <v>8111</v>
      </c>
      <c r="E1829" s="297" t="s">
        <v>9230</v>
      </c>
      <c r="F1829" s="77" t="s">
        <v>9231</v>
      </c>
      <c r="G1829" s="298" t="s">
        <v>9232</v>
      </c>
      <c r="H1829" s="298" t="s">
        <v>9233</v>
      </c>
      <c r="I1829" s="299" t="s">
        <v>391</v>
      </c>
      <c r="J1829" s="300" t="s">
        <v>392</v>
      </c>
      <c r="K1829" s="300" t="s">
        <v>393</v>
      </c>
      <c r="L1829" s="300" t="s">
        <v>394</v>
      </c>
      <c r="M1829" s="300" t="s">
        <v>395</v>
      </c>
      <c r="N1829" s="300" t="s">
        <v>396</v>
      </c>
      <c r="O1829" s="300"/>
      <c r="P1829" s="81"/>
      <c r="Q1829" s="220"/>
      <c r="R1829" s="89">
        <v>2</v>
      </c>
      <c r="S1829" s="81"/>
      <c r="T1829" s="81"/>
      <c r="U1829" s="81"/>
      <c r="V1829" s="220"/>
      <c r="W1829" s="89"/>
      <c r="X1829" s="220"/>
      <c r="Y1829" s="89"/>
      <c r="Z1829" s="81"/>
      <c r="AA1829" s="81"/>
      <c r="AB1829" s="81"/>
      <c r="AC1829" s="81"/>
      <c r="AD1829" s="301">
        <v>45444</v>
      </c>
      <c r="AE1829" s="84" t="s">
        <v>9234</v>
      </c>
    </row>
    <row r="1830" spans="1:31" s="302" customFormat="1" ht="27" customHeight="1" x14ac:dyDescent="0.15">
      <c r="A1830" s="203">
        <v>1111700892</v>
      </c>
      <c r="B1830" s="130" t="s">
        <v>9941</v>
      </c>
      <c r="C1830" s="162" t="s">
        <v>9950</v>
      </c>
      <c r="D1830" s="162" t="s">
        <v>8111</v>
      </c>
      <c r="E1830" s="162" t="s">
        <v>8112</v>
      </c>
      <c r="F1830" s="205" t="s">
        <v>8113</v>
      </c>
      <c r="G1830" s="206" t="s">
        <v>8114</v>
      </c>
      <c r="H1830" s="206" t="s">
        <v>8115</v>
      </c>
      <c r="I1830" s="141" t="s">
        <v>391</v>
      </c>
      <c r="J1830" s="142" t="s">
        <v>392</v>
      </c>
      <c r="K1830" s="142" t="s">
        <v>393</v>
      </c>
      <c r="L1830" s="142" t="s">
        <v>394</v>
      </c>
      <c r="M1830" s="142" t="s">
        <v>395</v>
      </c>
      <c r="N1830" s="143" t="s">
        <v>396</v>
      </c>
      <c r="O1830" s="138" t="s">
        <v>2178</v>
      </c>
      <c r="P1830" s="105"/>
      <c r="Q1830" s="137"/>
      <c r="R1830" s="138">
        <v>1</v>
      </c>
      <c r="S1830" s="105"/>
      <c r="T1830" s="105"/>
      <c r="U1830" s="105"/>
      <c r="V1830" s="137"/>
      <c r="W1830" s="138"/>
      <c r="X1830" s="137"/>
      <c r="Y1830" s="138"/>
      <c r="Z1830" s="105"/>
      <c r="AA1830" s="105"/>
      <c r="AB1830" s="105"/>
      <c r="AC1830" s="105"/>
      <c r="AD1830" s="155">
        <v>45717</v>
      </c>
      <c r="AE1830" s="108" t="s">
        <v>8116</v>
      </c>
    </row>
    <row r="1831" spans="1:31" s="302" customFormat="1" ht="27" customHeight="1" x14ac:dyDescent="0.15">
      <c r="A1831" s="228">
        <v>1111800494</v>
      </c>
      <c r="B1831" s="130" t="s">
        <v>2585</v>
      </c>
      <c r="C1831" s="130" t="s">
        <v>2577</v>
      </c>
      <c r="D1831" s="108" t="s">
        <v>2578</v>
      </c>
      <c r="E1831" s="130" t="s">
        <v>2601</v>
      </c>
      <c r="F1831" s="131">
        <v>3400001</v>
      </c>
      <c r="G1831" s="132" t="s">
        <v>2579</v>
      </c>
      <c r="H1831" s="132" t="s">
        <v>2580</v>
      </c>
      <c r="I1831" s="116"/>
      <c r="J1831" s="154"/>
      <c r="K1831" s="154"/>
      <c r="L1831" s="154"/>
      <c r="M1831" s="154" t="s">
        <v>395</v>
      </c>
      <c r="N1831" s="143"/>
      <c r="O1831" s="138"/>
      <c r="P1831" s="132"/>
      <c r="Q1831" s="152"/>
      <c r="R1831" s="248">
        <v>3</v>
      </c>
      <c r="S1831" s="132"/>
      <c r="T1831" s="132"/>
      <c r="U1831" s="132"/>
      <c r="V1831" s="152"/>
      <c r="W1831" s="248"/>
      <c r="X1831" s="152"/>
      <c r="Y1831" s="136"/>
      <c r="Z1831" s="132"/>
      <c r="AA1831" s="132"/>
      <c r="AB1831" s="132"/>
      <c r="AC1831" s="132"/>
      <c r="AD1831" s="239">
        <v>41061</v>
      </c>
      <c r="AE1831" s="273" t="s">
        <v>2611</v>
      </c>
    </row>
    <row r="1832" spans="1:31" s="65" customFormat="1" ht="27" customHeight="1" x14ac:dyDescent="0.15">
      <c r="A1832" s="132">
        <v>1111800627</v>
      </c>
      <c r="B1832" s="280" t="s">
        <v>3058</v>
      </c>
      <c r="C1832" s="329" t="s">
        <v>3059</v>
      </c>
      <c r="D1832" s="108" t="s">
        <v>1033</v>
      </c>
      <c r="E1832" s="108" t="s">
        <v>3061</v>
      </c>
      <c r="F1832" s="150" t="s">
        <v>3073</v>
      </c>
      <c r="G1832" s="132" t="s">
        <v>3074</v>
      </c>
      <c r="H1832" s="132" t="s">
        <v>3075</v>
      </c>
      <c r="I1832" s="141"/>
      <c r="J1832" s="142"/>
      <c r="K1832" s="142" t="s">
        <v>456</v>
      </c>
      <c r="L1832" s="142" t="s">
        <v>477</v>
      </c>
      <c r="M1832" s="142" t="s">
        <v>395</v>
      </c>
      <c r="N1832" s="143" t="s">
        <v>396</v>
      </c>
      <c r="O1832" s="138" t="s">
        <v>2178</v>
      </c>
      <c r="P1832" s="132"/>
      <c r="Q1832" s="152" t="s">
        <v>765</v>
      </c>
      <c r="R1832" s="248"/>
      <c r="S1832" s="132"/>
      <c r="T1832" s="132"/>
      <c r="U1832" s="132"/>
      <c r="V1832" s="152"/>
      <c r="W1832" s="248"/>
      <c r="X1832" s="152"/>
      <c r="Y1832" s="136"/>
      <c r="Z1832" s="132"/>
      <c r="AA1832" s="132"/>
      <c r="AB1832" s="132"/>
      <c r="AC1832" s="132"/>
      <c r="AD1832" s="487">
        <v>42186</v>
      </c>
      <c r="AE1832" s="273" t="s">
        <v>3060</v>
      </c>
    </row>
    <row r="1833" spans="1:31" s="302" customFormat="1" ht="27" customHeight="1" x14ac:dyDescent="0.15">
      <c r="A1833" s="132">
        <v>1111801203</v>
      </c>
      <c r="B1833" s="280" t="s">
        <v>7806</v>
      </c>
      <c r="C1833" s="329" t="s">
        <v>7807</v>
      </c>
      <c r="D1833" s="108" t="s">
        <v>1033</v>
      </c>
      <c r="E1833" s="108" t="s">
        <v>7808</v>
      </c>
      <c r="F1833" s="150" t="s">
        <v>7809</v>
      </c>
      <c r="G1833" s="132" t="s">
        <v>7810</v>
      </c>
      <c r="H1833" s="132" t="s">
        <v>7811</v>
      </c>
      <c r="I1833" s="141" t="s">
        <v>391</v>
      </c>
      <c r="J1833" s="142" t="s">
        <v>392</v>
      </c>
      <c r="K1833" s="142" t="s">
        <v>393</v>
      </c>
      <c r="L1833" s="142" t="s">
        <v>394</v>
      </c>
      <c r="M1833" s="142" t="s">
        <v>395</v>
      </c>
      <c r="N1833" s="143" t="s">
        <v>396</v>
      </c>
      <c r="O1833" s="138" t="s">
        <v>2178</v>
      </c>
      <c r="P1833" s="132"/>
      <c r="Q1833" s="152"/>
      <c r="R1833" s="248">
        <v>1</v>
      </c>
      <c r="S1833" s="132"/>
      <c r="T1833" s="132"/>
      <c r="U1833" s="132"/>
      <c r="V1833" s="152"/>
      <c r="W1833" s="248"/>
      <c r="X1833" s="152"/>
      <c r="Y1833" s="136"/>
      <c r="Z1833" s="132"/>
      <c r="AA1833" s="132"/>
      <c r="AB1833" s="132"/>
      <c r="AC1833" s="132"/>
      <c r="AD1833" s="487">
        <v>44805</v>
      </c>
      <c r="AE1833" s="273" t="s">
        <v>7812</v>
      </c>
    </row>
    <row r="1834" spans="1:31" s="302" customFormat="1" ht="27" customHeight="1" x14ac:dyDescent="0.15">
      <c r="A1834" s="132">
        <v>1111801385</v>
      </c>
      <c r="B1834" s="280" t="s">
        <v>9119</v>
      </c>
      <c r="C1834" s="329" t="s">
        <v>9120</v>
      </c>
      <c r="D1834" s="108" t="s">
        <v>1033</v>
      </c>
      <c r="E1834" s="108" t="s">
        <v>9121</v>
      </c>
      <c r="F1834" s="150" t="s">
        <v>9122</v>
      </c>
      <c r="G1834" s="132" t="s">
        <v>9123</v>
      </c>
      <c r="H1834" s="132" t="s">
        <v>9124</v>
      </c>
      <c r="I1834" s="141"/>
      <c r="J1834" s="142"/>
      <c r="K1834" s="142"/>
      <c r="L1834" s="142"/>
      <c r="M1834" s="142" t="s">
        <v>395</v>
      </c>
      <c r="N1834" s="143"/>
      <c r="O1834" s="138"/>
      <c r="P1834" s="132"/>
      <c r="Q1834" s="152"/>
      <c r="R1834" s="248">
        <v>1</v>
      </c>
      <c r="S1834" s="132"/>
      <c r="T1834" s="132"/>
      <c r="U1834" s="132"/>
      <c r="V1834" s="152"/>
      <c r="W1834" s="248"/>
      <c r="X1834" s="152"/>
      <c r="Y1834" s="136"/>
      <c r="Z1834" s="132"/>
      <c r="AA1834" s="132"/>
      <c r="AB1834" s="132"/>
      <c r="AC1834" s="132"/>
      <c r="AD1834" s="487">
        <v>45383</v>
      </c>
      <c r="AE1834" s="273" t="s">
        <v>9125</v>
      </c>
    </row>
    <row r="1835" spans="1:31" ht="27" customHeight="1" x14ac:dyDescent="0.15">
      <c r="A1835" s="228">
        <v>1111801443</v>
      </c>
      <c r="B1835" s="280" t="s">
        <v>5656</v>
      </c>
      <c r="C1835" s="130" t="s">
        <v>9848</v>
      </c>
      <c r="D1835" s="108" t="s">
        <v>1033</v>
      </c>
      <c r="E1835" s="130" t="s">
        <v>9849</v>
      </c>
      <c r="F1835" s="131" t="s">
        <v>1768</v>
      </c>
      <c r="G1835" s="132" t="s">
        <v>9850</v>
      </c>
      <c r="H1835" s="132" t="s">
        <v>9851</v>
      </c>
      <c r="I1835" s="133"/>
      <c r="J1835" s="134"/>
      <c r="K1835" s="134"/>
      <c r="L1835" s="134" t="s">
        <v>1184</v>
      </c>
      <c r="M1835" s="134" t="s">
        <v>395</v>
      </c>
      <c r="N1835" s="135" t="s">
        <v>396</v>
      </c>
      <c r="O1835" s="136"/>
      <c r="P1835" s="132"/>
      <c r="Q1835" s="490"/>
      <c r="R1835" s="248">
        <v>2</v>
      </c>
      <c r="S1835" s="132"/>
      <c r="T1835" s="132"/>
      <c r="U1835" s="132"/>
      <c r="V1835" s="152"/>
      <c r="W1835" s="248"/>
      <c r="X1835" s="152"/>
      <c r="Y1835" s="136"/>
      <c r="Z1835" s="132"/>
      <c r="AA1835" s="132"/>
      <c r="AB1835" s="132"/>
      <c r="AC1835" s="132"/>
      <c r="AD1835" s="239">
        <v>45658</v>
      </c>
      <c r="AE1835" s="273" t="s">
        <v>9852</v>
      </c>
    </row>
    <row r="1836" spans="1:31" ht="27" customHeight="1" x14ac:dyDescent="0.15">
      <c r="A1836" s="228">
        <v>1111900302</v>
      </c>
      <c r="B1836" s="130" t="s">
        <v>2682</v>
      </c>
      <c r="C1836" s="130" t="s">
        <v>2683</v>
      </c>
      <c r="D1836" s="108" t="s">
        <v>76</v>
      </c>
      <c r="E1836" s="130" t="s">
        <v>2684</v>
      </c>
      <c r="F1836" s="131" t="s">
        <v>2685</v>
      </c>
      <c r="G1836" s="132" t="s">
        <v>2686</v>
      </c>
      <c r="H1836" s="132" t="s">
        <v>2687</v>
      </c>
      <c r="I1836" s="116"/>
      <c r="J1836" s="154"/>
      <c r="K1836" s="154" t="s">
        <v>456</v>
      </c>
      <c r="L1836" s="154"/>
      <c r="M1836" s="154"/>
      <c r="N1836" s="143"/>
      <c r="O1836" s="138"/>
      <c r="P1836" s="132"/>
      <c r="Q1836" s="152" t="s">
        <v>765</v>
      </c>
      <c r="R1836" s="248"/>
      <c r="S1836" s="132"/>
      <c r="T1836" s="132"/>
      <c r="U1836" s="132"/>
      <c r="V1836" s="152"/>
      <c r="W1836" s="248"/>
      <c r="X1836" s="152"/>
      <c r="Y1836" s="136"/>
      <c r="Z1836" s="132"/>
      <c r="AA1836" s="132"/>
      <c r="AB1836" s="132"/>
      <c r="AC1836" s="132"/>
      <c r="AD1836" s="239">
        <v>41030</v>
      </c>
      <c r="AE1836" s="273" t="s">
        <v>6161</v>
      </c>
    </row>
    <row r="1837" spans="1:31" ht="27" customHeight="1" x14ac:dyDescent="0.15">
      <c r="A1837" s="228">
        <v>1111900716</v>
      </c>
      <c r="B1837" s="130" t="s">
        <v>5206</v>
      </c>
      <c r="C1837" s="130" t="s">
        <v>3285</v>
      </c>
      <c r="D1837" s="108" t="s">
        <v>76</v>
      </c>
      <c r="E1837" s="130" t="s">
        <v>3286</v>
      </c>
      <c r="F1837" s="131" t="s">
        <v>5207</v>
      </c>
      <c r="G1837" s="132" t="s">
        <v>5208</v>
      </c>
      <c r="H1837" s="132" t="s">
        <v>5208</v>
      </c>
      <c r="I1837" s="133"/>
      <c r="J1837" s="134"/>
      <c r="K1837" s="154" t="s">
        <v>456</v>
      </c>
      <c r="L1837" s="154"/>
      <c r="M1837" s="154" t="s">
        <v>395</v>
      </c>
      <c r="N1837" s="143" t="s">
        <v>396</v>
      </c>
      <c r="O1837" s="138"/>
      <c r="P1837" s="132"/>
      <c r="Q1837" s="490"/>
      <c r="R1837" s="248">
        <v>1</v>
      </c>
      <c r="S1837" s="132"/>
      <c r="T1837" s="132"/>
      <c r="U1837" s="132"/>
      <c r="V1837" s="152"/>
      <c r="W1837" s="248"/>
      <c r="X1837" s="152"/>
      <c r="Y1837" s="136"/>
      <c r="Z1837" s="132"/>
      <c r="AA1837" s="132"/>
      <c r="AB1837" s="132"/>
      <c r="AC1837" s="132"/>
      <c r="AD1837" s="239">
        <v>43678</v>
      </c>
      <c r="AE1837" s="273" t="s">
        <v>3287</v>
      </c>
    </row>
    <row r="1838" spans="1:31" ht="27" customHeight="1" x14ac:dyDescent="0.15">
      <c r="A1838" s="228">
        <v>1111900823</v>
      </c>
      <c r="B1838" s="280" t="s">
        <v>5656</v>
      </c>
      <c r="C1838" s="130" t="s">
        <v>9669</v>
      </c>
      <c r="D1838" s="108" t="s">
        <v>76</v>
      </c>
      <c r="E1838" s="130" t="s">
        <v>5604</v>
      </c>
      <c r="F1838" s="131" t="s">
        <v>5605</v>
      </c>
      <c r="G1838" s="132" t="s">
        <v>5606</v>
      </c>
      <c r="H1838" s="132" t="s">
        <v>5607</v>
      </c>
      <c r="I1838" s="133" t="s">
        <v>391</v>
      </c>
      <c r="J1838" s="134" t="s">
        <v>392</v>
      </c>
      <c r="K1838" s="154" t="s">
        <v>393</v>
      </c>
      <c r="L1838" s="154" t="s">
        <v>394</v>
      </c>
      <c r="M1838" s="154" t="s">
        <v>395</v>
      </c>
      <c r="N1838" s="143" t="s">
        <v>396</v>
      </c>
      <c r="O1838" s="138"/>
      <c r="P1838" s="132"/>
      <c r="Q1838" s="490"/>
      <c r="R1838" s="248">
        <v>2</v>
      </c>
      <c r="S1838" s="132"/>
      <c r="T1838" s="132"/>
      <c r="U1838" s="132"/>
      <c r="V1838" s="152"/>
      <c r="W1838" s="248"/>
      <c r="X1838" s="152"/>
      <c r="Y1838" s="136"/>
      <c r="Z1838" s="132"/>
      <c r="AA1838" s="132"/>
      <c r="AB1838" s="132"/>
      <c r="AC1838" s="132"/>
      <c r="AD1838" s="239">
        <v>43770</v>
      </c>
      <c r="AE1838" s="273" t="s">
        <v>5612</v>
      </c>
    </row>
    <row r="1839" spans="1:31" s="65" customFormat="1" ht="27" customHeight="1" x14ac:dyDescent="0.15">
      <c r="A1839" s="105">
        <v>1112100431</v>
      </c>
      <c r="B1839" s="106" t="s">
        <v>3812</v>
      </c>
      <c r="C1839" s="107" t="s">
        <v>3813</v>
      </c>
      <c r="D1839" s="108" t="s">
        <v>3814</v>
      </c>
      <c r="E1839" s="108" t="s">
        <v>3815</v>
      </c>
      <c r="F1839" s="139" t="s">
        <v>4080</v>
      </c>
      <c r="G1839" s="140" t="s">
        <v>4081</v>
      </c>
      <c r="H1839" s="140" t="s">
        <v>4082</v>
      </c>
      <c r="I1839" s="141"/>
      <c r="J1839" s="142"/>
      <c r="K1839" s="142"/>
      <c r="L1839" s="142" t="s">
        <v>1184</v>
      </c>
      <c r="M1839" s="142" t="s">
        <v>395</v>
      </c>
      <c r="N1839" s="143" t="s">
        <v>396</v>
      </c>
      <c r="O1839" s="138"/>
      <c r="P1839" s="105"/>
      <c r="Q1839" s="137" t="s">
        <v>3816</v>
      </c>
      <c r="R1839" s="138"/>
      <c r="S1839" s="105"/>
      <c r="T1839" s="105"/>
      <c r="U1839" s="105"/>
      <c r="V1839" s="137"/>
      <c r="W1839" s="138"/>
      <c r="X1839" s="137"/>
      <c r="Y1839" s="138"/>
      <c r="Z1839" s="105"/>
      <c r="AA1839" s="105"/>
      <c r="AB1839" s="105"/>
      <c r="AC1839" s="105"/>
      <c r="AD1839" s="144">
        <v>42826</v>
      </c>
      <c r="AE1839" s="108" t="s">
        <v>3817</v>
      </c>
    </row>
    <row r="1840" spans="1:31" s="302" customFormat="1" ht="27" customHeight="1" x14ac:dyDescent="0.15">
      <c r="A1840" s="105">
        <v>1112100696</v>
      </c>
      <c r="B1840" s="130" t="s">
        <v>4585</v>
      </c>
      <c r="C1840" s="130" t="s">
        <v>6446</v>
      </c>
      <c r="D1840" s="108" t="s">
        <v>2250</v>
      </c>
      <c r="E1840" s="281" t="s">
        <v>6447</v>
      </c>
      <c r="F1840" s="132" t="s">
        <v>6448</v>
      </c>
      <c r="G1840" s="139" t="s">
        <v>6449</v>
      </c>
      <c r="H1840" s="139" t="s">
        <v>6444</v>
      </c>
      <c r="I1840" s="141" t="s">
        <v>391</v>
      </c>
      <c r="J1840" s="142" t="s">
        <v>392</v>
      </c>
      <c r="K1840" s="142" t="s">
        <v>393</v>
      </c>
      <c r="L1840" s="142" t="s">
        <v>394</v>
      </c>
      <c r="M1840" s="142" t="s">
        <v>395</v>
      </c>
      <c r="N1840" s="142" t="s">
        <v>396</v>
      </c>
      <c r="O1840" s="142" t="s">
        <v>2178</v>
      </c>
      <c r="P1840" s="105"/>
      <c r="Q1840" s="137"/>
      <c r="R1840" s="138">
        <v>2</v>
      </c>
      <c r="S1840" s="105"/>
      <c r="T1840" s="105"/>
      <c r="U1840" s="105"/>
      <c r="V1840" s="137"/>
      <c r="W1840" s="138"/>
      <c r="X1840" s="137"/>
      <c r="Y1840" s="138"/>
      <c r="Z1840" s="105"/>
      <c r="AA1840" s="105"/>
      <c r="AB1840" s="105"/>
      <c r="AC1840" s="105"/>
      <c r="AD1840" s="155">
        <v>44197</v>
      </c>
      <c r="AE1840" s="108" t="s">
        <v>6450</v>
      </c>
    </row>
    <row r="1841" spans="1:31" s="65" customFormat="1" ht="27" customHeight="1" x14ac:dyDescent="0.15">
      <c r="A1841" s="105">
        <v>1112100746</v>
      </c>
      <c r="B1841" s="130" t="s">
        <v>8487</v>
      </c>
      <c r="C1841" s="108" t="s">
        <v>8630</v>
      </c>
      <c r="D1841" s="108" t="s">
        <v>2250</v>
      </c>
      <c r="E1841" s="108" t="s">
        <v>8631</v>
      </c>
      <c r="F1841" s="131" t="s">
        <v>8490</v>
      </c>
      <c r="G1841" s="132" t="s">
        <v>8632</v>
      </c>
      <c r="H1841" s="132" t="s">
        <v>8633</v>
      </c>
      <c r="I1841" s="141" t="s">
        <v>391</v>
      </c>
      <c r="J1841" s="142" t="s">
        <v>392</v>
      </c>
      <c r="K1841" s="142" t="s">
        <v>393</v>
      </c>
      <c r="L1841" s="142" t="s">
        <v>394</v>
      </c>
      <c r="M1841" s="142" t="s">
        <v>395</v>
      </c>
      <c r="N1841" s="177" t="s">
        <v>396</v>
      </c>
      <c r="O1841" s="136"/>
      <c r="P1841" s="105"/>
      <c r="Q1841" s="137" t="s">
        <v>765</v>
      </c>
      <c r="R1841" s="138">
        <v>2</v>
      </c>
      <c r="S1841" s="105"/>
      <c r="T1841" s="105"/>
      <c r="U1841" s="105"/>
      <c r="V1841" s="137"/>
      <c r="W1841" s="138"/>
      <c r="X1841" s="152"/>
      <c r="Y1841" s="138"/>
      <c r="Z1841" s="105"/>
      <c r="AA1841" s="105"/>
      <c r="AB1841" s="105"/>
      <c r="AC1841" s="105"/>
      <c r="AD1841" s="118">
        <v>45047</v>
      </c>
      <c r="AE1841" s="108" t="s">
        <v>8493</v>
      </c>
    </row>
    <row r="1842" spans="1:31" s="65" customFormat="1" ht="27" customHeight="1" x14ac:dyDescent="0.15">
      <c r="A1842" s="105">
        <v>1112100761</v>
      </c>
      <c r="B1842" s="106" t="s">
        <v>11919</v>
      </c>
      <c r="C1842" s="107" t="s">
        <v>9708</v>
      </c>
      <c r="D1842" s="108" t="s">
        <v>2250</v>
      </c>
      <c r="E1842" s="108" t="s">
        <v>9709</v>
      </c>
      <c r="F1842" s="139" t="s">
        <v>5064</v>
      </c>
      <c r="G1842" s="140" t="s">
        <v>9710</v>
      </c>
      <c r="H1842" s="140" t="s">
        <v>9645</v>
      </c>
      <c r="I1842" s="160" t="s">
        <v>391</v>
      </c>
      <c r="J1842" s="142" t="s">
        <v>392</v>
      </c>
      <c r="K1842" s="142" t="s">
        <v>393</v>
      </c>
      <c r="L1842" s="142" t="s">
        <v>394</v>
      </c>
      <c r="M1842" s="142" t="s">
        <v>395</v>
      </c>
      <c r="N1842" s="143" t="s">
        <v>396</v>
      </c>
      <c r="O1842" s="143" t="s">
        <v>2178</v>
      </c>
      <c r="P1842" s="105"/>
      <c r="Q1842" s="137"/>
      <c r="R1842" s="138">
        <v>2</v>
      </c>
      <c r="S1842" s="105"/>
      <c r="T1842" s="105"/>
      <c r="U1842" s="105"/>
      <c r="V1842" s="137"/>
      <c r="W1842" s="117"/>
      <c r="X1842" s="137"/>
      <c r="Y1842" s="138"/>
      <c r="Z1842" s="117"/>
      <c r="AA1842" s="105"/>
      <c r="AB1842" s="105"/>
      <c r="AC1842" s="105"/>
      <c r="AD1842" s="155">
        <v>45627</v>
      </c>
      <c r="AE1842" s="108" t="s">
        <v>9711</v>
      </c>
    </row>
    <row r="1843" spans="1:31" s="65" customFormat="1" ht="27" customHeight="1" x14ac:dyDescent="0.15">
      <c r="A1843" s="105">
        <v>1112200397</v>
      </c>
      <c r="B1843" s="280" t="s">
        <v>9819</v>
      </c>
      <c r="C1843" s="130" t="s">
        <v>9820</v>
      </c>
      <c r="D1843" s="108" t="s">
        <v>77</v>
      </c>
      <c r="E1843" s="281" t="s">
        <v>9821</v>
      </c>
      <c r="F1843" s="132" t="s">
        <v>6228</v>
      </c>
      <c r="G1843" s="139" t="s">
        <v>9822</v>
      </c>
      <c r="H1843" s="139" t="s">
        <v>9823</v>
      </c>
      <c r="I1843" s="141" t="s">
        <v>391</v>
      </c>
      <c r="J1843" s="142" t="s">
        <v>392</v>
      </c>
      <c r="K1843" s="142" t="s">
        <v>393</v>
      </c>
      <c r="L1843" s="142" t="s">
        <v>394</v>
      </c>
      <c r="M1843" s="142" t="s">
        <v>395</v>
      </c>
      <c r="N1843" s="142" t="s">
        <v>396</v>
      </c>
      <c r="O1843" s="142"/>
      <c r="P1843" s="105"/>
      <c r="Q1843" s="137"/>
      <c r="R1843" s="138">
        <v>2</v>
      </c>
      <c r="S1843" s="105"/>
      <c r="T1843" s="105"/>
      <c r="U1843" s="105"/>
      <c r="V1843" s="137"/>
      <c r="W1843" s="138"/>
      <c r="X1843" s="137"/>
      <c r="Y1843" s="138"/>
      <c r="Z1843" s="105"/>
      <c r="AA1843" s="105"/>
      <c r="AB1843" s="105"/>
      <c r="AC1843" s="105"/>
      <c r="AD1843" s="155">
        <v>45383</v>
      </c>
      <c r="AE1843" s="108" t="s">
        <v>9824</v>
      </c>
    </row>
    <row r="1844" spans="1:31" s="65" customFormat="1" ht="27" customHeight="1" x14ac:dyDescent="0.15">
      <c r="A1844" s="132">
        <v>1112200405</v>
      </c>
      <c r="B1844" s="280" t="s">
        <v>5656</v>
      </c>
      <c r="C1844" s="108" t="s">
        <v>9670</v>
      </c>
      <c r="D1844" s="267" t="s">
        <v>77</v>
      </c>
      <c r="E1844" s="108" t="s">
        <v>8242</v>
      </c>
      <c r="F1844" s="264">
        <v>3530002</v>
      </c>
      <c r="G1844" s="137" t="s">
        <v>8243</v>
      </c>
      <c r="H1844" s="137" t="s">
        <v>8244</v>
      </c>
      <c r="I1844" s="141" t="s">
        <v>391</v>
      </c>
      <c r="J1844" s="142" t="s">
        <v>392</v>
      </c>
      <c r="K1844" s="142" t="s">
        <v>393</v>
      </c>
      <c r="L1844" s="142" t="s">
        <v>394</v>
      </c>
      <c r="M1844" s="142" t="s">
        <v>395</v>
      </c>
      <c r="N1844" s="143" t="s">
        <v>396</v>
      </c>
      <c r="O1844" s="138"/>
      <c r="P1844" s="105"/>
      <c r="Q1844" s="137"/>
      <c r="R1844" s="138">
        <v>2</v>
      </c>
      <c r="S1844" s="105"/>
      <c r="T1844" s="105"/>
      <c r="U1844" s="105"/>
      <c r="V1844" s="137"/>
      <c r="W1844" s="138"/>
      <c r="X1844" s="137"/>
      <c r="Y1844" s="138"/>
      <c r="Z1844" s="105"/>
      <c r="AA1844" s="105"/>
      <c r="AB1844" s="105"/>
      <c r="AC1844" s="105"/>
      <c r="AD1844" s="155">
        <v>44958</v>
      </c>
      <c r="AE1844" s="108" t="s">
        <v>8245</v>
      </c>
    </row>
    <row r="1845" spans="1:31" s="65" customFormat="1" ht="27" customHeight="1" x14ac:dyDescent="0.15">
      <c r="A1845" s="228">
        <v>1112300502</v>
      </c>
      <c r="B1845" s="130" t="s">
        <v>4585</v>
      </c>
      <c r="C1845" s="130" t="s">
        <v>5179</v>
      </c>
      <c r="D1845" s="304" t="s">
        <v>2700</v>
      </c>
      <c r="E1845" s="130" t="s">
        <v>5180</v>
      </c>
      <c r="F1845" s="131" t="s">
        <v>5181</v>
      </c>
      <c r="G1845" s="305" t="s">
        <v>5182</v>
      </c>
      <c r="H1845" s="305" t="s">
        <v>5183</v>
      </c>
      <c r="I1845" s="116" t="s">
        <v>391</v>
      </c>
      <c r="J1845" s="154" t="s">
        <v>392</v>
      </c>
      <c r="K1845" s="154" t="s">
        <v>393</v>
      </c>
      <c r="L1845" s="154" t="s">
        <v>394</v>
      </c>
      <c r="M1845" s="154" t="s">
        <v>395</v>
      </c>
      <c r="N1845" s="143" t="s">
        <v>396</v>
      </c>
      <c r="O1845" s="138" t="s">
        <v>2178</v>
      </c>
      <c r="P1845" s="305"/>
      <c r="Q1845" s="307"/>
      <c r="R1845" s="248">
        <v>1</v>
      </c>
      <c r="S1845" s="305"/>
      <c r="T1845" s="305"/>
      <c r="U1845" s="305"/>
      <c r="V1845" s="152"/>
      <c r="W1845" s="248"/>
      <c r="X1845" s="152"/>
      <c r="Y1845" s="136"/>
      <c r="Z1845" s="305"/>
      <c r="AA1845" s="305"/>
      <c r="AB1845" s="305"/>
      <c r="AC1845" s="305"/>
      <c r="AD1845" s="239">
        <v>43497</v>
      </c>
      <c r="AE1845" s="273" t="s">
        <v>5184</v>
      </c>
    </row>
    <row r="1846" spans="1:31" ht="27" customHeight="1" x14ac:dyDescent="0.15">
      <c r="A1846" s="228">
        <v>1112300528</v>
      </c>
      <c r="B1846" s="130" t="s">
        <v>5321</v>
      </c>
      <c r="C1846" s="130" t="s">
        <v>5185</v>
      </c>
      <c r="D1846" s="304" t="s">
        <v>2700</v>
      </c>
      <c r="E1846" s="130" t="s">
        <v>5186</v>
      </c>
      <c r="F1846" s="131" t="s">
        <v>5187</v>
      </c>
      <c r="G1846" s="305" t="s">
        <v>5188</v>
      </c>
      <c r="H1846" s="305" t="s">
        <v>5189</v>
      </c>
      <c r="I1846" s="116" t="s">
        <v>765</v>
      </c>
      <c r="J1846" s="154" t="s">
        <v>765</v>
      </c>
      <c r="K1846" s="154" t="s">
        <v>765</v>
      </c>
      <c r="L1846" s="154" t="s">
        <v>765</v>
      </c>
      <c r="M1846" s="154" t="s">
        <v>765</v>
      </c>
      <c r="N1846" s="143"/>
      <c r="O1846" s="138"/>
      <c r="P1846" s="305"/>
      <c r="Q1846" s="152" t="s">
        <v>49</v>
      </c>
      <c r="R1846" s="248"/>
      <c r="S1846" s="305"/>
      <c r="T1846" s="305"/>
      <c r="U1846" s="305"/>
      <c r="V1846" s="152"/>
      <c r="W1846" s="248"/>
      <c r="X1846" s="152"/>
      <c r="Y1846" s="136"/>
      <c r="Z1846" s="305"/>
      <c r="AA1846" s="305"/>
      <c r="AB1846" s="305"/>
      <c r="AC1846" s="305"/>
      <c r="AD1846" s="239">
        <v>43497</v>
      </c>
      <c r="AE1846" s="304" t="s">
        <v>5190</v>
      </c>
    </row>
    <row r="1847" spans="1:31" s="302" customFormat="1" ht="27" customHeight="1" x14ac:dyDescent="0.15">
      <c r="A1847" s="225">
        <v>1112467038</v>
      </c>
      <c r="B1847" s="291" t="s">
        <v>6952</v>
      </c>
      <c r="C1847" s="364" t="s">
        <v>6953</v>
      </c>
      <c r="D1847" s="108" t="s">
        <v>80</v>
      </c>
      <c r="E1847" s="108" t="s">
        <v>6954</v>
      </c>
      <c r="F1847" s="156" t="s">
        <v>6955</v>
      </c>
      <c r="G1847" s="159" t="s">
        <v>6956</v>
      </c>
      <c r="H1847" s="140" t="s">
        <v>6957</v>
      </c>
      <c r="I1847" s="181"/>
      <c r="J1847" s="154"/>
      <c r="K1847" s="154"/>
      <c r="L1847" s="154"/>
      <c r="M1847" s="154" t="s">
        <v>395</v>
      </c>
      <c r="N1847" s="143" t="s">
        <v>396</v>
      </c>
      <c r="O1847" s="138"/>
      <c r="P1847" s="105"/>
      <c r="Q1847" s="137" t="s">
        <v>49</v>
      </c>
      <c r="R1847" s="138"/>
      <c r="S1847" s="105"/>
      <c r="T1847" s="105"/>
      <c r="U1847" s="105"/>
      <c r="V1847" s="137"/>
      <c r="W1847" s="138"/>
      <c r="X1847" s="137"/>
      <c r="Y1847" s="138"/>
      <c r="Z1847" s="105"/>
      <c r="AA1847" s="105"/>
      <c r="AB1847" s="105"/>
      <c r="AC1847" s="105"/>
      <c r="AD1847" s="118">
        <v>44409</v>
      </c>
      <c r="AE1847" s="108" t="s">
        <v>6958</v>
      </c>
    </row>
    <row r="1848" spans="1:31" ht="27" customHeight="1" x14ac:dyDescent="0.15">
      <c r="A1848" s="225">
        <v>1112467046</v>
      </c>
      <c r="B1848" s="291" t="s">
        <v>7628</v>
      </c>
      <c r="C1848" s="364" t="s">
        <v>7629</v>
      </c>
      <c r="D1848" s="108" t="s">
        <v>78</v>
      </c>
      <c r="E1848" s="108" t="s">
        <v>7630</v>
      </c>
      <c r="F1848" s="156" t="s">
        <v>7631</v>
      </c>
      <c r="G1848" s="159" t="s">
        <v>7632</v>
      </c>
      <c r="H1848" s="140" t="s">
        <v>7632</v>
      </c>
      <c r="I1848" s="181" t="s">
        <v>765</v>
      </c>
      <c r="J1848" s="154"/>
      <c r="K1848" s="154"/>
      <c r="L1848" s="154"/>
      <c r="M1848" s="154" t="s">
        <v>765</v>
      </c>
      <c r="N1848" s="143" t="s">
        <v>765</v>
      </c>
      <c r="O1848" s="138"/>
      <c r="P1848" s="105"/>
      <c r="Q1848" s="137"/>
      <c r="R1848" s="138">
        <v>1</v>
      </c>
      <c r="S1848" s="105"/>
      <c r="T1848" s="105"/>
      <c r="U1848" s="105"/>
      <c r="V1848" s="137"/>
      <c r="W1848" s="138"/>
      <c r="X1848" s="137"/>
      <c r="Y1848" s="138"/>
      <c r="Z1848" s="105"/>
      <c r="AA1848" s="105"/>
      <c r="AB1848" s="105"/>
      <c r="AC1848" s="105"/>
      <c r="AD1848" s="118">
        <v>39448</v>
      </c>
      <c r="AE1848" s="108" t="s">
        <v>7633</v>
      </c>
    </row>
    <row r="1849" spans="1:31" s="65" customFormat="1" ht="27" customHeight="1" x14ac:dyDescent="0.15">
      <c r="A1849" s="132">
        <v>1112467095</v>
      </c>
      <c r="B1849" s="130" t="s">
        <v>11974</v>
      </c>
      <c r="C1849" s="108" t="s">
        <v>10564</v>
      </c>
      <c r="D1849" s="108" t="s">
        <v>10565</v>
      </c>
      <c r="E1849" s="108" t="s">
        <v>10566</v>
      </c>
      <c r="F1849" s="264" t="s">
        <v>10567</v>
      </c>
      <c r="G1849" s="137" t="s">
        <v>10568</v>
      </c>
      <c r="H1849" s="137"/>
      <c r="I1849" s="134" t="s">
        <v>391</v>
      </c>
      <c r="J1849" s="134" t="s">
        <v>392</v>
      </c>
      <c r="K1849" s="134" t="s">
        <v>393</v>
      </c>
      <c r="L1849" s="134" t="s">
        <v>394</v>
      </c>
      <c r="M1849" s="134" t="s">
        <v>395</v>
      </c>
      <c r="N1849" s="134" t="s">
        <v>396</v>
      </c>
      <c r="O1849" s="138" t="s">
        <v>2178</v>
      </c>
      <c r="P1849" s="105"/>
      <c r="Q1849" s="137" t="s">
        <v>765</v>
      </c>
      <c r="R1849" s="138"/>
      <c r="S1849" s="105"/>
      <c r="T1849" s="105"/>
      <c r="U1849" s="105"/>
      <c r="V1849" s="137"/>
      <c r="W1849" s="138"/>
      <c r="X1849" s="137"/>
      <c r="Y1849" s="138"/>
      <c r="Z1849" s="105"/>
      <c r="AA1849" s="105"/>
      <c r="AB1849" s="105"/>
      <c r="AC1849" s="105"/>
      <c r="AD1849" s="118">
        <v>45901</v>
      </c>
      <c r="AE1849" s="282" t="s">
        <v>10569</v>
      </c>
    </row>
    <row r="1850" spans="1:31" ht="27" customHeight="1" x14ac:dyDescent="0.15">
      <c r="A1850" s="105">
        <v>1112501042</v>
      </c>
      <c r="B1850" s="106" t="s">
        <v>2701</v>
      </c>
      <c r="C1850" s="107" t="s">
        <v>2702</v>
      </c>
      <c r="D1850" s="108" t="s">
        <v>81</v>
      </c>
      <c r="E1850" s="108" t="s">
        <v>2703</v>
      </c>
      <c r="F1850" s="139" t="s">
        <v>1887</v>
      </c>
      <c r="G1850" s="140" t="s">
        <v>2704</v>
      </c>
      <c r="H1850" s="140" t="s">
        <v>2704</v>
      </c>
      <c r="I1850" s="141"/>
      <c r="J1850" s="142"/>
      <c r="K1850" s="142" t="s">
        <v>456</v>
      </c>
      <c r="L1850" s="142"/>
      <c r="M1850" s="142" t="s">
        <v>395</v>
      </c>
      <c r="N1850" s="143"/>
      <c r="O1850" s="138"/>
      <c r="P1850" s="105"/>
      <c r="Q1850" s="137"/>
      <c r="R1850" s="138">
        <v>2</v>
      </c>
      <c r="S1850" s="105"/>
      <c r="T1850" s="105"/>
      <c r="U1850" s="105"/>
      <c r="V1850" s="137"/>
      <c r="W1850" s="138"/>
      <c r="X1850" s="137"/>
      <c r="Y1850" s="138"/>
      <c r="Z1850" s="105"/>
      <c r="AA1850" s="105"/>
      <c r="AB1850" s="105"/>
      <c r="AC1850" s="105"/>
      <c r="AD1850" s="118">
        <v>41913</v>
      </c>
      <c r="AE1850" s="108" t="s">
        <v>2705</v>
      </c>
    </row>
    <row r="1851" spans="1:31" s="302" customFormat="1" ht="27" customHeight="1" x14ac:dyDescent="0.15">
      <c r="A1851" s="105">
        <v>1112501117</v>
      </c>
      <c r="B1851" s="106" t="s">
        <v>2889</v>
      </c>
      <c r="C1851" s="107" t="s">
        <v>2890</v>
      </c>
      <c r="D1851" s="108" t="s">
        <v>81</v>
      </c>
      <c r="E1851" s="108" t="s">
        <v>2891</v>
      </c>
      <c r="F1851" s="139" t="s">
        <v>2892</v>
      </c>
      <c r="G1851" s="140" t="s">
        <v>2893</v>
      </c>
      <c r="H1851" s="140" t="s">
        <v>2893</v>
      </c>
      <c r="I1851" s="141"/>
      <c r="J1851" s="142"/>
      <c r="K1851" s="142" t="s">
        <v>456</v>
      </c>
      <c r="L1851" s="142" t="s">
        <v>477</v>
      </c>
      <c r="M1851" s="142" t="s">
        <v>395</v>
      </c>
      <c r="N1851" s="143" t="s">
        <v>396</v>
      </c>
      <c r="O1851" s="138" t="s">
        <v>2178</v>
      </c>
      <c r="P1851" s="105"/>
      <c r="Q1851" s="137"/>
      <c r="R1851" s="138">
        <v>1</v>
      </c>
      <c r="S1851" s="105"/>
      <c r="T1851" s="105"/>
      <c r="U1851" s="105"/>
      <c r="V1851" s="137"/>
      <c r="W1851" s="138"/>
      <c r="X1851" s="137"/>
      <c r="Y1851" s="138"/>
      <c r="Z1851" s="105"/>
      <c r="AA1851" s="105"/>
      <c r="AB1851" s="105"/>
      <c r="AC1851" s="105"/>
      <c r="AD1851" s="118">
        <v>42095</v>
      </c>
      <c r="AE1851" s="108" t="s">
        <v>2894</v>
      </c>
    </row>
    <row r="1852" spans="1:31" ht="27" customHeight="1" x14ac:dyDescent="0.15">
      <c r="A1852" s="105">
        <v>1112501224</v>
      </c>
      <c r="B1852" s="106" t="s">
        <v>3555</v>
      </c>
      <c r="C1852" s="107" t="s">
        <v>3556</v>
      </c>
      <c r="D1852" s="108" t="s">
        <v>81</v>
      </c>
      <c r="E1852" s="108" t="s">
        <v>3557</v>
      </c>
      <c r="F1852" s="139" t="s">
        <v>3558</v>
      </c>
      <c r="G1852" s="140" t="s">
        <v>3559</v>
      </c>
      <c r="H1852" s="140" t="s">
        <v>3560</v>
      </c>
      <c r="I1852" s="141"/>
      <c r="J1852" s="142"/>
      <c r="K1852" s="142" t="s">
        <v>456</v>
      </c>
      <c r="L1852" s="142" t="s">
        <v>477</v>
      </c>
      <c r="M1852" s="142" t="s">
        <v>395</v>
      </c>
      <c r="N1852" s="143" t="s">
        <v>396</v>
      </c>
      <c r="O1852" s="138" t="s">
        <v>2178</v>
      </c>
      <c r="P1852" s="105"/>
      <c r="Q1852" s="137" t="s">
        <v>3561</v>
      </c>
      <c r="R1852" s="138"/>
      <c r="S1852" s="105"/>
      <c r="T1852" s="105"/>
      <c r="U1852" s="105"/>
      <c r="V1852" s="137"/>
      <c r="W1852" s="138"/>
      <c r="X1852" s="137"/>
      <c r="Y1852" s="138"/>
      <c r="Z1852" s="105"/>
      <c r="AA1852" s="105"/>
      <c r="AB1852" s="105"/>
      <c r="AC1852" s="105"/>
      <c r="AD1852" s="144">
        <v>42430</v>
      </c>
      <c r="AE1852" s="108" t="s">
        <v>3562</v>
      </c>
    </row>
    <row r="1853" spans="1:31" s="65" customFormat="1" ht="27" customHeight="1" x14ac:dyDescent="0.15">
      <c r="A1853" s="105">
        <v>1112501554</v>
      </c>
      <c r="B1853" s="130" t="s">
        <v>5079</v>
      </c>
      <c r="C1853" s="108" t="s">
        <v>5080</v>
      </c>
      <c r="D1853" s="108" t="s">
        <v>81</v>
      </c>
      <c r="E1853" s="108" t="s">
        <v>5081</v>
      </c>
      <c r="F1853" s="131" t="s">
        <v>2271</v>
      </c>
      <c r="G1853" s="132" t="s">
        <v>3428</v>
      </c>
      <c r="H1853" s="132" t="s">
        <v>3429</v>
      </c>
      <c r="I1853" s="133"/>
      <c r="J1853" s="134"/>
      <c r="K1853" s="134"/>
      <c r="L1853" s="134"/>
      <c r="M1853" s="134" t="s">
        <v>765</v>
      </c>
      <c r="N1853" s="135"/>
      <c r="O1853" s="136"/>
      <c r="P1853" s="105"/>
      <c r="Q1853" s="152"/>
      <c r="R1853" s="138">
        <v>3</v>
      </c>
      <c r="S1853" s="132"/>
      <c r="T1853" s="105"/>
      <c r="U1853" s="132"/>
      <c r="V1853" s="152"/>
      <c r="W1853" s="136"/>
      <c r="X1853" s="152"/>
      <c r="Y1853" s="136"/>
      <c r="Z1853" s="132"/>
      <c r="AA1853" s="132"/>
      <c r="AB1853" s="132"/>
      <c r="AC1853" s="132"/>
      <c r="AD1853" s="155" t="s">
        <v>5087</v>
      </c>
      <c r="AE1853" s="108" t="s">
        <v>5725</v>
      </c>
    </row>
    <row r="1854" spans="1:31" ht="27" customHeight="1" x14ac:dyDescent="0.15">
      <c r="A1854" s="491">
        <v>1112502032</v>
      </c>
      <c r="B1854" s="280" t="s">
        <v>5656</v>
      </c>
      <c r="C1854" s="443" t="s">
        <v>9672</v>
      </c>
      <c r="D1854" s="340" t="s">
        <v>81</v>
      </c>
      <c r="E1854" s="443" t="s">
        <v>7888</v>
      </c>
      <c r="F1854" s="492" t="s">
        <v>7889</v>
      </c>
      <c r="G1854" s="493" t="s">
        <v>7890</v>
      </c>
      <c r="H1854" s="493" t="s">
        <v>7891</v>
      </c>
      <c r="I1854" s="141" t="s">
        <v>391</v>
      </c>
      <c r="J1854" s="142" t="s">
        <v>392</v>
      </c>
      <c r="K1854" s="142" t="s">
        <v>393</v>
      </c>
      <c r="L1854" s="142" t="s">
        <v>394</v>
      </c>
      <c r="M1854" s="142" t="s">
        <v>395</v>
      </c>
      <c r="N1854" s="143" t="s">
        <v>396</v>
      </c>
      <c r="O1854" s="138"/>
      <c r="P1854" s="105"/>
      <c r="Q1854" s="137"/>
      <c r="R1854" s="138">
        <v>2</v>
      </c>
      <c r="S1854" s="105"/>
      <c r="T1854" s="105"/>
      <c r="U1854" s="105"/>
      <c r="V1854" s="137"/>
      <c r="W1854" s="138"/>
      <c r="X1854" s="137"/>
      <c r="Y1854" s="138"/>
      <c r="Z1854" s="105"/>
      <c r="AA1854" s="105"/>
      <c r="AB1854" s="105"/>
      <c r="AC1854" s="105"/>
      <c r="AD1854" s="155">
        <v>44774</v>
      </c>
      <c r="AE1854" s="108" t="s">
        <v>8067</v>
      </c>
    </row>
    <row r="1855" spans="1:31" ht="27" customHeight="1" x14ac:dyDescent="0.15">
      <c r="A1855" s="105">
        <v>1112502040</v>
      </c>
      <c r="B1855" s="130" t="s">
        <v>5457</v>
      </c>
      <c r="C1855" s="130" t="s">
        <v>9671</v>
      </c>
      <c r="D1855" s="108" t="s">
        <v>81</v>
      </c>
      <c r="E1855" s="281" t="s">
        <v>6172</v>
      </c>
      <c r="F1855" s="132" t="s">
        <v>1887</v>
      </c>
      <c r="G1855" s="139" t="s">
        <v>6173</v>
      </c>
      <c r="H1855" s="139" t="s">
        <v>6174</v>
      </c>
      <c r="I1855" s="141" t="s">
        <v>391</v>
      </c>
      <c r="J1855" s="142" t="s">
        <v>392</v>
      </c>
      <c r="K1855" s="142" t="s">
        <v>393</v>
      </c>
      <c r="L1855" s="142" t="s">
        <v>394</v>
      </c>
      <c r="M1855" s="142" t="s">
        <v>395</v>
      </c>
      <c r="N1855" s="142" t="s">
        <v>396</v>
      </c>
      <c r="O1855" s="142"/>
      <c r="P1855" s="105"/>
      <c r="Q1855" s="137"/>
      <c r="R1855" s="138">
        <v>2</v>
      </c>
      <c r="S1855" s="105"/>
      <c r="T1855" s="105"/>
      <c r="U1855" s="105"/>
      <c r="V1855" s="137"/>
      <c r="W1855" s="138"/>
      <c r="X1855" s="137"/>
      <c r="Y1855" s="138"/>
      <c r="Z1855" s="105"/>
      <c r="AA1855" s="105"/>
      <c r="AB1855" s="105"/>
      <c r="AC1855" s="105"/>
      <c r="AD1855" s="155">
        <v>44013</v>
      </c>
      <c r="AE1855" s="108" t="s">
        <v>6175</v>
      </c>
    </row>
    <row r="1856" spans="1:31" s="523" customFormat="1" ht="27" customHeight="1" x14ac:dyDescent="0.15">
      <c r="A1856" s="105">
        <v>1112502073</v>
      </c>
      <c r="B1856" s="106" t="s">
        <v>10134</v>
      </c>
      <c r="C1856" s="107" t="s">
        <v>10135</v>
      </c>
      <c r="D1856" s="108" t="s">
        <v>81</v>
      </c>
      <c r="E1856" s="108" t="s">
        <v>10136</v>
      </c>
      <c r="F1856" s="139" t="s">
        <v>10137</v>
      </c>
      <c r="G1856" s="140" t="s">
        <v>10138</v>
      </c>
      <c r="H1856" s="140" t="s">
        <v>10139</v>
      </c>
      <c r="I1856" s="160" t="s">
        <v>765</v>
      </c>
      <c r="J1856" s="142" t="s">
        <v>765</v>
      </c>
      <c r="K1856" s="142" t="s">
        <v>765</v>
      </c>
      <c r="L1856" s="142" t="s">
        <v>765</v>
      </c>
      <c r="M1856" s="142" t="s">
        <v>765</v>
      </c>
      <c r="N1856" s="143" t="s">
        <v>765</v>
      </c>
      <c r="O1856" s="138" t="s">
        <v>765</v>
      </c>
      <c r="P1856" s="105"/>
      <c r="Q1856" s="137"/>
      <c r="R1856" s="138">
        <v>1</v>
      </c>
      <c r="S1856" s="105"/>
      <c r="T1856" s="105"/>
      <c r="U1856" s="105"/>
      <c r="V1856" s="137"/>
      <c r="W1856" s="138"/>
      <c r="X1856" s="137"/>
      <c r="Y1856" s="138"/>
      <c r="Z1856" s="105"/>
      <c r="AA1856" s="105"/>
      <c r="AB1856" s="105"/>
      <c r="AC1856" s="105"/>
      <c r="AD1856" s="155">
        <v>45748</v>
      </c>
      <c r="AE1856" s="108" t="s">
        <v>10140</v>
      </c>
    </row>
    <row r="1857" spans="1:157" ht="27" customHeight="1" x14ac:dyDescent="0.15">
      <c r="A1857" s="524">
        <v>1112600174</v>
      </c>
      <c r="B1857" s="525" t="s">
        <v>2604</v>
      </c>
      <c r="C1857" s="525" t="s">
        <v>2605</v>
      </c>
      <c r="D1857" s="526" t="s">
        <v>82</v>
      </c>
      <c r="E1857" s="525" t="s">
        <v>2606</v>
      </c>
      <c r="F1857" s="527">
        <v>3570013</v>
      </c>
      <c r="G1857" s="528" t="s">
        <v>2607</v>
      </c>
      <c r="H1857" s="528" t="s">
        <v>2608</v>
      </c>
      <c r="I1857" s="567"/>
      <c r="J1857" s="578"/>
      <c r="K1857" s="578" t="s">
        <v>456</v>
      </c>
      <c r="L1857" s="578" t="s">
        <v>477</v>
      </c>
      <c r="M1857" s="578" t="s">
        <v>395</v>
      </c>
      <c r="N1857" s="579"/>
      <c r="O1857" s="566"/>
      <c r="P1857" s="528"/>
      <c r="Q1857" s="535"/>
      <c r="R1857" s="536">
        <v>4</v>
      </c>
      <c r="S1857" s="528"/>
      <c r="T1857" s="528"/>
      <c r="U1857" s="528"/>
      <c r="V1857" s="535"/>
      <c r="W1857" s="536"/>
      <c r="X1857" s="535"/>
      <c r="Y1857" s="532"/>
      <c r="Z1857" s="528"/>
      <c r="AA1857" s="528"/>
      <c r="AB1857" s="528"/>
      <c r="AC1857" s="528"/>
      <c r="AD1857" s="537">
        <v>41760</v>
      </c>
      <c r="AE1857" s="610" t="s">
        <v>12295</v>
      </c>
    </row>
    <row r="1858" spans="1:157" s="218" customFormat="1" ht="28.5" customHeight="1" x14ac:dyDescent="0.15">
      <c r="A1858" s="132">
        <v>1112600505</v>
      </c>
      <c r="B1858" s="130" t="s">
        <v>11681</v>
      </c>
      <c r="C1858" s="108" t="s">
        <v>8427</v>
      </c>
      <c r="D1858" s="108" t="s">
        <v>337</v>
      </c>
      <c r="E1858" s="108" t="s">
        <v>8428</v>
      </c>
      <c r="F1858" s="264" t="s">
        <v>8429</v>
      </c>
      <c r="G1858" s="137" t="s">
        <v>8430</v>
      </c>
      <c r="H1858" s="137" t="s">
        <v>8430</v>
      </c>
      <c r="I1858" s="141"/>
      <c r="J1858" s="142"/>
      <c r="K1858" s="142"/>
      <c r="L1858" s="142"/>
      <c r="M1858" s="142" t="s">
        <v>395</v>
      </c>
      <c r="N1858" s="143" t="s">
        <v>396</v>
      </c>
      <c r="O1858" s="138"/>
      <c r="P1858" s="105"/>
      <c r="Q1858" s="137"/>
      <c r="R1858" s="138">
        <v>1</v>
      </c>
      <c r="S1858" s="105"/>
      <c r="T1858" s="105"/>
      <c r="U1858" s="105"/>
      <c r="V1858" s="137"/>
      <c r="W1858" s="138"/>
      <c r="X1858" s="137"/>
      <c r="Y1858" s="138"/>
      <c r="Z1858" s="105"/>
      <c r="AA1858" s="105"/>
      <c r="AB1858" s="105"/>
      <c r="AC1858" s="105"/>
      <c r="AD1858" s="155">
        <v>44713</v>
      </c>
      <c r="AE1858" s="108" t="s">
        <v>8431</v>
      </c>
    </row>
    <row r="1859" spans="1:157" ht="27" customHeight="1" x14ac:dyDescent="0.15">
      <c r="A1859" s="494">
        <v>1112600547</v>
      </c>
      <c r="B1859" s="204" t="s">
        <v>7837</v>
      </c>
      <c r="C1859" s="204" t="s">
        <v>7838</v>
      </c>
      <c r="D1859" s="162" t="s">
        <v>82</v>
      </c>
      <c r="E1859" s="204" t="s">
        <v>7839</v>
      </c>
      <c r="F1859" s="268" t="s">
        <v>7840</v>
      </c>
      <c r="G1859" s="203" t="s">
        <v>7841</v>
      </c>
      <c r="H1859" s="203" t="s">
        <v>7842</v>
      </c>
      <c r="I1859" s="133"/>
      <c r="J1859" s="154"/>
      <c r="K1859" s="154"/>
      <c r="L1859" s="154"/>
      <c r="M1859" s="154" t="s">
        <v>395</v>
      </c>
      <c r="N1859" s="143" t="s">
        <v>396</v>
      </c>
      <c r="O1859" s="138"/>
      <c r="P1859" s="203"/>
      <c r="Q1859" s="363" t="s">
        <v>2610</v>
      </c>
      <c r="R1859" s="495"/>
      <c r="S1859" s="203"/>
      <c r="T1859" s="203"/>
      <c r="U1859" s="203"/>
      <c r="V1859" s="363"/>
      <c r="W1859" s="495"/>
      <c r="X1859" s="363"/>
      <c r="Y1859" s="360"/>
      <c r="Z1859" s="203"/>
      <c r="AA1859" s="203"/>
      <c r="AB1859" s="203"/>
      <c r="AC1859" s="203"/>
      <c r="AD1859" s="496">
        <v>44805</v>
      </c>
      <c r="AE1859" s="497" t="s">
        <v>7843</v>
      </c>
    </row>
    <row r="1860" spans="1:157" ht="27" customHeight="1" x14ac:dyDescent="0.15">
      <c r="A1860" s="105">
        <v>1112600588</v>
      </c>
      <c r="B1860" s="280" t="s">
        <v>5656</v>
      </c>
      <c r="C1860" s="130" t="s">
        <v>8475</v>
      </c>
      <c r="D1860" s="108" t="s">
        <v>8476</v>
      </c>
      <c r="E1860" s="281" t="s">
        <v>8477</v>
      </c>
      <c r="F1860" s="132" t="s">
        <v>3655</v>
      </c>
      <c r="G1860" s="139" t="s">
        <v>8478</v>
      </c>
      <c r="H1860" s="139" t="s">
        <v>8479</v>
      </c>
      <c r="I1860" s="141" t="s">
        <v>391</v>
      </c>
      <c r="J1860" s="142" t="s">
        <v>392</v>
      </c>
      <c r="K1860" s="142" t="s">
        <v>393</v>
      </c>
      <c r="L1860" s="142" t="s">
        <v>394</v>
      </c>
      <c r="M1860" s="142" t="s">
        <v>395</v>
      </c>
      <c r="N1860" s="142" t="s">
        <v>396</v>
      </c>
      <c r="O1860" s="142"/>
      <c r="P1860" s="105"/>
      <c r="Q1860" s="137"/>
      <c r="R1860" s="138">
        <v>2</v>
      </c>
      <c r="S1860" s="105"/>
      <c r="T1860" s="105"/>
      <c r="U1860" s="105"/>
      <c r="V1860" s="137"/>
      <c r="W1860" s="138"/>
      <c r="X1860" s="137"/>
      <c r="Y1860" s="138"/>
      <c r="Z1860" s="105"/>
      <c r="AA1860" s="105"/>
      <c r="AB1860" s="105"/>
      <c r="AC1860" s="105"/>
      <c r="AD1860" s="155">
        <v>45108</v>
      </c>
      <c r="AE1860" s="108"/>
    </row>
    <row r="1861" spans="1:157" ht="28.5" customHeight="1" x14ac:dyDescent="0.15">
      <c r="A1861" s="132">
        <v>1112600596</v>
      </c>
      <c r="B1861" s="130" t="s">
        <v>10338</v>
      </c>
      <c r="C1861" s="108" t="s">
        <v>10339</v>
      </c>
      <c r="D1861" s="108" t="s">
        <v>8476</v>
      </c>
      <c r="E1861" s="108" t="s">
        <v>10340</v>
      </c>
      <c r="F1861" s="264" t="s">
        <v>10341</v>
      </c>
      <c r="G1861" s="137" t="s">
        <v>10342</v>
      </c>
      <c r="H1861" s="137" t="s">
        <v>10343</v>
      </c>
      <c r="I1861" s="141"/>
      <c r="J1861" s="142"/>
      <c r="K1861" s="142" t="s">
        <v>456</v>
      </c>
      <c r="L1861" s="142"/>
      <c r="M1861" s="142" t="s">
        <v>395</v>
      </c>
      <c r="N1861" s="143" t="s">
        <v>396</v>
      </c>
      <c r="O1861" s="92"/>
      <c r="P1861" s="105"/>
      <c r="Q1861" s="137"/>
      <c r="R1861" s="138">
        <v>6</v>
      </c>
      <c r="S1861" s="105"/>
      <c r="T1861" s="105"/>
      <c r="U1861" s="105"/>
      <c r="V1861" s="137"/>
      <c r="W1861" s="138"/>
      <c r="X1861" s="137"/>
      <c r="Y1861" s="138"/>
      <c r="Z1861" s="105"/>
      <c r="AA1861" s="105"/>
      <c r="AB1861" s="105"/>
      <c r="AC1861" s="105"/>
      <c r="AD1861" s="118">
        <v>45809</v>
      </c>
      <c r="AE1861" s="108" t="s">
        <v>10344</v>
      </c>
    </row>
    <row r="1862" spans="1:157" s="302" customFormat="1" ht="27" customHeight="1" x14ac:dyDescent="0.15">
      <c r="A1862" s="105">
        <v>1112700479</v>
      </c>
      <c r="B1862" s="106" t="s">
        <v>3207</v>
      </c>
      <c r="C1862" s="107" t="s">
        <v>3208</v>
      </c>
      <c r="D1862" s="108" t="s">
        <v>3209</v>
      </c>
      <c r="E1862" s="108" t="s">
        <v>3210</v>
      </c>
      <c r="F1862" s="139" t="s">
        <v>3211</v>
      </c>
      <c r="G1862" s="140" t="s">
        <v>3212</v>
      </c>
      <c r="H1862" s="140" t="s">
        <v>3213</v>
      </c>
      <c r="I1862" s="141"/>
      <c r="J1862" s="142"/>
      <c r="K1862" s="142" t="s">
        <v>456</v>
      </c>
      <c r="L1862" s="142" t="s">
        <v>477</v>
      </c>
      <c r="M1862" s="142" t="s">
        <v>395</v>
      </c>
      <c r="N1862" s="143" t="s">
        <v>396</v>
      </c>
      <c r="O1862" s="138" t="s">
        <v>2178</v>
      </c>
      <c r="P1862" s="105"/>
      <c r="Q1862" s="137" t="s">
        <v>456</v>
      </c>
      <c r="R1862" s="138">
        <v>1</v>
      </c>
      <c r="S1862" s="105"/>
      <c r="T1862" s="105"/>
      <c r="U1862" s="105"/>
      <c r="V1862" s="137"/>
      <c r="W1862" s="138"/>
      <c r="X1862" s="137"/>
      <c r="Y1862" s="138"/>
      <c r="Z1862" s="105"/>
      <c r="AA1862" s="105"/>
      <c r="AB1862" s="105"/>
      <c r="AC1862" s="105"/>
      <c r="AD1862" s="144">
        <v>42339</v>
      </c>
      <c r="AE1862" s="108" t="s">
        <v>3214</v>
      </c>
    </row>
    <row r="1863" spans="1:157" s="65" customFormat="1" ht="27" customHeight="1" x14ac:dyDescent="0.15">
      <c r="A1863" s="105">
        <v>1112700610</v>
      </c>
      <c r="B1863" s="130" t="s">
        <v>6358</v>
      </c>
      <c r="C1863" s="108" t="s">
        <v>6530</v>
      </c>
      <c r="D1863" s="108" t="s">
        <v>83</v>
      </c>
      <c r="E1863" s="108" t="s">
        <v>6359</v>
      </c>
      <c r="F1863" s="131" t="s">
        <v>6360</v>
      </c>
      <c r="G1863" s="132" t="s">
        <v>6361</v>
      </c>
      <c r="H1863" s="132" t="s">
        <v>6362</v>
      </c>
      <c r="I1863" s="133"/>
      <c r="J1863" s="134"/>
      <c r="K1863" s="134"/>
      <c r="L1863" s="134"/>
      <c r="M1863" s="134" t="s">
        <v>395</v>
      </c>
      <c r="N1863" s="135"/>
      <c r="O1863" s="136"/>
      <c r="P1863" s="105"/>
      <c r="Q1863" s="137"/>
      <c r="R1863" s="138">
        <v>18</v>
      </c>
      <c r="S1863" s="105"/>
      <c r="T1863" s="105"/>
      <c r="U1863" s="105"/>
      <c r="V1863" s="137"/>
      <c r="W1863" s="138"/>
      <c r="X1863" s="152"/>
      <c r="Y1863" s="138"/>
      <c r="Z1863" s="105"/>
      <c r="AA1863" s="105"/>
      <c r="AB1863" s="105"/>
      <c r="AC1863" s="105"/>
      <c r="AD1863" s="118">
        <v>44136</v>
      </c>
      <c r="AE1863" s="108" t="s">
        <v>6363</v>
      </c>
    </row>
    <row r="1864" spans="1:157" s="302" customFormat="1" ht="27" customHeight="1" x14ac:dyDescent="0.15">
      <c r="A1864" s="81">
        <v>1112700768</v>
      </c>
      <c r="B1864" s="296" t="s">
        <v>11919</v>
      </c>
      <c r="C1864" s="296" t="s">
        <v>9706</v>
      </c>
      <c r="D1864" s="84" t="s">
        <v>83</v>
      </c>
      <c r="E1864" s="297" t="s">
        <v>9642</v>
      </c>
      <c r="F1864" s="77" t="s">
        <v>9643</v>
      </c>
      <c r="G1864" s="298" t="s">
        <v>9644</v>
      </c>
      <c r="H1864" s="298" t="s">
        <v>9645</v>
      </c>
      <c r="I1864" s="299" t="s">
        <v>391</v>
      </c>
      <c r="J1864" s="300" t="s">
        <v>392</v>
      </c>
      <c r="K1864" s="300" t="s">
        <v>393</v>
      </c>
      <c r="L1864" s="300" t="s">
        <v>394</v>
      </c>
      <c r="M1864" s="300" t="s">
        <v>395</v>
      </c>
      <c r="N1864" s="300" t="s">
        <v>396</v>
      </c>
      <c r="O1864" s="300" t="s">
        <v>2178</v>
      </c>
      <c r="P1864" s="81"/>
      <c r="Q1864" s="220"/>
      <c r="R1864" s="89">
        <v>2</v>
      </c>
      <c r="S1864" s="81"/>
      <c r="T1864" s="81"/>
      <c r="U1864" s="81"/>
      <c r="V1864" s="220"/>
      <c r="W1864" s="89"/>
      <c r="X1864" s="220"/>
      <c r="Y1864" s="89"/>
      <c r="Z1864" s="81"/>
      <c r="AA1864" s="81"/>
      <c r="AB1864" s="81"/>
      <c r="AC1864" s="81"/>
      <c r="AD1864" s="301">
        <v>45597</v>
      </c>
      <c r="AE1864" s="84" t="s">
        <v>9646</v>
      </c>
    </row>
    <row r="1865" spans="1:157" ht="27" customHeight="1" x14ac:dyDescent="0.15">
      <c r="A1865" s="105">
        <v>1112800774</v>
      </c>
      <c r="B1865" s="280" t="s">
        <v>5656</v>
      </c>
      <c r="C1865" s="130" t="s">
        <v>9674</v>
      </c>
      <c r="D1865" s="108" t="s">
        <v>84</v>
      </c>
      <c r="E1865" s="281" t="s">
        <v>6531</v>
      </c>
      <c r="F1865" s="132" t="s">
        <v>6532</v>
      </c>
      <c r="G1865" s="139" t="s">
        <v>6533</v>
      </c>
      <c r="H1865" s="139" t="s">
        <v>6534</v>
      </c>
      <c r="I1865" s="141" t="s">
        <v>391</v>
      </c>
      <c r="J1865" s="142" t="s">
        <v>392</v>
      </c>
      <c r="K1865" s="142" t="s">
        <v>393</v>
      </c>
      <c r="L1865" s="142" t="s">
        <v>394</v>
      </c>
      <c r="M1865" s="142" t="s">
        <v>395</v>
      </c>
      <c r="N1865" s="142" t="s">
        <v>396</v>
      </c>
      <c r="O1865" s="142"/>
      <c r="P1865" s="105"/>
      <c r="Q1865" s="137"/>
      <c r="R1865" s="138">
        <v>1</v>
      </c>
      <c r="S1865" s="105"/>
      <c r="T1865" s="105"/>
      <c r="U1865" s="105"/>
      <c r="V1865" s="137"/>
      <c r="W1865" s="138"/>
      <c r="X1865" s="137"/>
      <c r="Y1865" s="138"/>
      <c r="Z1865" s="105"/>
      <c r="AA1865" s="105"/>
      <c r="AB1865" s="105"/>
      <c r="AC1865" s="105"/>
      <c r="AD1865" s="144">
        <v>44228</v>
      </c>
      <c r="AE1865" s="108" t="s">
        <v>6535</v>
      </c>
    </row>
    <row r="1866" spans="1:157" s="65" customFormat="1" ht="27" customHeight="1" x14ac:dyDescent="0.15">
      <c r="A1866" s="105">
        <v>1112700776</v>
      </c>
      <c r="B1866" s="280" t="s">
        <v>5656</v>
      </c>
      <c r="C1866" s="130" t="s">
        <v>9673</v>
      </c>
      <c r="D1866" s="108" t="s">
        <v>83</v>
      </c>
      <c r="E1866" s="281" t="s">
        <v>5726</v>
      </c>
      <c r="F1866" s="132" t="s">
        <v>5643</v>
      </c>
      <c r="G1866" s="139" t="s">
        <v>5644</v>
      </c>
      <c r="H1866" s="139" t="s">
        <v>5645</v>
      </c>
      <c r="I1866" s="141" t="s">
        <v>391</v>
      </c>
      <c r="J1866" s="142" t="s">
        <v>392</v>
      </c>
      <c r="K1866" s="142" t="s">
        <v>393</v>
      </c>
      <c r="L1866" s="142" t="s">
        <v>394</v>
      </c>
      <c r="M1866" s="142" t="s">
        <v>395</v>
      </c>
      <c r="N1866" s="142" t="s">
        <v>396</v>
      </c>
      <c r="O1866" s="142"/>
      <c r="P1866" s="105"/>
      <c r="Q1866" s="137"/>
      <c r="R1866" s="138">
        <v>1</v>
      </c>
      <c r="S1866" s="105"/>
      <c r="T1866" s="105"/>
      <c r="U1866" s="105"/>
      <c r="V1866" s="137"/>
      <c r="W1866" s="138"/>
      <c r="X1866" s="137"/>
      <c r="Y1866" s="138"/>
      <c r="Z1866" s="105"/>
      <c r="AA1866" s="105"/>
      <c r="AB1866" s="105"/>
      <c r="AC1866" s="105"/>
      <c r="AD1866" s="155">
        <v>43922</v>
      </c>
      <c r="AE1866" s="108" t="s">
        <v>5646</v>
      </c>
    </row>
    <row r="1867" spans="1:157" s="65" customFormat="1" ht="27" customHeight="1" x14ac:dyDescent="0.15">
      <c r="A1867" s="105">
        <v>1112800881</v>
      </c>
      <c r="B1867" s="106" t="s">
        <v>11975</v>
      </c>
      <c r="C1867" s="106" t="s">
        <v>11112</v>
      </c>
      <c r="D1867" s="108" t="s">
        <v>84</v>
      </c>
      <c r="E1867" s="108" t="s">
        <v>11113</v>
      </c>
      <c r="F1867" s="139" t="s">
        <v>11114</v>
      </c>
      <c r="G1867" s="140" t="s">
        <v>11115</v>
      </c>
      <c r="H1867" s="140" t="s">
        <v>11116</v>
      </c>
      <c r="I1867" s="141"/>
      <c r="J1867" s="142"/>
      <c r="K1867" s="142"/>
      <c r="L1867" s="142"/>
      <c r="M1867" s="142" t="s">
        <v>10951</v>
      </c>
      <c r="N1867" s="143" t="s">
        <v>10951</v>
      </c>
      <c r="O1867" s="138"/>
      <c r="P1867" s="105"/>
      <c r="Q1867" s="137" t="s">
        <v>10951</v>
      </c>
      <c r="R1867" s="138"/>
      <c r="S1867" s="105"/>
      <c r="T1867" s="105"/>
      <c r="U1867" s="105"/>
      <c r="V1867" s="137"/>
      <c r="W1867" s="138"/>
      <c r="X1867" s="137"/>
      <c r="Y1867" s="138"/>
      <c r="Z1867" s="105"/>
      <c r="AA1867" s="105"/>
      <c r="AB1867" s="105"/>
      <c r="AC1867" s="105"/>
      <c r="AD1867" s="144">
        <v>46054</v>
      </c>
      <c r="AE1867" s="108"/>
      <c r="AU1867" s="229"/>
      <c r="AV1867" s="229"/>
      <c r="AW1867" s="229"/>
      <c r="AX1867" s="229"/>
      <c r="AY1867" s="229"/>
      <c r="AZ1867" s="229"/>
      <c r="BA1867" s="229"/>
      <c r="BB1867" s="229"/>
      <c r="BC1867" s="229"/>
      <c r="BD1867" s="229"/>
      <c r="BE1867" s="229"/>
      <c r="BF1867" s="229"/>
      <c r="BG1867" s="229"/>
      <c r="BH1867" s="229"/>
      <c r="BI1867" s="229"/>
      <c r="BJ1867" s="229"/>
      <c r="BK1867" s="229"/>
      <c r="BL1867" s="229"/>
      <c r="BM1867" s="229"/>
      <c r="BN1867" s="229"/>
      <c r="BO1867" s="229"/>
      <c r="BP1867" s="229"/>
      <c r="BQ1867" s="229"/>
      <c r="BR1867" s="229"/>
      <c r="BS1867" s="229"/>
      <c r="BT1867" s="229"/>
      <c r="BU1867" s="229"/>
      <c r="BV1867" s="229"/>
      <c r="BW1867" s="229"/>
      <c r="BX1867" s="229"/>
      <c r="BY1867" s="229"/>
      <c r="BZ1867" s="229"/>
      <c r="CA1867" s="229"/>
      <c r="CB1867" s="229"/>
      <c r="CC1867" s="229"/>
      <c r="CD1867" s="229"/>
      <c r="CE1867" s="229"/>
      <c r="CF1867" s="229"/>
      <c r="CG1867" s="229"/>
      <c r="CH1867" s="229"/>
      <c r="CI1867" s="229"/>
      <c r="CJ1867" s="229"/>
      <c r="CK1867" s="229"/>
      <c r="CL1867" s="229"/>
      <c r="CM1867" s="229"/>
      <c r="CN1867" s="229"/>
      <c r="CO1867" s="229"/>
      <c r="CP1867" s="229"/>
      <c r="CQ1867" s="229"/>
      <c r="CR1867" s="229"/>
      <c r="CS1867" s="229"/>
      <c r="CT1867" s="229"/>
      <c r="CU1867" s="229"/>
      <c r="CV1867" s="229"/>
      <c r="CW1867" s="229"/>
      <c r="CX1867" s="229"/>
      <c r="CY1867" s="229"/>
      <c r="CZ1867" s="229"/>
      <c r="DA1867" s="229"/>
      <c r="DB1867" s="229"/>
      <c r="DC1867" s="229"/>
      <c r="DD1867" s="229"/>
      <c r="DE1867" s="229"/>
      <c r="DF1867" s="229"/>
      <c r="DG1867" s="229"/>
      <c r="DH1867" s="229"/>
      <c r="DI1867" s="229"/>
      <c r="DJ1867" s="229"/>
      <c r="DK1867" s="229"/>
      <c r="DL1867" s="229"/>
      <c r="DM1867" s="229"/>
      <c r="DN1867" s="229"/>
      <c r="DO1867" s="229"/>
      <c r="DP1867" s="229"/>
      <c r="DQ1867" s="229"/>
      <c r="DR1867" s="229"/>
      <c r="DS1867" s="229"/>
      <c r="DT1867" s="229"/>
      <c r="DU1867" s="229"/>
      <c r="DV1867" s="229"/>
      <c r="DW1867" s="229"/>
      <c r="DX1867" s="229"/>
      <c r="DY1867" s="229"/>
      <c r="DZ1867" s="229"/>
      <c r="EA1867" s="229"/>
      <c r="EB1867" s="229"/>
      <c r="EC1867" s="229"/>
      <c r="ED1867" s="229"/>
      <c r="EE1867" s="229"/>
      <c r="EF1867" s="229"/>
      <c r="EG1867" s="229"/>
      <c r="EH1867" s="229"/>
      <c r="EI1867" s="229"/>
      <c r="EJ1867" s="229"/>
      <c r="EK1867" s="229"/>
      <c r="EL1867" s="229"/>
      <c r="EM1867" s="229"/>
      <c r="EN1867" s="229"/>
      <c r="EO1867" s="229"/>
      <c r="EP1867" s="229"/>
      <c r="EQ1867" s="229"/>
      <c r="ER1867" s="229"/>
      <c r="ES1867" s="229"/>
      <c r="ET1867" s="229"/>
      <c r="EU1867" s="229"/>
      <c r="EV1867" s="229"/>
      <c r="EW1867" s="229"/>
      <c r="EX1867" s="229"/>
      <c r="EY1867" s="229"/>
      <c r="EZ1867" s="229"/>
      <c r="FA1867" s="229"/>
    </row>
    <row r="1868" spans="1:157" s="302" customFormat="1" ht="27" customHeight="1" x14ac:dyDescent="0.15">
      <c r="A1868" s="228">
        <v>1112900350</v>
      </c>
      <c r="B1868" s="130" t="s">
        <v>3610</v>
      </c>
      <c r="C1868" s="130" t="s">
        <v>3611</v>
      </c>
      <c r="D1868" s="108" t="s">
        <v>85</v>
      </c>
      <c r="E1868" s="130" t="s">
        <v>3612</v>
      </c>
      <c r="F1868" s="131" t="s">
        <v>3613</v>
      </c>
      <c r="G1868" s="132" t="s">
        <v>3614</v>
      </c>
      <c r="H1868" s="132" t="s">
        <v>3615</v>
      </c>
      <c r="I1868" s="133"/>
      <c r="J1868" s="134"/>
      <c r="K1868" s="154"/>
      <c r="L1868" s="142" t="s">
        <v>477</v>
      </c>
      <c r="M1868" s="142" t="s">
        <v>395</v>
      </c>
      <c r="N1868" s="143" t="s">
        <v>396</v>
      </c>
      <c r="O1868" s="138" t="s">
        <v>2178</v>
      </c>
      <c r="P1868" s="132"/>
      <c r="Q1868" s="272" t="s">
        <v>3616</v>
      </c>
      <c r="R1868" s="248"/>
      <c r="S1868" s="132"/>
      <c r="T1868" s="132"/>
      <c r="U1868" s="132"/>
      <c r="V1868" s="152"/>
      <c r="W1868" s="248"/>
      <c r="X1868" s="152"/>
      <c r="Y1868" s="136"/>
      <c r="Z1868" s="132"/>
      <c r="AA1868" s="132"/>
      <c r="AB1868" s="132"/>
      <c r="AC1868" s="132"/>
      <c r="AD1868" s="239">
        <v>42675</v>
      </c>
      <c r="AE1868" s="273" t="s">
        <v>3617</v>
      </c>
    </row>
    <row r="1869" spans="1:157" ht="27" customHeight="1" x14ac:dyDescent="0.15">
      <c r="A1869" s="105">
        <v>1112900558</v>
      </c>
      <c r="B1869" s="130" t="s">
        <v>11682</v>
      </c>
      <c r="C1869" s="157" t="s">
        <v>7753</v>
      </c>
      <c r="D1869" s="108" t="s">
        <v>85</v>
      </c>
      <c r="E1869" s="108" t="s">
        <v>7754</v>
      </c>
      <c r="F1869" s="264" t="s">
        <v>7755</v>
      </c>
      <c r="G1869" s="105" t="s">
        <v>7756</v>
      </c>
      <c r="H1869" s="105" t="s">
        <v>7757</v>
      </c>
      <c r="I1869" s="141"/>
      <c r="J1869" s="142"/>
      <c r="K1869" s="142"/>
      <c r="L1869" s="142"/>
      <c r="M1869" s="134" t="s">
        <v>765</v>
      </c>
      <c r="N1869" s="135" t="s">
        <v>765</v>
      </c>
      <c r="O1869" s="138"/>
      <c r="P1869" s="105"/>
      <c r="Q1869" s="137"/>
      <c r="R1869" s="138">
        <v>1</v>
      </c>
      <c r="S1869" s="105"/>
      <c r="T1869" s="105"/>
      <c r="U1869" s="105"/>
      <c r="V1869" s="137"/>
      <c r="W1869" s="138"/>
      <c r="X1869" s="137"/>
      <c r="Y1869" s="138"/>
      <c r="Z1869" s="105"/>
      <c r="AA1869" s="105"/>
      <c r="AB1869" s="105"/>
      <c r="AC1869" s="105"/>
      <c r="AD1869" s="155">
        <v>44774</v>
      </c>
      <c r="AE1869" s="108" t="s">
        <v>7758</v>
      </c>
    </row>
    <row r="1870" spans="1:157" ht="27" customHeight="1" x14ac:dyDescent="0.15">
      <c r="A1870" s="105">
        <v>1112900608</v>
      </c>
      <c r="B1870" s="280" t="s">
        <v>5656</v>
      </c>
      <c r="C1870" s="130" t="s">
        <v>9675</v>
      </c>
      <c r="D1870" s="108" t="s">
        <v>85</v>
      </c>
      <c r="E1870" s="281" t="s">
        <v>6246</v>
      </c>
      <c r="F1870" s="132" t="s">
        <v>6247</v>
      </c>
      <c r="G1870" s="139" t="s">
        <v>6248</v>
      </c>
      <c r="H1870" s="139" t="s">
        <v>6249</v>
      </c>
      <c r="I1870" s="141" t="s">
        <v>391</v>
      </c>
      <c r="J1870" s="142" t="s">
        <v>392</v>
      </c>
      <c r="K1870" s="142" t="s">
        <v>393</v>
      </c>
      <c r="L1870" s="142" t="s">
        <v>394</v>
      </c>
      <c r="M1870" s="142" t="s">
        <v>395</v>
      </c>
      <c r="N1870" s="142" t="s">
        <v>396</v>
      </c>
      <c r="O1870" s="142"/>
      <c r="P1870" s="105"/>
      <c r="Q1870" s="137"/>
      <c r="R1870" s="138">
        <v>1</v>
      </c>
      <c r="S1870" s="105"/>
      <c r="T1870" s="105"/>
      <c r="U1870" s="105"/>
      <c r="V1870" s="137"/>
      <c r="W1870" s="138"/>
      <c r="X1870" s="137"/>
      <c r="Y1870" s="138"/>
      <c r="Z1870" s="105"/>
      <c r="AA1870" s="105"/>
      <c r="AB1870" s="105"/>
      <c r="AC1870" s="105"/>
      <c r="AD1870" s="155">
        <v>44075</v>
      </c>
      <c r="AE1870" s="108" t="s">
        <v>6250</v>
      </c>
    </row>
    <row r="1871" spans="1:157" ht="27" customHeight="1" x14ac:dyDescent="0.15">
      <c r="A1871" s="203">
        <v>1112900616</v>
      </c>
      <c r="B1871" s="106" t="s">
        <v>9945</v>
      </c>
      <c r="C1871" s="162" t="s">
        <v>9979</v>
      </c>
      <c r="D1871" s="162" t="s">
        <v>85</v>
      </c>
      <c r="E1871" s="162" t="s">
        <v>8228</v>
      </c>
      <c r="F1871" s="205" t="s">
        <v>7643</v>
      </c>
      <c r="G1871" s="206" t="s">
        <v>8229</v>
      </c>
      <c r="H1871" s="206" t="s">
        <v>8230</v>
      </c>
      <c r="I1871" s="141" t="s">
        <v>391</v>
      </c>
      <c r="J1871" s="142" t="s">
        <v>392</v>
      </c>
      <c r="K1871" s="142" t="s">
        <v>393</v>
      </c>
      <c r="L1871" s="142" t="s">
        <v>394</v>
      </c>
      <c r="M1871" s="142" t="s">
        <v>395</v>
      </c>
      <c r="N1871" s="143" t="s">
        <v>396</v>
      </c>
      <c r="O1871" s="138" t="s">
        <v>2178</v>
      </c>
      <c r="P1871" s="105"/>
      <c r="Q1871" s="137"/>
      <c r="R1871" s="138">
        <v>1</v>
      </c>
      <c r="S1871" s="105"/>
      <c r="T1871" s="105"/>
      <c r="U1871" s="105"/>
      <c r="V1871" s="137"/>
      <c r="W1871" s="138"/>
      <c r="X1871" s="137"/>
      <c r="Y1871" s="138"/>
      <c r="Z1871" s="105"/>
      <c r="AA1871" s="105"/>
      <c r="AB1871" s="105"/>
      <c r="AC1871" s="175"/>
      <c r="AD1871" s="227">
        <v>45717</v>
      </c>
      <c r="AE1871" s="108" t="s">
        <v>8231</v>
      </c>
    </row>
    <row r="1872" spans="1:157" ht="27" customHeight="1" x14ac:dyDescent="0.15">
      <c r="A1872" s="132">
        <v>1112900632</v>
      </c>
      <c r="B1872" s="130" t="s">
        <v>783</v>
      </c>
      <c r="C1872" s="108" t="s">
        <v>10582</v>
      </c>
      <c r="D1872" s="108" t="s">
        <v>85</v>
      </c>
      <c r="E1872" s="108" t="s">
        <v>10583</v>
      </c>
      <c r="F1872" s="264" t="s">
        <v>10584</v>
      </c>
      <c r="G1872" s="137" t="s">
        <v>10585</v>
      </c>
      <c r="H1872" s="137" t="s">
        <v>10585</v>
      </c>
      <c r="I1872" s="141"/>
      <c r="J1872" s="142"/>
      <c r="K1872" s="142"/>
      <c r="L1872" s="142"/>
      <c r="M1872" s="142" t="s">
        <v>395</v>
      </c>
      <c r="N1872" s="143"/>
      <c r="O1872" s="138"/>
      <c r="P1872" s="105"/>
      <c r="Q1872" s="137"/>
      <c r="R1872" s="138">
        <v>1</v>
      </c>
      <c r="S1872" s="105"/>
      <c r="T1872" s="105"/>
      <c r="U1872" s="105"/>
      <c r="V1872" s="137"/>
      <c r="W1872" s="138"/>
      <c r="X1872" s="137"/>
      <c r="Y1872" s="138"/>
      <c r="Z1872" s="105"/>
      <c r="AA1872" s="105"/>
      <c r="AB1872" s="105"/>
      <c r="AC1872" s="105"/>
      <c r="AD1872" s="118">
        <v>45901</v>
      </c>
      <c r="AE1872" s="282" t="s">
        <v>10586</v>
      </c>
    </row>
    <row r="1873" spans="1:31" ht="27" customHeight="1" x14ac:dyDescent="0.15">
      <c r="A1873" s="105">
        <v>1113000333</v>
      </c>
      <c r="B1873" s="280" t="s">
        <v>3058</v>
      </c>
      <c r="C1873" s="329" t="s">
        <v>3177</v>
      </c>
      <c r="D1873" s="108" t="s">
        <v>86</v>
      </c>
      <c r="E1873" s="108" t="s">
        <v>3178</v>
      </c>
      <c r="F1873" s="150" t="s">
        <v>3618</v>
      </c>
      <c r="G1873" s="132" t="s">
        <v>3619</v>
      </c>
      <c r="H1873" s="132" t="s">
        <v>3620</v>
      </c>
      <c r="I1873" s="141"/>
      <c r="J1873" s="142"/>
      <c r="K1873" s="142" t="s">
        <v>456</v>
      </c>
      <c r="L1873" s="142" t="s">
        <v>477</v>
      </c>
      <c r="M1873" s="142" t="s">
        <v>395</v>
      </c>
      <c r="N1873" s="143" t="s">
        <v>396</v>
      </c>
      <c r="O1873" s="138" t="s">
        <v>2178</v>
      </c>
      <c r="P1873" s="132"/>
      <c r="Q1873" s="152" t="s">
        <v>765</v>
      </c>
      <c r="R1873" s="248"/>
      <c r="S1873" s="132"/>
      <c r="T1873" s="132"/>
      <c r="U1873" s="132"/>
      <c r="V1873" s="152"/>
      <c r="W1873" s="248"/>
      <c r="X1873" s="152"/>
      <c r="Y1873" s="136"/>
      <c r="Z1873" s="132"/>
      <c r="AA1873" s="132"/>
      <c r="AB1873" s="132"/>
      <c r="AC1873" s="132"/>
      <c r="AD1873" s="487">
        <v>42278</v>
      </c>
      <c r="AE1873" s="273" t="s">
        <v>6162</v>
      </c>
    </row>
    <row r="1874" spans="1:31" ht="27" customHeight="1" x14ac:dyDescent="0.15">
      <c r="A1874" s="228">
        <v>1112900459</v>
      </c>
      <c r="B1874" s="130" t="s">
        <v>6289</v>
      </c>
      <c r="C1874" s="130" t="s">
        <v>6290</v>
      </c>
      <c r="D1874" s="108" t="s">
        <v>4114</v>
      </c>
      <c r="E1874" s="130" t="s">
        <v>6291</v>
      </c>
      <c r="F1874" s="131" t="s">
        <v>5613</v>
      </c>
      <c r="G1874" s="132" t="s">
        <v>5614</v>
      </c>
      <c r="H1874" s="132" t="s">
        <v>5615</v>
      </c>
      <c r="I1874" s="133"/>
      <c r="J1874" s="134"/>
      <c r="K1874" s="154"/>
      <c r="L1874" s="142"/>
      <c r="M1874" s="142" t="s">
        <v>395</v>
      </c>
      <c r="N1874" s="143"/>
      <c r="O1874" s="138"/>
      <c r="P1874" s="132"/>
      <c r="Q1874" s="272"/>
      <c r="R1874" s="248">
        <v>1</v>
      </c>
      <c r="S1874" s="132"/>
      <c r="T1874" s="132"/>
      <c r="U1874" s="132"/>
      <c r="V1874" s="152"/>
      <c r="W1874" s="248"/>
      <c r="X1874" s="152"/>
      <c r="Y1874" s="136"/>
      <c r="Z1874" s="132"/>
      <c r="AA1874" s="132"/>
      <c r="AB1874" s="132"/>
      <c r="AC1874" s="132"/>
      <c r="AD1874" s="239">
        <v>43739</v>
      </c>
      <c r="AE1874" s="273" t="s">
        <v>5616</v>
      </c>
    </row>
    <row r="1875" spans="1:31" s="302" customFormat="1" ht="27" customHeight="1" x14ac:dyDescent="0.15">
      <c r="A1875" s="132">
        <v>1113000580</v>
      </c>
      <c r="B1875" s="280" t="s">
        <v>5656</v>
      </c>
      <c r="C1875" s="108" t="s">
        <v>9677</v>
      </c>
      <c r="D1875" s="267" t="s">
        <v>8324</v>
      </c>
      <c r="E1875" s="108" t="s">
        <v>8325</v>
      </c>
      <c r="F1875" s="264" t="s">
        <v>8326</v>
      </c>
      <c r="G1875" s="137" t="s">
        <v>8327</v>
      </c>
      <c r="H1875" s="137" t="s">
        <v>8328</v>
      </c>
      <c r="I1875" s="141" t="s">
        <v>391</v>
      </c>
      <c r="J1875" s="142" t="s">
        <v>392</v>
      </c>
      <c r="K1875" s="142" t="s">
        <v>393</v>
      </c>
      <c r="L1875" s="142" t="s">
        <v>394</v>
      </c>
      <c r="M1875" s="142" t="s">
        <v>395</v>
      </c>
      <c r="N1875" s="143" t="s">
        <v>396</v>
      </c>
      <c r="O1875" s="138"/>
      <c r="P1875" s="105"/>
      <c r="Q1875" s="137"/>
      <c r="R1875" s="138">
        <v>2</v>
      </c>
      <c r="S1875" s="105"/>
      <c r="T1875" s="105"/>
      <c r="U1875" s="105"/>
      <c r="V1875" s="137"/>
      <c r="W1875" s="138"/>
      <c r="X1875" s="137"/>
      <c r="Y1875" s="138"/>
      <c r="Z1875" s="105"/>
      <c r="AA1875" s="105"/>
      <c r="AB1875" s="105"/>
      <c r="AC1875" s="105"/>
      <c r="AD1875" s="155">
        <v>45047</v>
      </c>
      <c r="AE1875" s="108" t="s">
        <v>8329</v>
      </c>
    </row>
    <row r="1876" spans="1:31" ht="27" customHeight="1" x14ac:dyDescent="0.15">
      <c r="A1876" s="105">
        <v>1113000598</v>
      </c>
      <c r="B1876" s="280" t="s">
        <v>5656</v>
      </c>
      <c r="C1876" s="130" t="s">
        <v>9676</v>
      </c>
      <c r="D1876" s="108" t="s">
        <v>5629</v>
      </c>
      <c r="E1876" s="281" t="s">
        <v>5630</v>
      </c>
      <c r="F1876" s="132" t="s">
        <v>5631</v>
      </c>
      <c r="G1876" s="139" t="s">
        <v>5632</v>
      </c>
      <c r="H1876" s="105" t="s">
        <v>5633</v>
      </c>
      <c r="I1876" s="141" t="s">
        <v>391</v>
      </c>
      <c r="J1876" s="142" t="s">
        <v>392</v>
      </c>
      <c r="K1876" s="142" t="s">
        <v>393</v>
      </c>
      <c r="L1876" s="142" t="s">
        <v>394</v>
      </c>
      <c r="M1876" s="142" t="s">
        <v>395</v>
      </c>
      <c r="N1876" s="142" t="s">
        <v>396</v>
      </c>
      <c r="O1876" s="142"/>
      <c r="P1876" s="105"/>
      <c r="Q1876" s="137"/>
      <c r="R1876" s="138">
        <v>1</v>
      </c>
      <c r="S1876" s="105"/>
      <c r="T1876" s="105"/>
      <c r="U1876" s="105"/>
      <c r="V1876" s="137"/>
      <c r="W1876" s="138"/>
      <c r="X1876" s="137"/>
      <c r="Y1876" s="138"/>
      <c r="Z1876" s="105"/>
      <c r="AA1876" s="105"/>
      <c r="AB1876" s="105"/>
      <c r="AC1876" s="105"/>
      <c r="AD1876" s="155" t="s">
        <v>5634</v>
      </c>
      <c r="AE1876" s="108" t="s">
        <v>5635</v>
      </c>
    </row>
    <row r="1877" spans="1:31" ht="27" customHeight="1" x14ac:dyDescent="0.15">
      <c r="A1877" s="72">
        <v>1113000572</v>
      </c>
      <c r="B1877" s="165" t="s">
        <v>8737</v>
      </c>
      <c r="C1877" s="166" t="s">
        <v>8738</v>
      </c>
      <c r="D1877" s="122" t="s">
        <v>8324</v>
      </c>
      <c r="E1877" s="166" t="s">
        <v>8739</v>
      </c>
      <c r="F1877" s="328" t="s">
        <v>8740</v>
      </c>
      <c r="G1877" s="70" t="s">
        <v>8741</v>
      </c>
      <c r="H1877" s="70" t="s">
        <v>8742</v>
      </c>
      <c r="I1877" s="178" t="s">
        <v>391</v>
      </c>
      <c r="J1877" s="170" t="s">
        <v>392</v>
      </c>
      <c r="K1877" s="170" t="s">
        <v>393</v>
      </c>
      <c r="L1877" s="170" t="s">
        <v>394</v>
      </c>
      <c r="M1877" s="170" t="s">
        <v>395</v>
      </c>
      <c r="N1877" s="170" t="s">
        <v>396</v>
      </c>
      <c r="O1877" s="170" t="s">
        <v>2178</v>
      </c>
      <c r="P1877" s="76"/>
      <c r="Q1877" s="70"/>
      <c r="R1877" s="92">
        <v>2</v>
      </c>
      <c r="S1877" s="76"/>
      <c r="T1877" s="76"/>
      <c r="U1877" s="76"/>
      <c r="V1877" s="70"/>
      <c r="W1877" s="92"/>
      <c r="X1877" s="70"/>
      <c r="Y1877" s="92"/>
      <c r="Z1877" s="76"/>
      <c r="AA1877" s="76"/>
      <c r="AB1877" s="76"/>
      <c r="AC1877" s="76"/>
      <c r="AD1877" s="146">
        <v>45200</v>
      </c>
      <c r="AE1877" s="166" t="s">
        <v>8743</v>
      </c>
    </row>
    <row r="1878" spans="1:31" ht="27" customHeight="1" x14ac:dyDescent="0.15">
      <c r="A1878" s="228">
        <v>1113000622</v>
      </c>
      <c r="B1878" s="130" t="s">
        <v>10192</v>
      </c>
      <c r="C1878" s="130" t="s">
        <v>10193</v>
      </c>
      <c r="D1878" s="108" t="s">
        <v>86</v>
      </c>
      <c r="E1878" s="130" t="s">
        <v>10194</v>
      </c>
      <c r="F1878" s="131" t="s">
        <v>10195</v>
      </c>
      <c r="G1878" s="132" t="s">
        <v>10196</v>
      </c>
      <c r="H1878" s="132" t="s">
        <v>10197</v>
      </c>
      <c r="I1878" s="141" t="s">
        <v>391</v>
      </c>
      <c r="J1878" s="142" t="s">
        <v>392</v>
      </c>
      <c r="K1878" s="142" t="s">
        <v>393</v>
      </c>
      <c r="L1878" s="142" t="s">
        <v>394</v>
      </c>
      <c r="M1878" s="142" t="s">
        <v>395</v>
      </c>
      <c r="N1878" s="143" t="s">
        <v>396</v>
      </c>
      <c r="O1878" s="138" t="s">
        <v>2178</v>
      </c>
      <c r="P1878" s="132"/>
      <c r="Q1878" s="272" t="s">
        <v>765</v>
      </c>
      <c r="R1878" s="248"/>
      <c r="S1878" s="132"/>
      <c r="T1878" s="132"/>
      <c r="U1878" s="132"/>
      <c r="V1878" s="152"/>
      <c r="W1878" s="248"/>
      <c r="X1878" s="152"/>
      <c r="Y1878" s="136"/>
      <c r="Z1878" s="132"/>
      <c r="AA1878" s="132"/>
      <c r="AB1878" s="132"/>
      <c r="AC1878" s="132"/>
      <c r="AD1878" s="239">
        <v>45778</v>
      </c>
      <c r="AE1878" s="273" t="s">
        <v>10198</v>
      </c>
    </row>
    <row r="1879" spans="1:31" ht="27" customHeight="1" x14ac:dyDescent="0.15">
      <c r="A1879" s="228">
        <v>1113101081</v>
      </c>
      <c r="B1879" s="130" t="s">
        <v>5252</v>
      </c>
      <c r="C1879" s="130" t="s">
        <v>3937</v>
      </c>
      <c r="D1879" s="108" t="s">
        <v>87</v>
      </c>
      <c r="E1879" s="130" t="s">
        <v>3938</v>
      </c>
      <c r="F1879" s="131" t="s">
        <v>3939</v>
      </c>
      <c r="G1879" s="132" t="s">
        <v>3940</v>
      </c>
      <c r="H1879" s="132" t="s">
        <v>3940</v>
      </c>
      <c r="I1879" s="133" t="s">
        <v>391</v>
      </c>
      <c r="J1879" s="154" t="s">
        <v>392</v>
      </c>
      <c r="K1879" s="154" t="s">
        <v>393</v>
      </c>
      <c r="L1879" s="154" t="s">
        <v>394</v>
      </c>
      <c r="M1879" s="154" t="s">
        <v>395</v>
      </c>
      <c r="N1879" s="143"/>
      <c r="O1879" s="138"/>
      <c r="P1879" s="132"/>
      <c r="Q1879" s="152"/>
      <c r="R1879" s="248">
        <v>1</v>
      </c>
      <c r="S1879" s="132"/>
      <c r="T1879" s="132"/>
      <c r="U1879" s="132"/>
      <c r="V1879" s="152"/>
      <c r="W1879" s="248"/>
      <c r="X1879" s="152"/>
      <c r="Y1879" s="136"/>
      <c r="Z1879" s="132"/>
      <c r="AA1879" s="132"/>
      <c r="AB1879" s="132"/>
      <c r="AC1879" s="132"/>
      <c r="AD1879" s="155">
        <v>42736</v>
      </c>
      <c r="AE1879" s="273" t="s">
        <v>3941</v>
      </c>
    </row>
    <row r="1880" spans="1:31" s="302" customFormat="1" ht="27" customHeight="1" x14ac:dyDescent="0.15">
      <c r="A1880" s="105">
        <v>1113101347</v>
      </c>
      <c r="B1880" s="130" t="s">
        <v>7383</v>
      </c>
      <c r="C1880" s="130" t="s">
        <v>7384</v>
      </c>
      <c r="D1880" s="108" t="s">
        <v>87</v>
      </c>
      <c r="E1880" s="281" t="s">
        <v>7385</v>
      </c>
      <c r="F1880" s="132" t="s">
        <v>7386</v>
      </c>
      <c r="G1880" s="139" t="s">
        <v>7387</v>
      </c>
      <c r="H1880" s="139" t="s">
        <v>7388</v>
      </c>
      <c r="I1880" s="141"/>
      <c r="J1880" s="142"/>
      <c r="K1880" s="142"/>
      <c r="L1880" s="142"/>
      <c r="M1880" s="142" t="s">
        <v>395</v>
      </c>
      <c r="N1880" s="142" t="s">
        <v>396</v>
      </c>
      <c r="O1880" s="142"/>
      <c r="P1880" s="105"/>
      <c r="Q1880" s="137" t="s">
        <v>765</v>
      </c>
      <c r="R1880" s="138"/>
      <c r="S1880" s="105"/>
      <c r="T1880" s="105"/>
      <c r="U1880" s="105"/>
      <c r="V1880" s="137"/>
      <c r="W1880" s="138"/>
      <c r="X1880" s="137"/>
      <c r="Y1880" s="138"/>
      <c r="Z1880" s="105"/>
      <c r="AA1880" s="105"/>
      <c r="AB1880" s="105"/>
      <c r="AC1880" s="105"/>
      <c r="AD1880" s="144">
        <v>44652</v>
      </c>
      <c r="AE1880" s="108" t="s">
        <v>7389</v>
      </c>
    </row>
    <row r="1881" spans="1:31" ht="27" customHeight="1" x14ac:dyDescent="0.15">
      <c r="A1881" s="105">
        <v>1113101362</v>
      </c>
      <c r="B1881" s="130" t="s">
        <v>12063</v>
      </c>
      <c r="C1881" s="130" t="s">
        <v>7853</v>
      </c>
      <c r="D1881" s="108" t="s">
        <v>882</v>
      </c>
      <c r="E1881" s="281" t="s">
        <v>7854</v>
      </c>
      <c r="F1881" s="132" t="s">
        <v>7855</v>
      </c>
      <c r="G1881" s="139" t="s">
        <v>7856</v>
      </c>
      <c r="H1881" s="139" t="s">
        <v>7857</v>
      </c>
      <c r="I1881" s="160" t="s">
        <v>391</v>
      </c>
      <c r="J1881" s="142" t="s">
        <v>392</v>
      </c>
      <c r="K1881" s="142" t="s">
        <v>393</v>
      </c>
      <c r="L1881" s="142" t="s">
        <v>394</v>
      </c>
      <c r="M1881" s="142" t="s">
        <v>395</v>
      </c>
      <c r="N1881" s="142" t="s">
        <v>396</v>
      </c>
      <c r="O1881" s="142" t="s">
        <v>2178</v>
      </c>
      <c r="P1881" s="105"/>
      <c r="Q1881" s="152" t="s">
        <v>765</v>
      </c>
      <c r="R1881" s="138"/>
      <c r="S1881" s="105"/>
      <c r="T1881" s="105"/>
      <c r="U1881" s="105"/>
      <c r="V1881" s="137"/>
      <c r="W1881" s="138"/>
      <c r="X1881" s="116"/>
      <c r="Y1881" s="117"/>
      <c r="Z1881" s="105"/>
      <c r="AA1881" s="105"/>
      <c r="AB1881" s="105"/>
      <c r="AC1881" s="105"/>
      <c r="AD1881" s="155">
        <v>44805</v>
      </c>
      <c r="AE1881" s="108" t="s">
        <v>7812</v>
      </c>
    </row>
    <row r="1882" spans="1:31" ht="27" customHeight="1" x14ac:dyDescent="0.15">
      <c r="A1882" s="132">
        <v>1113101404</v>
      </c>
      <c r="B1882" s="130" t="s">
        <v>8906</v>
      </c>
      <c r="C1882" s="108" t="s">
        <v>8912</v>
      </c>
      <c r="D1882" s="108" t="s">
        <v>87</v>
      </c>
      <c r="E1882" s="108" t="s">
        <v>8913</v>
      </c>
      <c r="F1882" s="139" t="s">
        <v>8541</v>
      </c>
      <c r="G1882" s="140" t="s">
        <v>8914</v>
      </c>
      <c r="H1882" s="140" t="s">
        <v>8915</v>
      </c>
      <c r="I1882" s="141" t="s">
        <v>391</v>
      </c>
      <c r="J1882" s="142" t="s">
        <v>392</v>
      </c>
      <c r="K1882" s="142" t="s">
        <v>393</v>
      </c>
      <c r="L1882" s="142" t="s">
        <v>394</v>
      </c>
      <c r="M1882" s="142" t="s">
        <v>395</v>
      </c>
      <c r="N1882" s="143" t="s">
        <v>396</v>
      </c>
      <c r="O1882" s="138" t="s">
        <v>2178</v>
      </c>
      <c r="P1882" s="105"/>
      <c r="Q1882" s="137"/>
      <c r="R1882" s="138">
        <v>1</v>
      </c>
      <c r="S1882" s="105"/>
      <c r="T1882" s="105"/>
      <c r="U1882" s="105"/>
      <c r="V1882" s="137"/>
      <c r="W1882" s="138"/>
      <c r="X1882" s="137"/>
      <c r="Y1882" s="117"/>
      <c r="Z1882" s="105"/>
      <c r="AA1882" s="105"/>
      <c r="AB1882" s="105"/>
      <c r="AC1882" s="105"/>
      <c r="AD1882" s="155">
        <v>45292</v>
      </c>
      <c r="AE1882" s="108" t="s">
        <v>8916</v>
      </c>
    </row>
    <row r="1883" spans="1:31" ht="28.5" customHeight="1" x14ac:dyDescent="0.15">
      <c r="A1883" s="105">
        <v>1113101511</v>
      </c>
      <c r="B1883" s="280" t="s">
        <v>9693</v>
      </c>
      <c r="C1883" s="130" t="s">
        <v>9694</v>
      </c>
      <c r="D1883" s="108" t="s">
        <v>87</v>
      </c>
      <c r="E1883" s="281" t="s">
        <v>9695</v>
      </c>
      <c r="F1883" s="132" t="s">
        <v>9696</v>
      </c>
      <c r="G1883" s="139" t="s">
        <v>9697</v>
      </c>
      <c r="H1883" s="139" t="s">
        <v>9645</v>
      </c>
      <c r="I1883" s="141" t="s">
        <v>391</v>
      </c>
      <c r="J1883" s="142"/>
      <c r="K1883" s="142"/>
      <c r="L1883" s="142"/>
      <c r="M1883" s="142" t="s">
        <v>395</v>
      </c>
      <c r="N1883" s="142" t="s">
        <v>396</v>
      </c>
      <c r="O1883" s="142"/>
      <c r="P1883" s="105"/>
      <c r="Q1883" s="137"/>
      <c r="R1883" s="138">
        <v>2</v>
      </c>
      <c r="S1883" s="105"/>
      <c r="T1883" s="105"/>
      <c r="U1883" s="105"/>
      <c r="V1883" s="137"/>
      <c r="W1883" s="138"/>
      <c r="X1883" s="137"/>
      <c r="Y1883" s="138"/>
      <c r="Z1883" s="105"/>
      <c r="AA1883" s="105"/>
      <c r="AB1883" s="105"/>
      <c r="AC1883" s="105"/>
      <c r="AD1883" s="155">
        <v>45627</v>
      </c>
      <c r="AE1883" s="108" t="s">
        <v>9698</v>
      </c>
    </row>
    <row r="1884" spans="1:31" s="302" customFormat="1" ht="27" customHeight="1" x14ac:dyDescent="0.15">
      <c r="A1884" s="491">
        <v>1113101529</v>
      </c>
      <c r="B1884" s="280" t="s">
        <v>5656</v>
      </c>
      <c r="C1884" s="443" t="s">
        <v>7759</v>
      </c>
      <c r="D1884" s="340" t="s">
        <v>87</v>
      </c>
      <c r="E1884" s="443" t="s">
        <v>7760</v>
      </c>
      <c r="F1884" s="492" t="s">
        <v>7761</v>
      </c>
      <c r="G1884" s="493" t="s">
        <v>7762</v>
      </c>
      <c r="H1884" s="493" t="s">
        <v>7763</v>
      </c>
      <c r="I1884" s="178" t="s">
        <v>391</v>
      </c>
      <c r="J1884" s="170" t="s">
        <v>392</v>
      </c>
      <c r="K1884" s="170" t="s">
        <v>393</v>
      </c>
      <c r="L1884" s="170" t="s">
        <v>394</v>
      </c>
      <c r="M1884" s="170" t="s">
        <v>395</v>
      </c>
      <c r="N1884" s="170" t="s">
        <v>396</v>
      </c>
      <c r="O1884" s="138"/>
      <c r="P1884" s="105"/>
      <c r="Q1884" s="137"/>
      <c r="R1884" s="138">
        <v>1</v>
      </c>
      <c r="S1884" s="105"/>
      <c r="T1884" s="105"/>
      <c r="U1884" s="105"/>
      <c r="V1884" s="137"/>
      <c r="W1884" s="138"/>
      <c r="X1884" s="137"/>
      <c r="Y1884" s="138"/>
      <c r="Z1884" s="105"/>
      <c r="AA1884" s="105"/>
      <c r="AB1884" s="105"/>
      <c r="AC1884" s="105"/>
      <c r="AD1884" s="155">
        <v>44774</v>
      </c>
      <c r="AE1884" s="108" t="s">
        <v>7764</v>
      </c>
    </row>
    <row r="1885" spans="1:31" s="302" customFormat="1" ht="27" customHeight="1" x14ac:dyDescent="0.15">
      <c r="A1885" s="76">
        <v>1113101537</v>
      </c>
      <c r="B1885" s="280" t="s">
        <v>5656</v>
      </c>
      <c r="C1885" s="165" t="s">
        <v>9223</v>
      </c>
      <c r="D1885" s="166" t="s">
        <v>87</v>
      </c>
      <c r="E1885" s="498" t="s">
        <v>9224</v>
      </c>
      <c r="F1885" s="72" t="s">
        <v>9225</v>
      </c>
      <c r="G1885" s="167" t="s">
        <v>9226</v>
      </c>
      <c r="H1885" s="167" t="s">
        <v>9227</v>
      </c>
      <c r="I1885" s="178" t="s">
        <v>391</v>
      </c>
      <c r="J1885" s="170" t="s">
        <v>392</v>
      </c>
      <c r="K1885" s="170" t="s">
        <v>393</v>
      </c>
      <c r="L1885" s="170" t="s">
        <v>394</v>
      </c>
      <c r="M1885" s="170" t="s">
        <v>395</v>
      </c>
      <c r="N1885" s="170" t="s">
        <v>396</v>
      </c>
      <c r="O1885" s="170"/>
      <c r="P1885" s="76"/>
      <c r="Q1885" s="70"/>
      <c r="R1885" s="92">
        <v>1</v>
      </c>
      <c r="S1885" s="76"/>
      <c r="T1885" s="76"/>
      <c r="U1885" s="76"/>
      <c r="V1885" s="70"/>
      <c r="W1885" s="92"/>
      <c r="X1885" s="70"/>
      <c r="Y1885" s="92"/>
      <c r="Z1885" s="76"/>
      <c r="AA1885" s="76"/>
      <c r="AB1885" s="76"/>
      <c r="AC1885" s="76"/>
      <c r="AD1885" s="146">
        <v>45413</v>
      </c>
      <c r="AE1885" s="166" t="s">
        <v>9228</v>
      </c>
    </row>
    <row r="1886" spans="1:31" s="302" customFormat="1" ht="27" customHeight="1" x14ac:dyDescent="0.15">
      <c r="A1886" s="105">
        <v>1113101545</v>
      </c>
      <c r="B1886" s="280" t="s">
        <v>5656</v>
      </c>
      <c r="C1886" s="130" t="s">
        <v>9678</v>
      </c>
      <c r="D1886" s="108" t="s">
        <v>87</v>
      </c>
      <c r="E1886" s="281" t="s">
        <v>9616</v>
      </c>
      <c r="F1886" s="132" t="s">
        <v>9617</v>
      </c>
      <c r="G1886" s="139" t="s">
        <v>9618</v>
      </c>
      <c r="H1886" s="139" t="s">
        <v>9619</v>
      </c>
      <c r="I1886" s="141" t="s">
        <v>391</v>
      </c>
      <c r="J1886" s="142" t="s">
        <v>392</v>
      </c>
      <c r="K1886" s="142" t="s">
        <v>393</v>
      </c>
      <c r="L1886" s="142" t="s">
        <v>394</v>
      </c>
      <c r="M1886" s="142" t="s">
        <v>395</v>
      </c>
      <c r="N1886" s="142" t="s">
        <v>396</v>
      </c>
      <c r="O1886" s="142"/>
      <c r="P1886" s="105"/>
      <c r="Q1886" s="137"/>
      <c r="R1886" s="138">
        <v>1</v>
      </c>
      <c r="S1886" s="105"/>
      <c r="T1886" s="105"/>
      <c r="U1886" s="105"/>
      <c r="V1886" s="137"/>
      <c r="W1886" s="138"/>
      <c r="X1886" s="137"/>
      <c r="Y1886" s="138"/>
      <c r="Z1886" s="105"/>
      <c r="AA1886" s="105"/>
      <c r="AB1886" s="105"/>
      <c r="AC1886" s="105"/>
      <c r="AD1886" s="144">
        <v>45597</v>
      </c>
      <c r="AE1886" s="108" t="s">
        <v>9620</v>
      </c>
    </row>
    <row r="1887" spans="1:31" ht="27" customHeight="1" x14ac:dyDescent="0.15">
      <c r="A1887" s="228">
        <v>1113286080</v>
      </c>
      <c r="B1887" s="130" t="s">
        <v>2602</v>
      </c>
      <c r="C1887" s="130" t="s">
        <v>2581</v>
      </c>
      <c r="D1887" s="108" t="s">
        <v>2582</v>
      </c>
      <c r="E1887" s="130" t="s">
        <v>2603</v>
      </c>
      <c r="F1887" s="131">
        <v>3550215</v>
      </c>
      <c r="G1887" s="132" t="s">
        <v>2583</v>
      </c>
      <c r="H1887" s="132" t="s">
        <v>2583</v>
      </c>
      <c r="I1887" s="116"/>
      <c r="J1887" s="154"/>
      <c r="K1887" s="154" t="s">
        <v>456</v>
      </c>
      <c r="L1887" s="154" t="s">
        <v>477</v>
      </c>
      <c r="M1887" s="154" t="s">
        <v>395</v>
      </c>
      <c r="N1887" s="143"/>
      <c r="O1887" s="138"/>
      <c r="P1887" s="132"/>
      <c r="Q1887" s="152"/>
      <c r="R1887" s="248">
        <v>4</v>
      </c>
      <c r="S1887" s="132"/>
      <c r="T1887" s="132"/>
      <c r="U1887" s="132"/>
      <c r="V1887" s="152"/>
      <c r="W1887" s="248"/>
      <c r="X1887" s="152"/>
      <c r="Y1887" s="136"/>
      <c r="Z1887" s="132"/>
      <c r="AA1887" s="132"/>
      <c r="AB1887" s="132"/>
      <c r="AC1887" s="132"/>
      <c r="AD1887" s="239">
        <v>41091</v>
      </c>
      <c r="AE1887" s="273" t="s">
        <v>2612</v>
      </c>
    </row>
    <row r="1888" spans="1:31" ht="27" customHeight="1" x14ac:dyDescent="0.15">
      <c r="A1888" s="105">
        <v>1113286320</v>
      </c>
      <c r="B1888" s="106" t="s">
        <v>3349</v>
      </c>
      <c r="C1888" s="107" t="s">
        <v>3350</v>
      </c>
      <c r="D1888" s="108" t="s">
        <v>3351</v>
      </c>
      <c r="E1888" s="108" t="s">
        <v>3352</v>
      </c>
      <c r="F1888" s="264" t="s">
        <v>3567</v>
      </c>
      <c r="G1888" s="105" t="s">
        <v>3568</v>
      </c>
      <c r="H1888" s="105" t="s">
        <v>3569</v>
      </c>
      <c r="I1888" s="116"/>
      <c r="J1888" s="154"/>
      <c r="K1888" s="134" t="s">
        <v>456</v>
      </c>
      <c r="L1888" s="134" t="s">
        <v>477</v>
      </c>
      <c r="M1888" s="134" t="s">
        <v>395</v>
      </c>
      <c r="N1888" s="135" t="s">
        <v>396</v>
      </c>
      <c r="O1888" s="136" t="s">
        <v>2178</v>
      </c>
      <c r="P1888" s="105"/>
      <c r="Q1888" s="137"/>
      <c r="R1888" s="138">
        <v>4</v>
      </c>
      <c r="S1888" s="105"/>
      <c r="T1888" s="105"/>
      <c r="U1888" s="105"/>
      <c r="V1888" s="137"/>
      <c r="W1888" s="138"/>
      <c r="X1888" s="137"/>
      <c r="Y1888" s="138"/>
      <c r="Z1888" s="105"/>
      <c r="AA1888" s="105"/>
      <c r="AB1888" s="105"/>
      <c r="AC1888" s="105"/>
      <c r="AD1888" s="144">
        <v>42461</v>
      </c>
      <c r="AE1888" s="108" t="s">
        <v>3353</v>
      </c>
    </row>
    <row r="1889" spans="1:157" s="302" customFormat="1" ht="27" customHeight="1" x14ac:dyDescent="0.15">
      <c r="A1889" s="228">
        <v>1113286346</v>
      </c>
      <c r="B1889" s="130" t="s">
        <v>3563</v>
      </c>
      <c r="C1889" s="130" t="s">
        <v>3564</v>
      </c>
      <c r="D1889" s="108" t="s">
        <v>464</v>
      </c>
      <c r="E1889" s="130" t="s">
        <v>8679</v>
      </c>
      <c r="F1889" s="131" t="s">
        <v>3565</v>
      </c>
      <c r="G1889" s="132" t="s">
        <v>3566</v>
      </c>
      <c r="H1889" s="132" t="s">
        <v>3566</v>
      </c>
      <c r="I1889" s="133"/>
      <c r="J1889" s="134"/>
      <c r="K1889" s="154" t="s">
        <v>456</v>
      </c>
      <c r="L1889" s="154"/>
      <c r="M1889" s="154" t="s">
        <v>395</v>
      </c>
      <c r="N1889" s="143"/>
      <c r="O1889" s="138"/>
      <c r="P1889" s="132"/>
      <c r="Q1889" s="272" t="s">
        <v>2610</v>
      </c>
      <c r="R1889" s="248"/>
      <c r="S1889" s="132"/>
      <c r="T1889" s="132"/>
      <c r="U1889" s="132"/>
      <c r="V1889" s="152"/>
      <c r="W1889" s="248"/>
      <c r="X1889" s="152"/>
      <c r="Y1889" s="136"/>
      <c r="Z1889" s="132"/>
      <c r="AA1889" s="132"/>
      <c r="AB1889" s="132"/>
      <c r="AC1889" s="132"/>
      <c r="AD1889" s="239">
        <v>42644</v>
      </c>
      <c r="AE1889" s="273" t="s">
        <v>3570</v>
      </c>
    </row>
    <row r="1890" spans="1:157" s="302" customFormat="1" ht="27" customHeight="1" x14ac:dyDescent="0.15">
      <c r="A1890" s="81">
        <v>1113286601</v>
      </c>
      <c r="B1890" s="296" t="s">
        <v>9362</v>
      </c>
      <c r="C1890" s="296" t="s">
        <v>9363</v>
      </c>
      <c r="D1890" s="84" t="s">
        <v>1554</v>
      </c>
      <c r="E1890" s="297" t="s">
        <v>9364</v>
      </c>
      <c r="F1890" s="77" t="s">
        <v>9365</v>
      </c>
      <c r="G1890" s="298" t="s">
        <v>9366</v>
      </c>
      <c r="H1890" s="298" t="s">
        <v>9367</v>
      </c>
      <c r="I1890" s="299" t="s">
        <v>391</v>
      </c>
      <c r="J1890" s="300" t="s">
        <v>392</v>
      </c>
      <c r="K1890" s="300" t="s">
        <v>393</v>
      </c>
      <c r="L1890" s="300" t="s">
        <v>394</v>
      </c>
      <c r="M1890" s="300" t="s">
        <v>395</v>
      </c>
      <c r="N1890" s="300" t="s">
        <v>396</v>
      </c>
      <c r="O1890" s="300" t="s">
        <v>9368</v>
      </c>
      <c r="P1890" s="81"/>
      <c r="Q1890" s="220"/>
      <c r="R1890" s="89">
        <v>1</v>
      </c>
      <c r="S1890" s="81"/>
      <c r="T1890" s="81"/>
      <c r="U1890" s="81"/>
      <c r="V1890" s="220"/>
      <c r="W1890" s="89"/>
      <c r="X1890" s="220"/>
      <c r="Y1890" s="89"/>
      <c r="Z1890" s="81"/>
      <c r="AA1890" s="81"/>
      <c r="AB1890" s="81"/>
      <c r="AC1890" s="81"/>
      <c r="AD1890" s="301">
        <v>45474</v>
      </c>
      <c r="AE1890" s="84" t="s">
        <v>9369</v>
      </c>
    </row>
    <row r="1891" spans="1:157" s="302" customFormat="1" ht="27" customHeight="1" x14ac:dyDescent="0.15">
      <c r="A1891" s="499">
        <v>1113300154</v>
      </c>
      <c r="B1891" s="500" t="s">
        <v>430</v>
      </c>
      <c r="C1891" s="500" t="s">
        <v>2589</v>
      </c>
      <c r="D1891" s="501" t="s">
        <v>89</v>
      </c>
      <c r="E1891" s="500" t="s">
        <v>2609</v>
      </c>
      <c r="F1891" s="502">
        <v>3550003</v>
      </c>
      <c r="G1891" s="503" t="s">
        <v>2590</v>
      </c>
      <c r="H1891" s="503" t="s">
        <v>2590</v>
      </c>
      <c r="I1891" s="133"/>
      <c r="J1891" s="154"/>
      <c r="K1891" s="154" t="s">
        <v>456</v>
      </c>
      <c r="L1891" s="154" t="s">
        <v>477</v>
      </c>
      <c r="M1891" s="154" t="s">
        <v>395</v>
      </c>
      <c r="N1891" s="143" t="s">
        <v>396</v>
      </c>
      <c r="O1891" s="138" t="s">
        <v>2178</v>
      </c>
      <c r="P1891" s="503"/>
      <c r="Q1891" s="504"/>
      <c r="R1891" s="505">
        <v>5</v>
      </c>
      <c r="S1891" s="503"/>
      <c r="T1891" s="503"/>
      <c r="U1891" s="503"/>
      <c r="V1891" s="504"/>
      <c r="W1891" s="505"/>
      <c r="X1891" s="504"/>
      <c r="Y1891" s="506"/>
      <c r="Z1891" s="503"/>
      <c r="AA1891" s="503"/>
      <c r="AB1891" s="503"/>
      <c r="AC1891" s="503"/>
      <c r="AD1891" s="507">
        <v>38991</v>
      </c>
      <c r="AE1891" s="508" t="s">
        <v>3355</v>
      </c>
    </row>
    <row r="1892" spans="1:157" ht="27" customHeight="1" x14ac:dyDescent="0.15">
      <c r="A1892" s="228">
        <v>1113300477</v>
      </c>
      <c r="B1892" s="130" t="s">
        <v>3415</v>
      </c>
      <c r="C1892" s="130" t="s">
        <v>3677</v>
      </c>
      <c r="D1892" s="108" t="s">
        <v>89</v>
      </c>
      <c r="E1892" s="130" t="s">
        <v>3681</v>
      </c>
      <c r="F1892" s="131" t="s">
        <v>3682</v>
      </c>
      <c r="G1892" s="132" t="s">
        <v>3678</v>
      </c>
      <c r="H1892" s="132" t="s">
        <v>3679</v>
      </c>
      <c r="I1892" s="133"/>
      <c r="J1892" s="154"/>
      <c r="K1892" s="154"/>
      <c r="L1892" s="154"/>
      <c r="M1892" s="154" t="s">
        <v>395</v>
      </c>
      <c r="N1892" s="143" t="s">
        <v>396</v>
      </c>
      <c r="O1892" s="138" t="s">
        <v>2178</v>
      </c>
      <c r="P1892" s="132"/>
      <c r="Q1892" s="152"/>
      <c r="R1892" s="248">
        <v>6</v>
      </c>
      <c r="S1892" s="132"/>
      <c r="T1892" s="132"/>
      <c r="U1892" s="132"/>
      <c r="V1892" s="152"/>
      <c r="W1892" s="248"/>
      <c r="X1892" s="152"/>
      <c r="Y1892" s="136"/>
      <c r="Z1892" s="132"/>
      <c r="AA1892" s="132"/>
      <c r="AB1892" s="132"/>
      <c r="AC1892" s="132"/>
      <c r="AD1892" s="155">
        <v>42736</v>
      </c>
      <c r="AE1892" s="273" t="s">
        <v>3680</v>
      </c>
    </row>
    <row r="1893" spans="1:157" s="65" customFormat="1" ht="27" customHeight="1" x14ac:dyDescent="0.15">
      <c r="A1893" s="228">
        <v>1113300519</v>
      </c>
      <c r="B1893" s="130" t="s">
        <v>4369</v>
      </c>
      <c r="C1893" s="130" t="s">
        <v>4370</v>
      </c>
      <c r="D1893" s="108" t="s">
        <v>89</v>
      </c>
      <c r="E1893" s="130" t="s">
        <v>4371</v>
      </c>
      <c r="F1893" s="131" t="s">
        <v>4372</v>
      </c>
      <c r="G1893" s="132" t="s">
        <v>4373</v>
      </c>
      <c r="H1893" s="132" t="s">
        <v>4374</v>
      </c>
      <c r="I1893" s="133" t="s">
        <v>391</v>
      </c>
      <c r="J1893" s="134" t="s">
        <v>392</v>
      </c>
      <c r="K1893" s="154" t="s">
        <v>393</v>
      </c>
      <c r="L1893" s="142" t="s">
        <v>394</v>
      </c>
      <c r="M1893" s="142" t="s">
        <v>395</v>
      </c>
      <c r="N1893" s="143"/>
      <c r="O1893" s="138"/>
      <c r="P1893" s="132"/>
      <c r="Q1893" s="272" t="s">
        <v>4375</v>
      </c>
      <c r="R1893" s="248"/>
      <c r="S1893" s="132"/>
      <c r="T1893" s="132"/>
      <c r="U1893" s="132"/>
      <c r="V1893" s="152"/>
      <c r="W1893" s="248"/>
      <c r="X1893" s="152"/>
      <c r="Y1893" s="136"/>
      <c r="Z1893" s="132"/>
      <c r="AA1893" s="132"/>
      <c r="AB1893" s="132"/>
      <c r="AC1893" s="132"/>
      <c r="AD1893" s="239">
        <v>43191</v>
      </c>
      <c r="AE1893" s="273" t="s">
        <v>4376</v>
      </c>
    </row>
    <row r="1894" spans="1:157" s="302" customFormat="1" ht="27" customHeight="1" x14ac:dyDescent="0.15">
      <c r="A1894" s="228">
        <v>1113300634</v>
      </c>
      <c r="B1894" s="130" t="s">
        <v>5636</v>
      </c>
      <c r="C1894" s="130" t="s">
        <v>5637</v>
      </c>
      <c r="D1894" s="108" t="s">
        <v>89</v>
      </c>
      <c r="E1894" s="130" t="s">
        <v>5638</v>
      </c>
      <c r="F1894" s="131" t="s">
        <v>5641</v>
      </c>
      <c r="G1894" s="132" t="s">
        <v>5639</v>
      </c>
      <c r="H1894" s="132" t="s">
        <v>5640</v>
      </c>
      <c r="I1894" s="133"/>
      <c r="J1894" s="134"/>
      <c r="K1894" s="154"/>
      <c r="L1894" s="142"/>
      <c r="M1894" s="142" t="s">
        <v>395</v>
      </c>
      <c r="N1894" s="143" t="s">
        <v>396</v>
      </c>
      <c r="O1894" s="138" t="s">
        <v>2178</v>
      </c>
      <c r="P1894" s="132"/>
      <c r="Q1894" s="272"/>
      <c r="R1894" s="248">
        <v>2</v>
      </c>
      <c r="S1894" s="132"/>
      <c r="T1894" s="132"/>
      <c r="U1894" s="132"/>
      <c r="V1894" s="152"/>
      <c r="W1894" s="248"/>
      <c r="X1894" s="152"/>
      <c r="Y1894" s="136"/>
      <c r="Z1894" s="132"/>
      <c r="AA1894" s="132"/>
      <c r="AB1894" s="132"/>
      <c r="AC1894" s="132"/>
      <c r="AD1894" s="239">
        <v>43862</v>
      </c>
      <c r="AE1894" s="273" t="s">
        <v>5642</v>
      </c>
    </row>
    <row r="1895" spans="1:157" ht="27" customHeight="1" x14ac:dyDescent="0.15">
      <c r="A1895" s="105">
        <v>1113300642</v>
      </c>
      <c r="B1895" s="280" t="s">
        <v>7194</v>
      </c>
      <c r="C1895" s="329" t="s">
        <v>7195</v>
      </c>
      <c r="D1895" s="108" t="s">
        <v>89</v>
      </c>
      <c r="E1895" s="108" t="s">
        <v>7196</v>
      </c>
      <c r="F1895" s="150" t="s">
        <v>7197</v>
      </c>
      <c r="G1895" s="132" t="s">
        <v>7198</v>
      </c>
      <c r="H1895" s="132" t="s">
        <v>7199</v>
      </c>
      <c r="I1895" s="141" t="s">
        <v>391</v>
      </c>
      <c r="J1895" s="142" t="s">
        <v>392</v>
      </c>
      <c r="K1895" s="142" t="s">
        <v>393</v>
      </c>
      <c r="L1895" s="142" t="s">
        <v>394</v>
      </c>
      <c r="M1895" s="142"/>
      <c r="N1895" s="143"/>
      <c r="O1895" s="138"/>
      <c r="P1895" s="132"/>
      <c r="Q1895" s="152" t="s">
        <v>2610</v>
      </c>
      <c r="R1895" s="248"/>
      <c r="S1895" s="132"/>
      <c r="T1895" s="132"/>
      <c r="U1895" s="132"/>
      <c r="V1895" s="152"/>
      <c r="W1895" s="248"/>
      <c r="X1895" s="152"/>
      <c r="Y1895" s="136"/>
      <c r="Z1895" s="132"/>
      <c r="AA1895" s="132"/>
      <c r="AB1895" s="132"/>
      <c r="AC1895" s="132"/>
      <c r="AD1895" s="487">
        <v>44317</v>
      </c>
      <c r="AE1895" s="273" t="s">
        <v>7200</v>
      </c>
    </row>
    <row r="1896" spans="1:157" s="302" customFormat="1" ht="27" customHeight="1" x14ac:dyDescent="0.15">
      <c r="A1896" s="203">
        <v>1113300675</v>
      </c>
      <c r="B1896" s="204" t="s">
        <v>8232</v>
      </c>
      <c r="C1896" s="162" t="s">
        <v>8233</v>
      </c>
      <c r="D1896" s="162" t="s">
        <v>89</v>
      </c>
      <c r="E1896" s="162" t="s">
        <v>9627</v>
      </c>
      <c r="F1896" s="205" t="s">
        <v>9628</v>
      </c>
      <c r="G1896" s="206" t="s">
        <v>8234</v>
      </c>
      <c r="H1896" s="206" t="s">
        <v>8235</v>
      </c>
      <c r="I1896" s="141"/>
      <c r="J1896" s="142"/>
      <c r="K1896" s="142"/>
      <c r="L1896" s="142"/>
      <c r="M1896" s="142" t="s">
        <v>395</v>
      </c>
      <c r="N1896" s="143" t="s">
        <v>396</v>
      </c>
      <c r="O1896" s="138" t="s">
        <v>2178</v>
      </c>
      <c r="P1896" s="105"/>
      <c r="Q1896" s="137" t="s">
        <v>765</v>
      </c>
      <c r="R1896" s="138"/>
      <c r="S1896" s="105"/>
      <c r="T1896" s="105"/>
      <c r="U1896" s="105"/>
      <c r="V1896" s="137"/>
      <c r="W1896" s="138"/>
      <c r="X1896" s="137"/>
      <c r="Y1896" s="138"/>
      <c r="Z1896" s="105"/>
      <c r="AA1896" s="105"/>
      <c r="AB1896" s="105"/>
      <c r="AC1896" s="105"/>
      <c r="AD1896" s="155">
        <v>45017</v>
      </c>
      <c r="AE1896" s="108" t="s">
        <v>8236</v>
      </c>
    </row>
    <row r="1897" spans="1:157" ht="27" customHeight="1" x14ac:dyDescent="0.15">
      <c r="A1897" s="105">
        <v>1113300733</v>
      </c>
      <c r="B1897" s="280" t="s">
        <v>5656</v>
      </c>
      <c r="C1897" s="130" t="s">
        <v>9679</v>
      </c>
      <c r="D1897" s="108" t="s">
        <v>89</v>
      </c>
      <c r="E1897" s="281" t="s">
        <v>7076</v>
      </c>
      <c r="F1897" s="132" t="s">
        <v>1924</v>
      </c>
      <c r="G1897" s="139" t="s">
        <v>7077</v>
      </c>
      <c r="H1897" s="139" t="s">
        <v>7078</v>
      </c>
      <c r="I1897" s="141" t="s">
        <v>391</v>
      </c>
      <c r="J1897" s="142" t="s">
        <v>392</v>
      </c>
      <c r="K1897" s="142" t="s">
        <v>393</v>
      </c>
      <c r="L1897" s="142" t="s">
        <v>394</v>
      </c>
      <c r="M1897" s="142" t="s">
        <v>395</v>
      </c>
      <c r="N1897" s="142" t="s">
        <v>396</v>
      </c>
      <c r="O1897" s="142"/>
      <c r="P1897" s="105"/>
      <c r="Q1897" s="137"/>
      <c r="R1897" s="138">
        <v>2</v>
      </c>
      <c r="S1897" s="105"/>
      <c r="T1897" s="105"/>
      <c r="U1897" s="105"/>
      <c r="V1897" s="137"/>
      <c r="W1897" s="138"/>
      <c r="X1897" s="137"/>
      <c r="Y1897" s="138"/>
      <c r="Z1897" s="105"/>
      <c r="AA1897" s="105"/>
      <c r="AB1897" s="105"/>
      <c r="AC1897" s="105"/>
      <c r="AD1897" s="155">
        <v>44501</v>
      </c>
      <c r="AE1897" s="108" t="s">
        <v>7079</v>
      </c>
    </row>
    <row r="1898" spans="1:157" ht="27" customHeight="1" x14ac:dyDescent="0.15">
      <c r="A1898" s="132">
        <v>1113300766</v>
      </c>
      <c r="B1898" s="130" t="s">
        <v>12064</v>
      </c>
      <c r="C1898" s="108" t="s">
        <v>10376</v>
      </c>
      <c r="D1898" s="108" t="s">
        <v>10366</v>
      </c>
      <c r="E1898" s="108" t="s">
        <v>11621</v>
      </c>
      <c r="F1898" s="131" t="s">
        <v>10377</v>
      </c>
      <c r="G1898" s="132" t="s">
        <v>10378</v>
      </c>
      <c r="H1898" s="132" t="s">
        <v>10379</v>
      </c>
      <c r="I1898" s="133" t="s">
        <v>391</v>
      </c>
      <c r="J1898" s="134" t="s">
        <v>392</v>
      </c>
      <c r="K1898" s="134" t="s">
        <v>393</v>
      </c>
      <c r="L1898" s="134" t="s">
        <v>394</v>
      </c>
      <c r="M1898" s="134" t="s">
        <v>395</v>
      </c>
      <c r="N1898" s="135" t="s">
        <v>396</v>
      </c>
      <c r="O1898" s="136"/>
      <c r="P1898" s="105"/>
      <c r="Q1898" s="152" t="s">
        <v>765</v>
      </c>
      <c r="R1898" s="138">
        <v>2</v>
      </c>
      <c r="S1898" s="132"/>
      <c r="T1898" s="105"/>
      <c r="U1898" s="132"/>
      <c r="V1898" s="116"/>
      <c r="W1898" s="117"/>
      <c r="X1898" s="152"/>
      <c r="Y1898" s="136"/>
      <c r="Z1898" s="132"/>
      <c r="AA1898" s="132"/>
      <c r="AB1898" s="132"/>
      <c r="AC1898" s="132"/>
      <c r="AD1898" s="155">
        <v>45839</v>
      </c>
      <c r="AE1898" s="108" t="s">
        <v>10380</v>
      </c>
    </row>
    <row r="1899" spans="1:157" s="65" customFormat="1" ht="27" customHeight="1" x14ac:dyDescent="0.15">
      <c r="A1899" s="105">
        <v>1113700411</v>
      </c>
      <c r="B1899" s="130" t="s">
        <v>6301</v>
      </c>
      <c r="C1899" s="130" t="s">
        <v>6302</v>
      </c>
      <c r="D1899" s="108" t="s">
        <v>90</v>
      </c>
      <c r="E1899" s="281" t="s">
        <v>6303</v>
      </c>
      <c r="F1899" s="132" t="s">
        <v>6304</v>
      </c>
      <c r="G1899" s="139" t="s">
        <v>6305</v>
      </c>
      <c r="H1899" s="139" t="s">
        <v>6305</v>
      </c>
      <c r="I1899" s="141"/>
      <c r="J1899" s="142"/>
      <c r="K1899" s="142"/>
      <c r="L1899" s="142" t="s">
        <v>1184</v>
      </c>
      <c r="M1899" s="142" t="s">
        <v>395</v>
      </c>
      <c r="N1899" s="142" t="s">
        <v>396</v>
      </c>
      <c r="O1899" s="142"/>
      <c r="P1899" s="105"/>
      <c r="Q1899" s="137"/>
      <c r="R1899" s="138">
        <v>1</v>
      </c>
      <c r="S1899" s="105"/>
      <c r="T1899" s="105"/>
      <c r="U1899" s="105"/>
      <c r="V1899" s="137"/>
      <c r="W1899" s="138"/>
      <c r="X1899" s="137"/>
      <c r="Y1899" s="138"/>
      <c r="Z1899" s="105"/>
      <c r="AA1899" s="105"/>
      <c r="AB1899" s="105"/>
      <c r="AC1899" s="105"/>
      <c r="AD1899" s="155">
        <v>44105</v>
      </c>
      <c r="AE1899" s="108" t="s">
        <v>6306</v>
      </c>
    </row>
    <row r="1900" spans="1:157" s="218" customFormat="1" ht="28.5" customHeight="1" x14ac:dyDescent="0.15">
      <c r="A1900" s="76">
        <v>1113700478</v>
      </c>
      <c r="B1900" s="147" t="s">
        <v>11683</v>
      </c>
      <c r="C1900" s="166" t="s">
        <v>8929</v>
      </c>
      <c r="D1900" s="166" t="s">
        <v>90</v>
      </c>
      <c r="E1900" s="166" t="s">
        <v>8930</v>
      </c>
      <c r="F1900" s="328" t="s">
        <v>6304</v>
      </c>
      <c r="G1900" s="147" t="s">
        <v>8931</v>
      </c>
      <c r="H1900" s="147"/>
      <c r="I1900" s="141" t="s">
        <v>391</v>
      </c>
      <c r="J1900" s="142" t="s">
        <v>392</v>
      </c>
      <c r="K1900" s="142" t="s">
        <v>393</v>
      </c>
      <c r="L1900" s="142" t="s">
        <v>394</v>
      </c>
      <c r="M1900" s="142" t="s">
        <v>395</v>
      </c>
      <c r="N1900" s="177" t="s">
        <v>396</v>
      </c>
      <c r="O1900" s="177" t="s">
        <v>2178</v>
      </c>
      <c r="P1900" s="105"/>
      <c r="Q1900" s="116" t="s">
        <v>49</v>
      </c>
      <c r="R1900" s="138">
        <v>1</v>
      </c>
      <c r="S1900" s="105"/>
      <c r="T1900" s="105"/>
      <c r="U1900" s="105"/>
      <c r="V1900" s="116"/>
      <c r="W1900" s="138"/>
      <c r="X1900" s="116"/>
      <c r="Y1900" s="138"/>
      <c r="Z1900" s="105"/>
      <c r="AA1900" s="105"/>
      <c r="AB1900" s="105"/>
      <c r="AC1900" s="105"/>
      <c r="AD1900" s="144">
        <v>45292</v>
      </c>
      <c r="AE1900" s="108" t="s">
        <v>8938</v>
      </c>
    </row>
    <row r="1901" spans="1:157" s="65" customFormat="1" ht="27" customHeight="1" x14ac:dyDescent="0.15">
      <c r="A1901" s="228">
        <v>1113700494</v>
      </c>
      <c r="B1901" s="280" t="s">
        <v>5656</v>
      </c>
      <c r="C1901" s="130" t="s">
        <v>9680</v>
      </c>
      <c r="D1901" s="108" t="s">
        <v>90</v>
      </c>
      <c r="E1901" s="130" t="s">
        <v>5652</v>
      </c>
      <c r="F1901" s="131" t="s">
        <v>5653</v>
      </c>
      <c r="G1901" s="132" t="s">
        <v>5654</v>
      </c>
      <c r="H1901" s="132" t="s">
        <v>5655</v>
      </c>
      <c r="I1901" s="133"/>
      <c r="J1901" s="134"/>
      <c r="K1901" s="154"/>
      <c r="L1901" s="142" t="s">
        <v>1184</v>
      </c>
      <c r="M1901" s="142" t="s">
        <v>395</v>
      </c>
      <c r="N1901" s="143" t="s">
        <v>396</v>
      </c>
      <c r="O1901" s="138"/>
      <c r="P1901" s="132"/>
      <c r="Q1901" s="272"/>
      <c r="R1901" s="248">
        <v>1</v>
      </c>
      <c r="S1901" s="132"/>
      <c r="T1901" s="132"/>
      <c r="U1901" s="132"/>
      <c r="V1901" s="152"/>
      <c r="W1901" s="248"/>
      <c r="X1901" s="152"/>
      <c r="Y1901" s="136"/>
      <c r="Z1901" s="132"/>
      <c r="AA1901" s="132"/>
      <c r="AB1901" s="132"/>
      <c r="AC1901" s="132"/>
      <c r="AD1901" s="239">
        <v>43709</v>
      </c>
      <c r="AE1901" s="273" t="s">
        <v>8068</v>
      </c>
    </row>
    <row r="1902" spans="1:157" s="218" customFormat="1" ht="24" hidden="1" x14ac:dyDescent="0.15">
      <c r="A1902" s="175">
        <v>1113700502</v>
      </c>
      <c r="B1902" s="204" t="s">
        <v>10124</v>
      </c>
      <c r="C1902" s="162" t="s">
        <v>11441</v>
      </c>
      <c r="D1902" s="162" t="s">
        <v>90</v>
      </c>
      <c r="E1902" s="162" t="s">
        <v>10125</v>
      </c>
      <c r="F1902" s="268" t="s">
        <v>10126</v>
      </c>
      <c r="G1902" s="203" t="s">
        <v>816</v>
      </c>
      <c r="H1902" s="203" t="s">
        <v>817</v>
      </c>
      <c r="I1902" s="133"/>
      <c r="J1902" s="134"/>
      <c r="K1902" s="134"/>
      <c r="L1902" s="134"/>
      <c r="M1902" s="142" t="s">
        <v>395</v>
      </c>
      <c r="N1902" s="143" t="s">
        <v>396</v>
      </c>
      <c r="O1902" s="136"/>
      <c r="P1902" s="175"/>
      <c r="Q1902" s="363" t="s">
        <v>2610</v>
      </c>
      <c r="R1902" s="210"/>
      <c r="S1902" s="175"/>
      <c r="T1902" s="175"/>
      <c r="U1902" s="175"/>
      <c r="V1902" s="209"/>
      <c r="W1902" s="210"/>
      <c r="X1902" s="209"/>
      <c r="Y1902" s="210"/>
      <c r="Z1902" s="175"/>
      <c r="AA1902" s="175"/>
      <c r="AB1902" s="175"/>
      <c r="AC1902" s="175"/>
      <c r="AD1902" s="227">
        <v>45748</v>
      </c>
      <c r="AE1902" s="162" t="s">
        <v>10127</v>
      </c>
    </row>
    <row r="1903" spans="1:157" s="302" customFormat="1" ht="27" customHeight="1" x14ac:dyDescent="0.15">
      <c r="A1903" s="132">
        <v>1113700536</v>
      </c>
      <c r="B1903" s="130" t="s">
        <v>10117</v>
      </c>
      <c r="C1903" s="108" t="s">
        <v>10546</v>
      </c>
      <c r="D1903" s="108" t="s">
        <v>90</v>
      </c>
      <c r="E1903" s="108" t="s">
        <v>10547</v>
      </c>
      <c r="F1903" s="264" t="s">
        <v>11005</v>
      </c>
      <c r="G1903" s="137" t="s">
        <v>11006</v>
      </c>
      <c r="H1903" s="137" t="s">
        <v>11007</v>
      </c>
      <c r="I1903" s="141" t="s">
        <v>391</v>
      </c>
      <c r="J1903" s="142" t="s">
        <v>392</v>
      </c>
      <c r="K1903" s="142" t="s">
        <v>393</v>
      </c>
      <c r="L1903" s="142" t="s">
        <v>394</v>
      </c>
      <c r="M1903" s="142" t="s">
        <v>395</v>
      </c>
      <c r="N1903" s="177" t="s">
        <v>396</v>
      </c>
      <c r="O1903" s="92"/>
      <c r="P1903" s="105"/>
      <c r="Q1903" s="137"/>
      <c r="R1903" s="138">
        <v>2</v>
      </c>
      <c r="S1903" s="105"/>
      <c r="T1903" s="105"/>
      <c r="U1903" s="105"/>
      <c r="V1903" s="137"/>
      <c r="W1903" s="138"/>
      <c r="X1903" s="137"/>
      <c r="Y1903" s="138"/>
      <c r="Z1903" s="105"/>
      <c r="AA1903" s="105"/>
      <c r="AB1903" s="105"/>
      <c r="AC1903" s="105"/>
      <c r="AD1903" s="118">
        <v>45870</v>
      </c>
      <c r="AE1903" s="108" t="s">
        <v>10548</v>
      </c>
    </row>
    <row r="1904" spans="1:157" s="563" customFormat="1" ht="13.5" hidden="1" x14ac:dyDescent="0.15">
      <c r="A1904" s="105">
        <v>1113700551</v>
      </c>
      <c r="B1904" s="130" t="s">
        <v>11106</v>
      </c>
      <c r="C1904" s="108" t="s">
        <v>11107</v>
      </c>
      <c r="D1904" s="108" t="s">
        <v>90</v>
      </c>
      <c r="E1904" s="108" t="s">
        <v>11108</v>
      </c>
      <c r="F1904" s="131" t="s">
        <v>11109</v>
      </c>
      <c r="G1904" s="132" t="s">
        <v>11110</v>
      </c>
      <c r="H1904" s="132"/>
      <c r="I1904" s="133" t="s">
        <v>391</v>
      </c>
      <c r="J1904" s="134" t="s">
        <v>392</v>
      </c>
      <c r="K1904" s="134" t="s">
        <v>393</v>
      </c>
      <c r="L1904" s="134" t="s">
        <v>394</v>
      </c>
      <c r="M1904" s="134" t="s">
        <v>395</v>
      </c>
      <c r="N1904" s="135" t="s">
        <v>396</v>
      </c>
      <c r="O1904" s="136" t="s">
        <v>2178</v>
      </c>
      <c r="P1904" s="105"/>
      <c r="Q1904" s="137"/>
      <c r="R1904" s="138">
        <v>1</v>
      </c>
      <c r="S1904" s="105"/>
      <c r="T1904" s="105"/>
      <c r="U1904" s="105"/>
      <c r="V1904" s="137"/>
      <c r="W1904" s="138"/>
      <c r="X1904" s="137"/>
      <c r="Y1904" s="138"/>
      <c r="Z1904" s="105"/>
      <c r="AA1904" s="105"/>
      <c r="AB1904" s="105"/>
      <c r="AC1904" s="105"/>
      <c r="AD1904" s="118">
        <v>46054</v>
      </c>
      <c r="AE1904" s="108" t="s">
        <v>11111</v>
      </c>
      <c r="AF1904" s="562"/>
      <c r="AG1904" s="562"/>
      <c r="AH1904" s="562"/>
      <c r="AI1904" s="562"/>
      <c r="AJ1904" s="562"/>
      <c r="AK1904" s="562"/>
      <c r="AL1904" s="562"/>
      <c r="AM1904" s="562"/>
      <c r="AN1904" s="562"/>
      <c r="AO1904" s="562"/>
      <c r="AP1904" s="562"/>
      <c r="AQ1904" s="562"/>
      <c r="AR1904" s="562"/>
      <c r="AS1904" s="562"/>
      <c r="AT1904" s="562"/>
      <c r="AU1904" s="562"/>
      <c r="AV1904" s="562"/>
      <c r="AW1904" s="562"/>
      <c r="AX1904" s="562"/>
      <c r="AY1904" s="562"/>
      <c r="AZ1904" s="562"/>
      <c r="BA1904" s="562"/>
      <c r="BB1904" s="562"/>
      <c r="BC1904" s="562"/>
      <c r="BD1904" s="562"/>
      <c r="BE1904" s="562"/>
      <c r="BF1904" s="562"/>
      <c r="BG1904" s="562"/>
      <c r="BH1904" s="562"/>
      <c r="BI1904" s="562"/>
      <c r="BJ1904" s="562"/>
      <c r="BK1904" s="562"/>
      <c r="BL1904" s="562"/>
      <c r="BM1904" s="562"/>
      <c r="BN1904" s="562"/>
      <c r="BO1904" s="562"/>
      <c r="BP1904" s="562"/>
      <c r="BQ1904" s="562"/>
      <c r="BR1904" s="562"/>
      <c r="BS1904" s="562"/>
      <c r="BT1904" s="562"/>
      <c r="BU1904" s="562"/>
      <c r="BV1904" s="562"/>
      <c r="BW1904" s="562"/>
      <c r="BX1904" s="562"/>
      <c r="BY1904" s="562"/>
      <c r="BZ1904" s="562"/>
      <c r="CA1904" s="562"/>
      <c r="CB1904" s="562"/>
      <c r="CC1904" s="562"/>
      <c r="CD1904" s="562"/>
      <c r="CE1904" s="562"/>
      <c r="CF1904" s="562"/>
      <c r="CG1904" s="562"/>
      <c r="CH1904" s="562"/>
      <c r="CI1904" s="562"/>
      <c r="CJ1904" s="562"/>
      <c r="CK1904" s="562"/>
      <c r="CL1904" s="562"/>
      <c r="CM1904" s="562"/>
      <c r="CN1904" s="562"/>
      <c r="CO1904" s="562"/>
      <c r="CP1904" s="562"/>
      <c r="CQ1904" s="562"/>
      <c r="CR1904" s="562"/>
      <c r="CS1904" s="562"/>
      <c r="CT1904" s="562"/>
      <c r="CU1904" s="562"/>
      <c r="CV1904" s="562"/>
      <c r="CW1904" s="562"/>
      <c r="CX1904" s="562"/>
      <c r="CY1904" s="562"/>
      <c r="CZ1904" s="562"/>
      <c r="DA1904" s="562"/>
      <c r="DB1904" s="562"/>
      <c r="DC1904" s="562"/>
      <c r="DD1904" s="562"/>
      <c r="DE1904" s="562"/>
      <c r="DF1904" s="562"/>
      <c r="DG1904" s="562"/>
      <c r="DH1904" s="562"/>
      <c r="DI1904" s="562"/>
      <c r="DJ1904" s="562"/>
      <c r="DK1904" s="562"/>
      <c r="DL1904" s="562"/>
      <c r="DM1904" s="562"/>
      <c r="DN1904" s="562"/>
      <c r="DO1904" s="562"/>
      <c r="DP1904" s="562"/>
      <c r="DQ1904" s="562"/>
      <c r="DR1904" s="562"/>
      <c r="DS1904" s="562"/>
      <c r="DT1904" s="562"/>
      <c r="DU1904" s="562"/>
      <c r="DV1904" s="562"/>
      <c r="DW1904" s="562"/>
      <c r="DX1904" s="562"/>
      <c r="DY1904" s="562"/>
      <c r="DZ1904" s="562"/>
      <c r="EA1904" s="562"/>
      <c r="EB1904" s="562"/>
      <c r="EC1904" s="562"/>
      <c r="ED1904" s="562"/>
      <c r="EE1904" s="562"/>
      <c r="EF1904" s="562"/>
      <c r="EG1904" s="562"/>
      <c r="EH1904" s="562"/>
      <c r="EI1904" s="562"/>
      <c r="EJ1904" s="562"/>
      <c r="EK1904" s="562"/>
      <c r="EL1904" s="562"/>
      <c r="EM1904" s="562"/>
      <c r="EN1904" s="562"/>
      <c r="EO1904" s="562"/>
      <c r="EP1904" s="562"/>
      <c r="EQ1904" s="562"/>
      <c r="ER1904" s="562"/>
      <c r="ES1904" s="562"/>
      <c r="ET1904" s="562"/>
      <c r="EU1904" s="562"/>
      <c r="EV1904" s="562"/>
      <c r="EW1904" s="562"/>
      <c r="EX1904" s="562"/>
      <c r="EY1904" s="562"/>
      <c r="EZ1904" s="562"/>
      <c r="FA1904" s="562"/>
    </row>
    <row r="1905" spans="1:31" ht="27" customHeight="1" x14ac:dyDescent="0.15">
      <c r="A1905" s="543">
        <v>1113700593</v>
      </c>
      <c r="B1905" s="544" t="s">
        <v>12273</v>
      </c>
      <c r="C1905" s="544" t="s">
        <v>12274</v>
      </c>
      <c r="D1905" s="545" t="s">
        <v>12275</v>
      </c>
      <c r="E1905" s="544" t="s">
        <v>12276</v>
      </c>
      <c r="F1905" s="546" t="s">
        <v>12277</v>
      </c>
      <c r="G1905" s="547" t="s">
        <v>12278</v>
      </c>
      <c r="H1905" s="547" t="s">
        <v>12279</v>
      </c>
      <c r="I1905" s="548"/>
      <c r="J1905" s="549"/>
      <c r="K1905" s="549"/>
      <c r="L1905" s="549"/>
      <c r="M1905" s="549" t="s">
        <v>10951</v>
      </c>
      <c r="N1905" s="550"/>
      <c r="O1905" s="551"/>
      <c r="P1905" s="547"/>
      <c r="Q1905" s="533"/>
      <c r="R1905" s="534">
        <v>2</v>
      </c>
      <c r="S1905" s="547"/>
      <c r="T1905" s="547"/>
      <c r="U1905" s="547"/>
      <c r="V1905" s="552"/>
      <c r="W1905" s="534"/>
      <c r="X1905" s="552"/>
      <c r="Y1905" s="551"/>
      <c r="Z1905" s="547"/>
      <c r="AA1905" s="547"/>
      <c r="AB1905" s="547"/>
      <c r="AC1905" s="547"/>
      <c r="AD1905" s="553">
        <v>46235</v>
      </c>
      <c r="AE1905" s="554" t="s">
        <v>12280</v>
      </c>
    </row>
    <row r="1906" spans="1:31" s="65" customFormat="1" ht="27" customHeight="1" x14ac:dyDescent="0.15">
      <c r="A1906" s="105">
        <v>1113800179</v>
      </c>
      <c r="B1906" s="130" t="s">
        <v>2017</v>
      </c>
      <c r="C1906" s="108" t="s">
        <v>2018</v>
      </c>
      <c r="D1906" s="108" t="s">
        <v>91</v>
      </c>
      <c r="E1906" s="108" t="s">
        <v>2019</v>
      </c>
      <c r="F1906" s="131" t="s">
        <v>2020</v>
      </c>
      <c r="G1906" s="132" t="s">
        <v>2021</v>
      </c>
      <c r="H1906" s="132" t="s">
        <v>2022</v>
      </c>
      <c r="I1906" s="133"/>
      <c r="J1906" s="134"/>
      <c r="K1906" s="134"/>
      <c r="L1906" s="134"/>
      <c r="M1906" s="134" t="s">
        <v>49</v>
      </c>
      <c r="N1906" s="135"/>
      <c r="O1906" s="136"/>
      <c r="P1906" s="105"/>
      <c r="Q1906" s="137"/>
      <c r="R1906" s="138">
        <v>5</v>
      </c>
      <c r="S1906" s="132"/>
      <c r="T1906" s="105"/>
      <c r="U1906" s="132"/>
      <c r="V1906" s="152"/>
      <c r="W1906" s="136"/>
      <c r="X1906" s="152"/>
      <c r="Y1906" s="136"/>
      <c r="Z1906" s="132"/>
      <c r="AA1906" s="132"/>
      <c r="AB1906" s="132"/>
      <c r="AC1906" s="132"/>
      <c r="AD1906" s="155">
        <v>41000</v>
      </c>
      <c r="AE1906" s="108" t="s">
        <v>9662</v>
      </c>
    </row>
    <row r="1907" spans="1:31" s="218" customFormat="1" ht="27" customHeight="1" x14ac:dyDescent="0.15">
      <c r="A1907" s="228">
        <v>1113800369</v>
      </c>
      <c r="B1907" s="130" t="s">
        <v>3709</v>
      </c>
      <c r="C1907" s="130" t="s">
        <v>3712</v>
      </c>
      <c r="D1907" s="108" t="s">
        <v>91</v>
      </c>
      <c r="E1907" s="130" t="s">
        <v>3710</v>
      </c>
      <c r="F1907" s="131" t="s">
        <v>3713</v>
      </c>
      <c r="G1907" s="132" t="s">
        <v>3714</v>
      </c>
      <c r="H1907" s="132" t="s">
        <v>3715</v>
      </c>
      <c r="I1907" s="133"/>
      <c r="J1907" s="134"/>
      <c r="K1907" s="154"/>
      <c r="L1907" s="142"/>
      <c r="M1907" s="142" t="s">
        <v>395</v>
      </c>
      <c r="N1907" s="143"/>
      <c r="O1907" s="138"/>
      <c r="P1907" s="132"/>
      <c r="Q1907" s="272" t="s">
        <v>3716</v>
      </c>
      <c r="R1907" s="248">
        <v>1</v>
      </c>
      <c r="S1907" s="132"/>
      <c r="T1907" s="132"/>
      <c r="U1907" s="132"/>
      <c r="V1907" s="152"/>
      <c r="W1907" s="248"/>
      <c r="X1907" s="152"/>
      <c r="Y1907" s="136"/>
      <c r="Z1907" s="132"/>
      <c r="AA1907" s="132"/>
      <c r="AB1907" s="132"/>
      <c r="AC1907" s="132"/>
      <c r="AD1907" s="239">
        <v>42767</v>
      </c>
      <c r="AE1907" s="273" t="s">
        <v>3711</v>
      </c>
    </row>
    <row r="1908" spans="1:31" s="65" customFormat="1" ht="27" customHeight="1" x14ac:dyDescent="0.15">
      <c r="A1908" s="105">
        <v>1113800484</v>
      </c>
      <c r="B1908" s="130" t="s">
        <v>4987</v>
      </c>
      <c r="C1908" s="108" t="s">
        <v>4988</v>
      </c>
      <c r="D1908" s="108" t="s">
        <v>91</v>
      </c>
      <c r="E1908" s="108" t="s">
        <v>4989</v>
      </c>
      <c r="F1908" s="131" t="s">
        <v>4990</v>
      </c>
      <c r="G1908" s="132" t="s">
        <v>4991</v>
      </c>
      <c r="H1908" s="132" t="s">
        <v>4992</v>
      </c>
      <c r="I1908" s="133" t="s">
        <v>391</v>
      </c>
      <c r="J1908" s="134" t="s">
        <v>392</v>
      </c>
      <c r="K1908" s="134" t="s">
        <v>393</v>
      </c>
      <c r="L1908" s="134" t="s">
        <v>394</v>
      </c>
      <c r="M1908" s="134" t="s">
        <v>395</v>
      </c>
      <c r="N1908" s="135"/>
      <c r="O1908" s="136" t="s">
        <v>2178</v>
      </c>
      <c r="P1908" s="105"/>
      <c r="Q1908" s="152"/>
      <c r="R1908" s="138">
        <v>2</v>
      </c>
      <c r="S1908" s="105"/>
      <c r="T1908" s="105"/>
      <c r="U1908" s="105"/>
      <c r="V1908" s="137"/>
      <c r="W1908" s="138"/>
      <c r="X1908" s="137"/>
      <c r="Y1908" s="138"/>
      <c r="Z1908" s="105"/>
      <c r="AA1908" s="105"/>
      <c r="AB1908" s="105"/>
      <c r="AC1908" s="105"/>
      <c r="AD1908" s="118">
        <v>43556</v>
      </c>
      <c r="AE1908" s="108" t="s">
        <v>4993</v>
      </c>
    </row>
    <row r="1909" spans="1:31" ht="27" customHeight="1" x14ac:dyDescent="0.15">
      <c r="A1909" s="105">
        <v>1113800542</v>
      </c>
      <c r="B1909" s="130" t="s">
        <v>7605</v>
      </c>
      <c r="C1909" s="130" t="s">
        <v>7606</v>
      </c>
      <c r="D1909" s="108" t="s">
        <v>91</v>
      </c>
      <c r="E1909" s="281" t="s">
        <v>7607</v>
      </c>
      <c r="F1909" s="132" t="s">
        <v>7608</v>
      </c>
      <c r="G1909" s="139" t="s">
        <v>7609</v>
      </c>
      <c r="H1909" s="139" t="s">
        <v>7610</v>
      </c>
      <c r="I1909" s="141"/>
      <c r="J1909" s="142"/>
      <c r="K1909" s="142"/>
      <c r="L1909" s="142"/>
      <c r="M1909" s="142" t="s">
        <v>395</v>
      </c>
      <c r="N1909" s="177" t="s">
        <v>396</v>
      </c>
      <c r="O1909" s="177" t="s">
        <v>2178</v>
      </c>
      <c r="P1909" s="105"/>
      <c r="Q1909" s="137" t="s">
        <v>765</v>
      </c>
      <c r="R1909" s="138"/>
      <c r="S1909" s="105"/>
      <c r="T1909" s="105"/>
      <c r="U1909" s="105"/>
      <c r="V1909" s="137"/>
      <c r="W1909" s="138"/>
      <c r="X1909" s="137"/>
      <c r="Y1909" s="138"/>
      <c r="Z1909" s="105"/>
      <c r="AA1909" s="105"/>
      <c r="AB1909" s="105"/>
      <c r="AC1909" s="105"/>
      <c r="AD1909" s="144">
        <v>44713</v>
      </c>
      <c r="AE1909" s="108" t="s">
        <v>7611</v>
      </c>
    </row>
    <row r="1910" spans="1:31" ht="27" customHeight="1" x14ac:dyDescent="0.15">
      <c r="A1910" s="132">
        <v>1113800609</v>
      </c>
      <c r="B1910" s="130" t="s">
        <v>11920</v>
      </c>
      <c r="C1910" s="108" t="s">
        <v>9151</v>
      </c>
      <c r="D1910" s="108" t="s">
        <v>91</v>
      </c>
      <c r="E1910" s="108" t="s">
        <v>9152</v>
      </c>
      <c r="F1910" s="139" t="s">
        <v>9153</v>
      </c>
      <c r="G1910" s="140" t="s">
        <v>9154</v>
      </c>
      <c r="H1910" s="140" t="s">
        <v>9155</v>
      </c>
      <c r="I1910" s="141"/>
      <c r="J1910" s="142"/>
      <c r="K1910" s="142"/>
      <c r="L1910" s="142"/>
      <c r="M1910" s="142" t="s">
        <v>395</v>
      </c>
      <c r="N1910" s="143" t="s">
        <v>396</v>
      </c>
      <c r="O1910" s="138" t="s">
        <v>2178</v>
      </c>
      <c r="P1910" s="105"/>
      <c r="Q1910" s="152" t="s">
        <v>2610</v>
      </c>
      <c r="R1910" s="138"/>
      <c r="S1910" s="105"/>
      <c r="T1910" s="105"/>
      <c r="U1910" s="105"/>
      <c r="V1910" s="137"/>
      <c r="W1910" s="138"/>
      <c r="X1910" s="137"/>
      <c r="Y1910" s="138"/>
      <c r="Z1910" s="105"/>
      <c r="AA1910" s="105"/>
      <c r="AB1910" s="105"/>
      <c r="AC1910" s="105"/>
      <c r="AD1910" s="155">
        <v>45383</v>
      </c>
      <c r="AE1910" s="108" t="s">
        <v>9156</v>
      </c>
    </row>
    <row r="1911" spans="1:31" s="65" customFormat="1" ht="27" customHeight="1" x14ac:dyDescent="0.15">
      <c r="A1911" s="132">
        <v>1113800625</v>
      </c>
      <c r="B1911" s="280" t="s">
        <v>5656</v>
      </c>
      <c r="C1911" s="108" t="s">
        <v>9682</v>
      </c>
      <c r="D1911" s="267" t="s">
        <v>4089</v>
      </c>
      <c r="E1911" s="108" t="s">
        <v>8294</v>
      </c>
      <c r="F1911" s="264" t="s">
        <v>8295</v>
      </c>
      <c r="G1911" s="137" t="s">
        <v>8296</v>
      </c>
      <c r="H1911" s="137" t="s">
        <v>8297</v>
      </c>
      <c r="I1911" s="141" t="s">
        <v>391</v>
      </c>
      <c r="J1911" s="142" t="s">
        <v>392</v>
      </c>
      <c r="K1911" s="142" t="s">
        <v>393</v>
      </c>
      <c r="L1911" s="142" t="s">
        <v>394</v>
      </c>
      <c r="M1911" s="142" t="s">
        <v>395</v>
      </c>
      <c r="N1911" s="143" t="s">
        <v>396</v>
      </c>
      <c r="O1911" s="138"/>
      <c r="P1911" s="105"/>
      <c r="Q1911" s="137"/>
      <c r="R1911" s="138">
        <v>1</v>
      </c>
      <c r="S1911" s="105"/>
      <c r="T1911" s="105"/>
      <c r="U1911" s="105"/>
      <c r="V1911" s="137"/>
      <c r="W1911" s="138"/>
      <c r="X1911" s="137"/>
      <c r="Y1911" s="138"/>
      <c r="Z1911" s="105"/>
      <c r="AA1911" s="105"/>
      <c r="AB1911" s="105"/>
      <c r="AC1911" s="105"/>
      <c r="AD1911" s="155">
        <v>45047</v>
      </c>
      <c r="AE1911" s="108" t="s">
        <v>8298</v>
      </c>
    </row>
    <row r="1912" spans="1:31" ht="27" customHeight="1" x14ac:dyDescent="0.15">
      <c r="A1912" s="105">
        <v>1113800633</v>
      </c>
      <c r="B1912" s="280" t="s">
        <v>5656</v>
      </c>
      <c r="C1912" s="130" t="s">
        <v>9681</v>
      </c>
      <c r="D1912" s="108" t="s">
        <v>91</v>
      </c>
      <c r="E1912" s="281" t="s">
        <v>7220</v>
      </c>
      <c r="F1912" s="132" t="s">
        <v>7221</v>
      </c>
      <c r="G1912" s="139" t="s">
        <v>7222</v>
      </c>
      <c r="H1912" s="139" t="s">
        <v>7223</v>
      </c>
      <c r="I1912" s="141" t="s">
        <v>391</v>
      </c>
      <c r="J1912" s="142" t="s">
        <v>392</v>
      </c>
      <c r="K1912" s="142" t="s">
        <v>393</v>
      </c>
      <c r="L1912" s="142" t="s">
        <v>394</v>
      </c>
      <c r="M1912" s="142" t="s">
        <v>395</v>
      </c>
      <c r="N1912" s="142" t="s">
        <v>396</v>
      </c>
      <c r="O1912" s="142"/>
      <c r="P1912" s="105"/>
      <c r="Q1912" s="137"/>
      <c r="R1912" s="138">
        <v>2</v>
      </c>
      <c r="S1912" s="105"/>
      <c r="T1912" s="105"/>
      <c r="U1912" s="105"/>
      <c r="V1912" s="137"/>
      <c r="W1912" s="138"/>
      <c r="X1912" s="137"/>
      <c r="Y1912" s="138"/>
      <c r="Z1912" s="105"/>
      <c r="AA1912" s="105"/>
      <c r="AB1912" s="105"/>
      <c r="AC1912" s="105"/>
      <c r="AD1912" s="144">
        <v>44562</v>
      </c>
      <c r="AE1912" s="108" t="s">
        <v>7224</v>
      </c>
    </row>
    <row r="1913" spans="1:31" ht="27" customHeight="1" x14ac:dyDescent="0.15">
      <c r="A1913" s="105">
        <v>1113800641</v>
      </c>
      <c r="B1913" s="280" t="s">
        <v>10250</v>
      </c>
      <c r="C1913" s="130" t="s">
        <v>10251</v>
      </c>
      <c r="D1913" s="267" t="s">
        <v>10252</v>
      </c>
      <c r="E1913" s="281" t="s">
        <v>10253</v>
      </c>
      <c r="F1913" s="132">
        <v>3470032</v>
      </c>
      <c r="G1913" s="488" t="s">
        <v>10358</v>
      </c>
      <c r="H1913" s="488" t="s">
        <v>10254</v>
      </c>
      <c r="I1913" s="141" t="s">
        <v>391</v>
      </c>
      <c r="J1913" s="142" t="s">
        <v>392</v>
      </c>
      <c r="K1913" s="142" t="s">
        <v>393</v>
      </c>
      <c r="L1913" s="142" t="s">
        <v>394</v>
      </c>
      <c r="M1913" s="142" t="s">
        <v>395</v>
      </c>
      <c r="N1913" s="142" t="s">
        <v>396</v>
      </c>
      <c r="O1913" s="138" t="s">
        <v>2178</v>
      </c>
      <c r="P1913" s="105"/>
      <c r="Q1913" s="137"/>
      <c r="R1913" s="138">
        <v>2</v>
      </c>
      <c r="S1913" s="105"/>
      <c r="T1913" s="105"/>
      <c r="U1913" s="105"/>
      <c r="V1913" s="137"/>
      <c r="W1913" s="138"/>
      <c r="X1913" s="137"/>
      <c r="Y1913" s="138"/>
      <c r="Z1913" s="105"/>
      <c r="AA1913" s="105"/>
      <c r="AB1913" s="105"/>
      <c r="AC1913" s="105"/>
      <c r="AD1913" s="144">
        <v>45717</v>
      </c>
      <c r="AE1913" s="108"/>
    </row>
    <row r="1914" spans="1:31" s="65" customFormat="1" ht="27" customHeight="1" x14ac:dyDescent="0.15">
      <c r="A1914" s="132">
        <v>1113900417</v>
      </c>
      <c r="B1914" s="130" t="s">
        <v>8551</v>
      </c>
      <c r="C1914" s="108" t="s">
        <v>8557</v>
      </c>
      <c r="D1914" s="267" t="s">
        <v>1879</v>
      </c>
      <c r="E1914" s="108" t="s">
        <v>8552</v>
      </c>
      <c r="F1914" s="264" t="s">
        <v>8553</v>
      </c>
      <c r="G1914" s="137" t="s">
        <v>8554</v>
      </c>
      <c r="H1914" s="137" t="s">
        <v>8555</v>
      </c>
      <c r="I1914" s="141" t="s">
        <v>391</v>
      </c>
      <c r="J1914" s="142" t="s">
        <v>392</v>
      </c>
      <c r="K1914" s="142" t="s">
        <v>393</v>
      </c>
      <c r="L1914" s="142" t="s">
        <v>394</v>
      </c>
      <c r="M1914" s="142" t="s">
        <v>395</v>
      </c>
      <c r="N1914" s="143" t="s">
        <v>396</v>
      </c>
      <c r="O1914" s="138"/>
      <c r="P1914" s="105"/>
      <c r="Q1914" s="137"/>
      <c r="R1914" s="138">
        <v>1</v>
      </c>
      <c r="S1914" s="105"/>
      <c r="T1914" s="105"/>
      <c r="U1914" s="105"/>
      <c r="V1914" s="137"/>
      <c r="W1914" s="138"/>
      <c r="X1914" s="137"/>
      <c r="Y1914" s="138"/>
      <c r="Z1914" s="105"/>
      <c r="AA1914" s="105"/>
      <c r="AB1914" s="105"/>
      <c r="AC1914" s="105"/>
      <c r="AD1914" s="155">
        <v>42675</v>
      </c>
      <c r="AE1914" s="108" t="s">
        <v>8556</v>
      </c>
    </row>
    <row r="1915" spans="1:31" ht="27" customHeight="1" x14ac:dyDescent="0.15">
      <c r="A1915" s="132">
        <v>1113800658</v>
      </c>
      <c r="B1915" s="106" t="s">
        <v>9945</v>
      </c>
      <c r="C1915" s="108" t="s">
        <v>9947</v>
      </c>
      <c r="D1915" s="108" t="s">
        <v>91</v>
      </c>
      <c r="E1915" s="108" t="s">
        <v>7700</v>
      </c>
      <c r="F1915" s="139" t="s">
        <v>7701</v>
      </c>
      <c r="G1915" s="140" t="s">
        <v>7702</v>
      </c>
      <c r="H1915" s="140" t="s">
        <v>7703</v>
      </c>
      <c r="I1915" s="141" t="s">
        <v>391</v>
      </c>
      <c r="J1915" s="142" t="s">
        <v>392</v>
      </c>
      <c r="K1915" s="142" t="s">
        <v>393</v>
      </c>
      <c r="L1915" s="142" t="s">
        <v>394</v>
      </c>
      <c r="M1915" s="142" t="s">
        <v>395</v>
      </c>
      <c r="N1915" s="143" t="s">
        <v>396</v>
      </c>
      <c r="O1915" s="138" t="s">
        <v>2178</v>
      </c>
      <c r="P1915" s="105"/>
      <c r="Q1915" s="137"/>
      <c r="R1915" s="138">
        <v>1</v>
      </c>
      <c r="S1915" s="105"/>
      <c r="T1915" s="105"/>
      <c r="U1915" s="105"/>
      <c r="V1915" s="137"/>
      <c r="W1915" s="138"/>
      <c r="X1915" s="137"/>
      <c r="Y1915" s="138"/>
      <c r="Z1915" s="105"/>
      <c r="AA1915" s="105"/>
      <c r="AB1915" s="105"/>
      <c r="AC1915" s="175"/>
      <c r="AD1915" s="227">
        <v>45717</v>
      </c>
      <c r="AE1915" s="108" t="s">
        <v>7704</v>
      </c>
    </row>
    <row r="1916" spans="1:31" s="302" customFormat="1" ht="27" customHeight="1" x14ac:dyDescent="0.15">
      <c r="A1916" s="76">
        <v>1113900557</v>
      </c>
      <c r="B1916" s="153" t="s">
        <v>8776</v>
      </c>
      <c r="C1916" s="147" t="s">
        <v>8777</v>
      </c>
      <c r="D1916" s="166" t="s">
        <v>92</v>
      </c>
      <c r="E1916" s="166" t="s">
        <v>8778</v>
      </c>
      <c r="F1916" s="328" t="s">
        <v>4985</v>
      </c>
      <c r="G1916" s="147" t="s">
        <v>8779</v>
      </c>
      <c r="H1916" s="147" t="s">
        <v>8780</v>
      </c>
      <c r="I1916" s="133" t="s">
        <v>391</v>
      </c>
      <c r="J1916" s="134" t="s">
        <v>392</v>
      </c>
      <c r="K1916" s="134" t="s">
        <v>393</v>
      </c>
      <c r="L1916" s="134" t="s">
        <v>394</v>
      </c>
      <c r="M1916" s="134" t="s">
        <v>395</v>
      </c>
      <c r="N1916" s="135" t="s">
        <v>396</v>
      </c>
      <c r="O1916" s="136"/>
      <c r="P1916" s="105"/>
      <c r="Q1916" s="152"/>
      <c r="R1916" s="138">
        <v>2</v>
      </c>
      <c r="S1916" s="105"/>
      <c r="T1916" s="105"/>
      <c r="U1916" s="105"/>
      <c r="V1916" s="137"/>
      <c r="W1916" s="138"/>
      <c r="X1916" s="137"/>
      <c r="Y1916" s="138"/>
      <c r="Z1916" s="105"/>
      <c r="AA1916" s="105"/>
      <c r="AB1916" s="105"/>
      <c r="AC1916" s="105"/>
      <c r="AD1916" s="118">
        <v>45231</v>
      </c>
      <c r="AE1916" s="108" t="s">
        <v>4986</v>
      </c>
    </row>
    <row r="1917" spans="1:31" s="302" customFormat="1" ht="27" customHeight="1" x14ac:dyDescent="0.15">
      <c r="A1917" s="150">
        <v>1113900581</v>
      </c>
      <c r="B1917" s="106" t="s">
        <v>9654</v>
      </c>
      <c r="C1917" s="107" t="s">
        <v>9655</v>
      </c>
      <c r="D1917" s="157" t="s">
        <v>9656</v>
      </c>
      <c r="E1917" s="108" t="s">
        <v>9657</v>
      </c>
      <c r="F1917" s="139" t="s">
        <v>9658</v>
      </c>
      <c r="G1917" s="152" t="s">
        <v>9659</v>
      </c>
      <c r="H1917" s="132" t="s">
        <v>9660</v>
      </c>
      <c r="I1917" s="133" t="s">
        <v>391</v>
      </c>
      <c r="J1917" s="134" t="s">
        <v>392</v>
      </c>
      <c r="K1917" s="134" t="s">
        <v>393</v>
      </c>
      <c r="L1917" s="134" t="s">
        <v>394</v>
      </c>
      <c r="M1917" s="154"/>
      <c r="N1917" s="135" t="s">
        <v>396</v>
      </c>
      <c r="O1917" s="138"/>
      <c r="P1917" s="105"/>
      <c r="Q1917" s="137"/>
      <c r="R1917" s="138">
        <v>2</v>
      </c>
      <c r="S1917" s="150"/>
      <c r="T1917" s="150"/>
      <c r="U1917" s="105"/>
      <c r="V1917" s="137"/>
      <c r="W1917" s="117"/>
      <c r="X1917" s="137"/>
      <c r="Y1917" s="187"/>
      <c r="Z1917" s="105"/>
      <c r="AA1917" s="105"/>
      <c r="AB1917" s="105"/>
      <c r="AC1917" s="105"/>
      <c r="AD1917" s="144">
        <v>45505</v>
      </c>
      <c r="AE1917" s="108" t="s">
        <v>9661</v>
      </c>
    </row>
    <row r="1918" spans="1:31" s="302" customFormat="1" ht="27" customHeight="1" x14ac:dyDescent="0.15">
      <c r="A1918" s="132">
        <v>1113900599</v>
      </c>
      <c r="B1918" s="280" t="s">
        <v>5656</v>
      </c>
      <c r="C1918" s="108" t="s">
        <v>9683</v>
      </c>
      <c r="D1918" s="267" t="s">
        <v>8299</v>
      </c>
      <c r="E1918" s="108" t="s">
        <v>8300</v>
      </c>
      <c r="F1918" s="264" t="s">
        <v>8301</v>
      </c>
      <c r="G1918" s="137" t="s">
        <v>8302</v>
      </c>
      <c r="H1918" s="137" t="s">
        <v>8303</v>
      </c>
      <c r="I1918" s="141" t="s">
        <v>391</v>
      </c>
      <c r="J1918" s="142" t="s">
        <v>392</v>
      </c>
      <c r="K1918" s="142" t="s">
        <v>393</v>
      </c>
      <c r="L1918" s="142" t="s">
        <v>394</v>
      </c>
      <c r="M1918" s="142" t="s">
        <v>395</v>
      </c>
      <c r="N1918" s="143" t="s">
        <v>396</v>
      </c>
      <c r="O1918" s="138"/>
      <c r="P1918" s="105"/>
      <c r="Q1918" s="137"/>
      <c r="R1918" s="138">
        <v>1</v>
      </c>
      <c r="S1918" s="105"/>
      <c r="T1918" s="105"/>
      <c r="U1918" s="105"/>
      <c r="V1918" s="137"/>
      <c r="W1918" s="138"/>
      <c r="X1918" s="137"/>
      <c r="Y1918" s="138"/>
      <c r="Z1918" s="105"/>
      <c r="AA1918" s="105"/>
      <c r="AB1918" s="105"/>
      <c r="AC1918" s="105"/>
      <c r="AD1918" s="155">
        <v>45047</v>
      </c>
      <c r="AE1918" s="108" t="s">
        <v>8304</v>
      </c>
    </row>
    <row r="1919" spans="1:31" ht="27" customHeight="1" x14ac:dyDescent="0.15">
      <c r="A1919" s="228">
        <v>1114266925</v>
      </c>
      <c r="B1919" s="130" t="s">
        <v>3365</v>
      </c>
      <c r="C1919" s="130" t="s">
        <v>3510</v>
      </c>
      <c r="D1919" s="108" t="s">
        <v>96</v>
      </c>
      <c r="E1919" s="130" t="s">
        <v>9830</v>
      </c>
      <c r="F1919" s="131" t="s">
        <v>3366</v>
      </c>
      <c r="G1919" s="132" t="s">
        <v>3367</v>
      </c>
      <c r="H1919" s="132" t="s">
        <v>3367</v>
      </c>
      <c r="I1919" s="133"/>
      <c r="J1919" s="134"/>
      <c r="K1919" s="154"/>
      <c r="L1919" s="154"/>
      <c r="M1919" s="154" t="s">
        <v>395</v>
      </c>
      <c r="N1919" s="143"/>
      <c r="O1919" s="138"/>
      <c r="P1919" s="132"/>
      <c r="Q1919" s="490"/>
      <c r="R1919" s="248">
        <v>1</v>
      </c>
      <c r="S1919" s="132"/>
      <c r="T1919" s="132"/>
      <c r="U1919" s="132"/>
      <c r="V1919" s="152"/>
      <c r="W1919" s="248"/>
      <c r="X1919" s="152"/>
      <c r="Y1919" s="136"/>
      <c r="Z1919" s="132"/>
      <c r="AA1919" s="132"/>
      <c r="AB1919" s="132"/>
      <c r="AC1919" s="132"/>
      <c r="AD1919" s="239">
        <v>42461</v>
      </c>
      <c r="AE1919" s="273" t="s">
        <v>3368</v>
      </c>
    </row>
    <row r="1920" spans="1:31" s="65" customFormat="1" ht="27" customHeight="1" x14ac:dyDescent="0.15">
      <c r="A1920" s="132">
        <v>1114267048</v>
      </c>
      <c r="B1920" s="106" t="s">
        <v>9945</v>
      </c>
      <c r="C1920" s="108" t="s">
        <v>9978</v>
      </c>
      <c r="D1920" s="108" t="s">
        <v>7541</v>
      </c>
      <c r="E1920" s="108" t="s">
        <v>7542</v>
      </c>
      <c r="F1920" s="139" t="s">
        <v>7304</v>
      </c>
      <c r="G1920" s="140" t="s">
        <v>7543</v>
      </c>
      <c r="H1920" s="140" t="s">
        <v>7544</v>
      </c>
      <c r="I1920" s="141" t="s">
        <v>391</v>
      </c>
      <c r="J1920" s="142" t="s">
        <v>392</v>
      </c>
      <c r="K1920" s="142" t="s">
        <v>393</v>
      </c>
      <c r="L1920" s="142" t="s">
        <v>394</v>
      </c>
      <c r="M1920" s="142" t="s">
        <v>395</v>
      </c>
      <c r="N1920" s="143" t="s">
        <v>396</v>
      </c>
      <c r="O1920" s="138" t="s">
        <v>2178</v>
      </c>
      <c r="P1920" s="132"/>
      <c r="Q1920" s="490"/>
      <c r="R1920" s="248">
        <v>2</v>
      </c>
      <c r="S1920" s="132"/>
      <c r="T1920" s="132"/>
      <c r="U1920" s="132"/>
      <c r="V1920" s="152"/>
      <c r="W1920" s="248"/>
      <c r="X1920" s="152"/>
      <c r="Y1920" s="136"/>
      <c r="Z1920" s="132"/>
      <c r="AA1920" s="132"/>
      <c r="AB1920" s="132"/>
      <c r="AC1920" s="203"/>
      <c r="AD1920" s="227">
        <v>45717</v>
      </c>
      <c r="AE1920" s="273" t="s">
        <v>7545</v>
      </c>
    </row>
    <row r="1921" spans="1:157" s="302" customFormat="1" ht="27" customHeight="1" x14ac:dyDescent="0.15">
      <c r="A1921" s="228">
        <v>1114300344</v>
      </c>
      <c r="B1921" s="130" t="s">
        <v>6499</v>
      </c>
      <c r="C1921" s="130" t="s">
        <v>6500</v>
      </c>
      <c r="D1921" s="108" t="s">
        <v>94</v>
      </c>
      <c r="E1921" s="130" t="s">
        <v>6501</v>
      </c>
      <c r="F1921" s="131" t="s">
        <v>6502</v>
      </c>
      <c r="G1921" s="132" t="s">
        <v>6503</v>
      </c>
      <c r="H1921" s="132" t="s">
        <v>6504</v>
      </c>
      <c r="I1921" s="141" t="s">
        <v>391</v>
      </c>
      <c r="J1921" s="142" t="s">
        <v>392</v>
      </c>
      <c r="K1921" s="142" t="s">
        <v>393</v>
      </c>
      <c r="L1921" s="142" t="s">
        <v>394</v>
      </c>
      <c r="M1921" s="142" t="s">
        <v>395</v>
      </c>
      <c r="N1921" s="177" t="s">
        <v>396</v>
      </c>
      <c r="O1921" s="177" t="s">
        <v>2178</v>
      </c>
      <c r="P1921" s="132"/>
      <c r="Q1921" s="490"/>
      <c r="R1921" s="248">
        <v>2</v>
      </c>
      <c r="S1921" s="132"/>
      <c r="T1921" s="132"/>
      <c r="U1921" s="132"/>
      <c r="V1921" s="152"/>
      <c r="W1921" s="248"/>
      <c r="X1921" s="152"/>
      <c r="Y1921" s="136"/>
      <c r="Z1921" s="132"/>
      <c r="AA1921" s="132"/>
      <c r="AB1921" s="132"/>
      <c r="AC1921" s="132"/>
      <c r="AD1921" s="239">
        <v>44166</v>
      </c>
      <c r="AE1921" s="273" t="s">
        <v>6505</v>
      </c>
    </row>
    <row r="1922" spans="1:157" s="302" customFormat="1" ht="27" customHeight="1" x14ac:dyDescent="0.15">
      <c r="A1922" s="228">
        <v>1114300393</v>
      </c>
      <c r="B1922" s="130" t="s">
        <v>7909</v>
      </c>
      <c r="C1922" s="130" t="s">
        <v>7910</v>
      </c>
      <c r="D1922" s="108" t="s">
        <v>94</v>
      </c>
      <c r="E1922" s="130" t="s">
        <v>7911</v>
      </c>
      <c r="F1922" s="131" t="s">
        <v>7912</v>
      </c>
      <c r="G1922" s="132" t="s">
        <v>7913</v>
      </c>
      <c r="H1922" s="132"/>
      <c r="I1922" s="133"/>
      <c r="J1922" s="134"/>
      <c r="K1922" s="154"/>
      <c r="L1922" s="154"/>
      <c r="M1922" s="154" t="s">
        <v>395</v>
      </c>
      <c r="N1922" s="143" t="s">
        <v>396</v>
      </c>
      <c r="O1922" s="138"/>
      <c r="P1922" s="132"/>
      <c r="Q1922" s="272" t="s">
        <v>49</v>
      </c>
      <c r="R1922" s="248"/>
      <c r="S1922" s="132"/>
      <c r="T1922" s="132"/>
      <c r="U1922" s="132"/>
      <c r="V1922" s="152"/>
      <c r="W1922" s="248"/>
      <c r="X1922" s="152"/>
      <c r="Y1922" s="136"/>
      <c r="Z1922" s="132"/>
      <c r="AA1922" s="132"/>
      <c r="AB1922" s="132"/>
      <c r="AC1922" s="132"/>
      <c r="AD1922" s="239">
        <v>44835</v>
      </c>
      <c r="AE1922" s="273" t="s">
        <v>7914</v>
      </c>
    </row>
    <row r="1923" spans="1:157" s="302" customFormat="1" ht="27" customHeight="1" x14ac:dyDescent="0.15">
      <c r="A1923" s="150">
        <v>1114300476</v>
      </c>
      <c r="B1923" s="106" t="s">
        <v>10117</v>
      </c>
      <c r="C1923" s="107" t="s">
        <v>10118</v>
      </c>
      <c r="D1923" s="157" t="s">
        <v>94</v>
      </c>
      <c r="E1923" s="108" t="s">
        <v>10119</v>
      </c>
      <c r="F1923" s="139" t="s">
        <v>10120</v>
      </c>
      <c r="G1923" s="152" t="s">
        <v>10121</v>
      </c>
      <c r="H1923" s="152" t="s">
        <v>10122</v>
      </c>
      <c r="I1923" s="133" t="s">
        <v>391</v>
      </c>
      <c r="J1923" s="134" t="s">
        <v>392</v>
      </c>
      <c r="K1923" s="134" t="s">
        <v>393</v>
      </c>
      <c r="L1923" s="134" t="s">
        <v>394</v>
      </c>
      <c r="M1923" s="154" t="s">
        <v>395</v>
      </c>
      <c r="N1923" s="135" t="s">
        <v>396</v>
      </c>
      <c r="O1923" s="138"/>
      <c r="P1923" s="105"/>
      <c r="Q1923" s="137"/>
      <c r="R1923" s="138">
        <v>2</v>
      </c>
      <c r="S1923" s="150"/>
      <c r="T1923" s="150"/>
      <c r="U1923" s="105"/>
      <c r="V1923" s="137"/>
      <c r="W1923" s="117"/>
      <c r="X1923" s="137"/>
      <c r="Y1923" s="187"/>
      <c r="Z1923" s="105"/>
      <c r="AA1923" s="105"/>
      <c r="AB1923" s="105"/>
      <c r="AC1923" s="105"/>
      <c r="AD1923" s="144">
        <v>45505</v>
      </c>
      <c r="AE1923" s="108" t="s">
        <v>10123</v>
      </c>
    </row>
    <row r="1924" spans="1:157" s="302" customFormat="1" ht="27" customHeight="1" x14ac:dyDescent="0.15">
      <c r="A1924" s="105">
        <v>1114300500</v>
      </c>
      <c r="B1924" s="130" t="s">
        <v>11921</v>
      </c>
      <c r="C1924" s="108" t="s">
        <v>11228</v>
      </c>
      <c r="D1924" s="108" t="s">
        <v>94</v>
      </c>
      <c r="E1924" s="108" t="s">
        <v>11229</v>
      </c>
      <c r="F1924" s="131" t="s">
        <v>11230</v>
      </c>
      <c r="G1924" s="132" t="s">
        <v>11231</v>
      </c>
      <c r="H1924" s="132"/>
      <c r="I1924" s="133"/>
      <c r="J1924" s="134"/>
      <c r="K1924" s="134"/>
      <c r="L1924" s="134"/>
      <c r="M1924" s="134" t="s">
        <v>395</v>
      </c>
      <c r="N1924" s="135" t="s">
        <v>396</v>
      </c>
      <c r="O1924" s="136"/>
      <c r="P1924" s="105"/>
      <c r="Q1924" s="137" t="s">
        <v>10951</v>
      </c>
      <c r="R1924" s="138"/>
      <c r="S1924" s="105"/>
      <c r="T1924" s="105"/>
      <c r="U1924" s="105"/>
      <c r="V1924" s="137"/>
      <c r="W1924" s="138"/>
      <c r="X1924" s="137"/>
      <c r="Y1924" s="138"/>
      <c r="Z1924" s="105"/>
      <c r="AA1924" s="105"/>
      <c r="AB1924" s="105"/>
      <c r="AC1924" s="105"/>
      <c r="AD1924" s="118">
        <v>46082</v>
      </c>
      <c r="AE1924" s="108" t="s">
        <v>11232</v>
      </c>
    </row>
    <row r="1925" spans="1:157" s="302" customFormat="1" ht="27" customHeight="1" x14ac:dyDescent="0.15">
      <c r="A1925" s="228">
        <v>1114550286</v>
      </c>
      <c r="B1925" s="130" t="s">
        <v>6204</v>
      </c>
      <c r="C1925" s="130" t="s">
        <v>6205</v>
      </c>
      <c r="D1925" s="108" t="s">
        <v>95</v>
      </c>
      <c r="E1925" s="130" t="s">
        <v>6206</v>
      </c>
      <c r="F1925" s="131" t="s">
        <v>6207</v>
      </c>
      <c r="G1925" s="132" t="s">
        <v>6208</v>
      </c>
      <c r="H1925" s="132" t="s">
        <v>6209</v>
      </c>
      <c r="I1925" s="133"/>
      <c r="J1925" s="134"/>
      <c r="K1925" s="154" t="s">
        <v>456</v>
      </c>
      <c r="L1925" s="154" t="s">
        <v>1184</v>
      </c>
      <c r="M1925" s="154" t="s">
        <v>395</v>
      </c>
      <c r="N1925" s="143" t="s">
        <v>396</v>
      </c>
      <c r="O1925" s="138" t="s">
        <v>2178</v>
      </c>
      <c r="P1925" s="132"/>
      <c r="Q1925" s="272" t="s">
        <v>49</v>
      </c>
      <c r="R1925" s="248"/>
      <c r="S1925" s="132"/>
      <c r="T1925" s="132"/>
      <c r="U1925" s="132"/>
      <c r="V1925" s="152"/>
      <c r="W1925" s="248"/>
      <c r="X1925" s="152"/>
      <c r="Y1925" s="136"/>
      <c r="Z1925" s="132"/>
      <c r="AA1925" s="132"/>
      <c r="AB1925" s="132"/>
      <c r="AC1925" s="132"/>
      <c r="AD1925" s="239">
        <v>43556</v>
      </c>
      <c r="AE1925" s="273" t="s">
        <v>6210</v>
      </c>
    </row>
    <row r="1926" spans="1:157" ht="26.45" customHeight="1" x14ac:dyDescent="0.15">
      <c r="A1926" s="228">
        <v>1114300468</v>
      </c>
      <c r="B1926" s="106" t="s">
        <v>9945</v>
      </c>
      <c r="C1926" s="130" t="s">
        <v>9948</v>
      </c>
      <c r="D1926" s="108" t="s">
        <v>94</v>
      </c>
      <c r="E1926" s="130" t="s">
        <v>6501</v>
      </c>
      <c r="F1926" s="131" t="s">
        <v>6502</v>
      </c>
      <c r="G1926" s="132" t="s">
        <v>6503</v>
      </c>
      <c r="H1926" s="132" t="s">
        <v>6504</v>
      </c>
      <c r="I1926" s="141" t="s">
        <v>391</v>
      </c>
      <c r="J1926" s="142" t="s">
        <v>392</v>
      </c>
      <c r="K1926" s="142" t="s">
        <v>393</v>
      </c>
      <c r="L1926" s="142" t="s">
        <v>394</v>
      </c>
      <c r="M1926" s="142" t="s">
        <v>395</v>
      </c>
      <c r="N1926" s="177" t="s">
        <v>396</v>
      </c>
      <c r="O1926" s="177" t="s">
        <v>2178</v>
      </c>
      <c r="P1926" s="132"/>
      <c r="Q1926" s="490"/>
      <c r="R1926" s="248">
        <v>2</v>
      </c>
      <c r="S1926" s="132"/>
      <c r="T1926" s="132"/>
      <c r="U1926" s="132"/>
      <c r="V1926" s="152"/>
      <c r="W1926" s="248"/>
      <c r="X1926" s="152"/>
      <c r="Y1926" s="136"/>
      <c r="Z1926" s="132"/>
      <c r="AA1926" s="132"/>
      <c r="AB1926" s="132"/>
      <c r="AC1926" s="203"/>
      <c r="AD1926" s="227">
        <v>45717</v>
      </c>
      <c r="AE1926" s="273" t="s">
        <v>6505</v>
      </c>
      <c r="AF1926" s="302"/>
      <c r="AG1926" s="302"/>
      <c r="AH1926" s="302"/>
      <c r="AI1926" s="302"/>
      <c r="AJ1926" s="302"/>
      <c r="AK1926" s="302"/>
      <c r="AL1926" s="302"/>
      <c r="AM1926" s="302"/>
      <c r="AN1926" s="302"/>
      <c r="AO1926" s="302"/>
      <c r="AP1926" s="302"/>
      <c r="AQ1926" s="302"/>
      <c r="AR1926" s="302"/>
      <c r="AS1926" s="302"/>
      <c r="AT1926" s="302"/>
      <c r="AU1926" s="302"/>
      <c r="AV1926" s="302"/>
      <c r="AW1926" s="302"/>
      <c r="AX1926" s="302"/>
      <c r="AY1926" s="302"/>
      <c r="AZ1926" s="302"/>
      <c r="BA1926" s="302"/>
      <c r="BB1926" s="302"/>
      <c r="BC1926" s="302"/>
      <c r="BD1926" s="302"/>
      <c r="BE1926" s="302"/>
      <c r="BF1926" s="302"/>
      <c r="BG1926" s="302"/>
      <c r="BH1926" s="302"/>
      <c r="BI1926" s="302"/>
      <c r="BJ1926" s="302"/>
      <c r="BK1926" s="302"/>
      <c r="BL1926" s="302"/>
      <c r="BM1926" s="302"/>
      <c r="BN1926" s="302"/>
      <c r="BO1926" s="302"/>
      <c r="BP1926" s="302"/>
      <c r="BQ1926" s="302"/>
      <c r="BR1926" s="302"/>
      <c r="BS1926" s="302"/>
      <c r="BT1926" s="302"/>
      <c r="BU1926" s="302"/>
      <c r="BV1926" s="302"/>
      <c r="BW1926" s="302"/>
      <c r="BX1926" s="302"/>
      <c r="BY1926" s="302"/>
      <c r="BZ1926" s="302"/>
      <c r="CA1926" s="302"/>
      <c r="CB1926" s="302"/>
      <c r="CC1926" s="302"/>
      <c r="CD1926" s="302"/>
      <c r="CE1926" s="302"/>
      <c r="CF1926" s="302"/>
      <c r="CG1926" s="302"/>
      <c r="CH1926" s="302"/>
      <c r="CI1926" s="302"/>
      <c r="CJ1926" s="302"/>
      <c r="CK1926" s="302"/>
      <c r="CL1926" s="302"/>
      <c r="CM1926" s="302"/>
      <c r="CN1926" s="302"/>
      <c r="CO1926" s="302"/>
      <c r="CP1926" s="302"/>
      <c r="CQ1926" s="302"/>
      <c r="CR1926" s="302"/>
      <c r="CS1926" s="302"/>
      <c r="CT1926" s="302"/>
      <c r="CU1926" s="302"/>
      <c r="CV1926" s="302"/>
      <c r="CW1926" s="302"/>
      <c r="CX1926" s="302"/>
      <c r="CY1926" s="302"/>
      <c r="CZ1926" s="302"/>
      <c r="DA1926" s="302"/>
      <c r="DB1926" s="302"/>
      <c r="DC1926" s="302"/>
      <c r="DD1926" s="302"/>
      <c r="DE1926" s="302"/>
      <c r="DF1926" s="302"/>
      <c r="DG1926" s="302"/>
      <c r="DH1926" s="302"/>
      <c r="DI1926" s="302"/>
      <c r="DJ1926" s="302"/>
      <c r="DK1926" s="302"/>
      <c r="DL1926" s="302"/>
      <c r="DM1926" s="302"/>
      <c r="DN1926" s="302"/>
      <c r="DO1926" s="302"/>
      <c r="DP1926" s="302"/>
      <c r="DQ1926" s="302"/>
      <c r="DR1926" s="302"/>
      <c r="DS1926" s="302"/>
      <c r="DT1926" s="302"/>
      <c r="DU1926" s="302"/>
      <c r="DV1926" s="302"/>
      <c r="DW1926" s="302"/>
      <c r="DX1926" s="302"/>
      <c r="DY1926" s="302"/>
      <c r="DZ1926" s="302"/>
      <c r="EA1926" s="302"/>
      <c r="EB1926" s="302"/>
      <c r="EC1926" s="302"/>
      <c r="ED1926" s="302"/>
      <c r="EE1926" s="302"/>
      <c r="EF1926" s="302"/>
      <c r="EG1926" s="302"/>
      <c r="EH1926" s="302"/>
      <c r="EI1926" s="302"/>
      <c r="EJ1926" s="302"/>
      <c r="EK1926" s="302"/>
      <c r="EL1926" s="302"/>
      <c r="EM1926" s="302"/>
      <c r="EN1926" s="302"/>
      <c r="EO1926" s="302"/>
      <c r="EP1926" s="302"/>
      <c r="EQ1926" s="302"/>
      <c r="ER1926" s="302"/>
      <c r="ES1926" s="302"/>
      <c r="ET1926" s="302"/>
      <c r="EU1926" s="302"/>
      <c r="EV1926" s="302"/>
      <c r="EW1926" s="302"/>
      <c r="EX1926" s="302"/>
      <c r="EY1926" s="302"/>
      <c r="EZ1926" s="302"/>
      <c r="FA1926" s="302"/>
    </row>
    <row r="1927" spans="1:157" s="218" customFormat="1" ht="13.5" hidden="1" x14ac:dyDescent="0.15">
      <c r="A1927" s="132">
        <v>1114550310</v>
      </c>
      <c r="B1927" s="130" t="s">
        <v>9699</v>
      </c>
      <c r="C1927" s="108" t="s">
        <v>9700</v>
      </c>
      <c r="D1927" s="267" t="s">
        <v>8614</v>
      </c>
      <c r="E1927" s="108" t="s">
        <v>9701</v>
      </c>
      <c r="F1927" s="264" t="s">
        <v>9702</v>
      </c>
      <c r="G1927" s="137" t="s">
        <v>9703</v>
      </c>
      <c r="H1927" s="137" t="s">
        <v>9704</v>
      </c>
      <c r="I1927" s="141" t="s">
        <v>391</v>
      </c>
      <c r="J1927" s="142"/>
      <c r="K1927" s="142"/>
      <c r="L1927" s="142"/>
      <c r="M1927" s="142" t="s">
        <v>395</v>
      </c>
      <c r="N1927" s="143" t="s">
        <v>396</v>
      </c>
      <c r="O1927" s="138"/>
      <c r="P1927" s="105"/>
      <c r="Q1927" s="137"/>
      <c r="R1927" s="138">
        <v>2</v>
      </c>
      <c r="S1927" s="105"/>
      <c r="T1927" s="105"/>
      <c r="U1927" s="105"/>
      <c r="V1927" s="137"/>
      <c r="W1927" s="138"/>
      <c r="X1927" s="137"/>
      <c r="Y1927" s="138"/>
      <c r="Z1927" s="105"/>
      <c r="AA1927" s="105"/>
      <c r="AB1927" s="105"/>
      <c r="AC1927" s="105"/>
      <c r="AD1927" s="155">
        <v>45444</v>
      </c>
      <c r="AE1927" s="108" t="s">
        <v>9705</v>
      </c>
      <c r="AF1927" s="541"/>
      <c r="AG1927" s="541"/>
      <c r="AH1927" s="541"/>
      <c r="AI1927" s="541"/>
      <c r="AJ1927" s="541"/>
      <c r="AK1927" s="541"/>
      <c r="AL1927" s="541"/>
      <c r="AM1927" s="541"/>
      <c r="AN1927" s="541"/>
      <c r="AO1927" s="541"/>
      <c r="AP1927" s="541"/>
      <c r="AQ1927" s="541"/>
      <c r="AR1927" s="541"/>
      <c r="AS1927" s="541"/>
      <c r="AT1927" s="541"/>
      <c r="AU1927" s="541"/>
      <c r="AV1927" s="541"/>
      <c r="AW1927" s="541"/>
      <c r="AX1927" s="541"/>
      <c r="AY1927" s="541"/>
      <c r="AZ1927" s="541"/>
      <c r="BA1927" s="541"/>
      <c r="BB1927" s="541"/>
      <c r="BC1927" s="541"/>
      <c r="BD1927" s="541"/>
      <c r="BE1927" s="541"/>
      <c r="BF1927" s="541"/>
      <c r="BG1927" s="541"/>
      <c r="BH1927" s="541"/>
      <c r="BI1927" s="541"/>
      <c r="BJ1927" s="541"/>
      <c r="BK1927" s="541"/>
      <c r="BL1927" s="541"/>
      <c r="BM1927" s="541"/>
      <c r="BN1927" s="541"/>
      <c r="BO1927" s="541"/>
      <c r="BP1927" s="541"/>
      <c r="BQ1927" s="541"/>
      <c r="BR1927" s="541"/>
      <c r="BS1927" s="541"/>
      <c r="BT1927" s="541"/>
      <c r="BU1927" s="541"/>
      <c r="BV1927" s="541"/>
      <c r="BW1927" s="541"/>
      <c r="BX1927" s="541"/>
      <c r="BY1927" s="541"/>
      <c r="BZ1927" s="541"/>
      <c r="CA1927" s="541"/>
      <c r="CB1927" s="541"/>
      <c r="CC1927" s="541"/>
      <c r="CD1927" s="541"/>
      <c r="CE1927" s="541"/>
      <c r="CF1927" s="541"/>
      <c r="CG1927" s="541"/>
      <c r="CH1927" s="541"/>
      <c r="CI1927" s="541"/>
      <c r="CJ1927" s="541"/>
      <c r="CK1927" s="541"/>
      <c r="CL1927" s="541"/>
      <c r="CM1927" s="541"/>
      <c r="CN1927" s="541"/>
      <c r="CO1927" s="541"/>
      <c r="CP1927" s="541"/>
      <c r="CQ1927" s="541"/>
      <c r="CR1927" s="541"/>
      <c r="CS1927" s="541"/>
      <c r="CT1927" s="541"/>
      <c r="CU1927" s="541"/>
      <c r="CV1927" s="541"/>
      <c r="CW1927" s="541"/>
      <c r="CX1927" s="541"/>
      <c r="CY1927" s="541"/>
      <c r="CZ1927" s="541"/>
      <c r="DA1927" s="541"/>
      <c r="DB1927" s="541"/>
      <c r="DC1927" s="541"/>
      <c r="DD1927" s="541"/>
      <c r="DE1927" s="541"/>
      <c r="DF1927" s="541"/>
      <c r="DG1927" s="541"/>
      <c r="DH1927" s="541"/>
      <c r="DI1927" s="541"/>
      <c r="DJ1927" s="541"/>
      <c r="DK1927" s="541"/>
      <c r="DL1927" s="541"/>
      <c r="DM1927" s="541"/>
      <c r="DN1927" s="541"/>
      <c r="DO1927" s="541"/>
      <c r="DP1927" s="541"/>
      <c r="DQ1927" s="541"/>
      <c r="DR1927" s="541"/>
      <c r="DS1927" s="541"/>
      <c r="DT1927" s="541"/>
      <c r="DU1927" s="541"/>
      <c r="DV1927" s="541"/>
      <c r="DW1927" s="541"/>
      <c r="DX1927" s="541"/>
      <c r="DY1927" s="541"/>
      <c r="DZ1927" s="541"/>
      <c r="EA1927" s="541"/>
      <c r="EB1927" s="541"/>
      <c r="EC1927" s="541"/>
      <c r="ED1927" s="541"/>
      <c r="EE1927" s="541"/>
      <c r="EF1927" s="541"/>
      <c r="EG1927" s="541"/>
      <c r="EH1927" s="541"/>
      <c r="EI1927" s="541"/>
      <c r="EJ1927" s="541"/>
      <c r="EK1927" s="541"/>
      <c r="EL1927" s="541"/>
      <c r="EM1927" s="541"/>
      <c r="EN1927" s="541"/>
      <c r="EO1927" s="541"/>
      <c r="EP1927" s="541"/>
      <c r="EQ1927" s="541"/>
      <c r="ER1927" s="541"/>
      <c r="ES1927" s="541"/>
      <c r="ET1927" s="541"/>
      <c r="EU1927" s="541"/>
      <c r="EV1927" s="541"/>
      <c r="EW1927" s="541"/>
      <c r="EX1927" s="541"/>
      <c r="EY1927" s="541"/>
      <c r="EZ1927" s="541"/>
      <c r="FA1927" s="541"/>
    </row>
    <row r="1928" spans="1:157" s="302" customFormat="1" ht="27" customHeight="1" x14ac:dyDescent="0.15">
      <c r="A1928" s="524">
        <v>1114600776</v>
      </c>
      <c r="B1928" s="525" t="s">
        <v>3508</v>
      </c>
      <c r="C1928" s="525" t="s">
        <v>3476</v>
      </c>
      <c r="D1928" s="526" t="s">
        <v>96</v>
      </c>
      <c r="E1928" s="525" t="s">
        <v>12184</v>
      </c>
      <c r="F1928" s="527" t="s">
        <v>10267</v>
      </c>
      <c r="G1928" s="528" t="s">
        <v>12271</v>
      </c>
      <c r="H1928" s="528" t="s">
        <v>12272</v>
      </c>
      <c r="I1928" s="529"/>
      <c r="J1928" s="530"/>
      <c r="K1928" s="530"/>
      <c r="L1928" s="530" t="s">
        <v>1184</v>
      </c>
      <c r="M1928" s="530" t="s">
        <v>395</v>
      </c>
      <c r="N1928" s="531" t="s">
        <v>396</v>
      </c>
      <c r="O1928" s="532" t="s">
        <v>2178</v>
      </c>
      <c r="P1928" s="528"/>
      <c r="Q1928" s="533" t="s">
        <v>10951</v>
      </c>
      <c r="R1928" s="534">
        <v>1</v>
      </c>
      <c r="S1928" s="528"/>
      <c r="T1928" s="528"/>
      <c r="U1928" s="528"/>
      <c r="V1928" s="535"/>
      <c r="W1928" s="536"/>
      <c r="X1928" s="535"/>
      <c r="Y1928" s="532"/>
      <c r="Z1928" s="528"/>
      <c r="AA1928" s="528"/>
      <c r="AB1928" s="528"/>
      <c r="AC1928" s="528"/>
      <c r="AD1928" s="537">
        <v>42583</v>
      </c>
      <c r="AE1928" s="538" t="s">
        <v>3477</v>
      </c>
    </row>
    <row r="1929" spans="1:157" s="509" customFormat="1" ht="27" customHeight="1" x14ac:dyDescent="0.15">
      <c r="A1929" s="132">
        <v>1114550328</v>
      </c>
      <c r="B1929" s="106" t="s">
        <v>9945</v>
      </c>
      <c r="C1929" s="108" t="s">
        <v>9946</v>
      </c>
      <c r="D1929" s="267" t="s">
        <v>8614</v>
      </c>
      <c r="E1929" s="108" t="s">
        <v>8615</v>
      </c>
      <c r="F1929" s="264" t="s">
        <v>8616</v>
      </c>
      <c r="G1929" s="137" t="s">
        <v>8617</v>
      </c>
      <c r="H1929" s="137" t="s">
        <v>8618</v>
      </c>
      <c r="I1929" s="141" t="s">
        <v>391</v>
      </c>
      <c r="J1929" s="142" t="s">
        <v>392</v>
      </c>
      <c r="K1929" s="142" t="s">
        <v>393</v>
      </c>
      <c r="L1929" s="142" t="s">
        <v>394</v>
      </c>
      <c r="M1929" s="142" t="s">
        <v>395</v>
      </c>
      <c r="N1929" s="143" t="s">
        <v>396</v>
      </c>
      <c r="O1929" s="138" t="s">
        <v>2178</v>
      </c>
      <c r="P1929" s="105"/>
      <c r="Q1929" s="137"/>
      <c r="R1929" s="138">
        <v>1</v>
      </c>
      <c r="S1929" s="105"/>
      <c r="T1929" s="105"/>
      <c r="U1929" s="105"/>
      <c r="V1929" s="137"/>
      <c r="W1929" s="138"/>
      <c r="X1929" s="137"/>
      <c r="Y1929" s="138"/>
      <c r="Z1929" s="105"/>
      <c r="AA1929" s="105"/>
      <c r="AB1929" s="105"/>
      <c r="AC1929" s="175"/>
      <c r="AD1929" s="227">
        <v>45717</v>
      </c>
      <c r="AE1929" s="108"/>
    </row>
    <row r="1930" spans="1:157" s="218" customFormat="1" ht="24" hidden="1" x14ac:dyDescent="0.15">
      <c r="A1930" s="132">
        <v>1114601188</v>
      </c>
      <c r="B1930" s="130" t="s">
        <v>11684</v>
      </c>
      <c r="C1930" s="108" t="s">
        <v>8609</v>
      </c>
      <c r="D1930" s="267" t="s">
        <v>4589</v>
      </c>
      <c r="E1930" s="108" t="s">
        <v>8610</v>
      </c>
      <c r="F1930" s="264" t="s">
        <v>8611</v>
      </c>
      <c r="G1930" s="137" t="s">
        <v>8612</v>
      </c>
      <c r="H1930" s="137"/>
      <c r="I1930" s="141" t="s">
        <v>391</v>
      </c>
      <c r="J1930" s="142" t="s">
        <v>392</v>
      </c>
      <c r="K1930" s="142" t="s">
        <v>393</v>
      </c>
      <c r="L1930" s="142" t="s">
        <v>394</v>
      </c>
      <c r="M1930" s="142" t="s">
        <v>395</v>
      </c>
      <c r="N1930" s="143" t="s">
        <v>396</v>
      </c>
      <c r="O1930" s="138"/>
      <c r="P1930" s="105"/>
      <c r="Q1930" s="137"/>
      <c r="R1930" s="138">
        <v>2</v>
      </c>
      <c r="S1930" s="105"/>
      <c r="T1930" s="105"/>
      <c r="U1930" s="105"/>
      <c r="V1930" s="137"/>
      <c r="W1930" s="138"/>
      <c r="X1930" s="137"/>
      <c r="Y1930" s="138"/>
      <c r="Z1930" s="105"/>
      <c r="AA1930" s="105"/>
      <c r="AB1930" s="105"/>
      <c r="AC1930" s="105"/>
      <c r="AD1930" s="155">
        <v>45139</v>
      </c>
      <c r="AE1930" s="108" t="s">
        <v>8613</v>
      </c>
      <c r="AF1930" s="67"/>
      <c r="AG1930" s="67"/>
      <c r="AH1930" s="67"/>
      <c r="AI1930" s="67"/>
      <c r="AJ1930" s="67"/>
      <c r="AK1930" s="67"/>
      <c r="AL1930" s="67"/>
      <c r="AM1930" s="67"/>
      <c r="AN1930" s="67"/>
      <c r="AO1930" s="67"/>
      <c r="AP1930" s="67"/>
      <c r="AQ1930" s="67"/>
      <c r="AR1930" s="67"/>
      <c r="AS1930" s="67"/>
      <c r="AT1930" s="67"/>
      <c r="AU1930" s="67"/>
      <c r="AV1930" s="67"/>
      <c r="AW1930" s="67"/>
      <c r="AX1930" s="67"/>
      <c r="AY1930" s="67"/>
      <c r="AZ1930" s="67"/>
      <c r="BA1930" s="67"/>
      <c r="BB1930" s="67"/>
      <c r="BC1930" s="67"/>
      <c r="BD1930" s="67"/>
      <c r="BE1930" s="67"/>
      <c r="BF1930" s="67"/>
      <c r="BG1930" s="67"/>
      <c r="BH1930" s="67"/>
      <c r="BI1930" s="67"/>
      <c r="BJ1930" s="67"/>
      <c r="BK1930" s="67"/>
      <c r="BL1930" s="67"/>
      <c r="BM1930" s="67"/>
      <c r="BN1930" s="67"/>
      <c r="BO1930" s="67"/>
      <c r="BP1930" s="67"/>
      <c r="BQ1930" s="67"/>
      <c r="BR1930" s="67"/>
    </row>
    <row r="1931" spans="1:157" s="302" customFormat="1" ht="27" customHeight="1" x14ac:dyDescent="0.15">
      <c r="A1931" s="132">
        <v>1114601238</v>
      </c>
      <c r="B1931" s="280" t="s">
        <v>5656</v>
      </c>
      <c r="C1931" s="108" t="s">
        <v>9684</v>
      </c>
      <c r="D1931" s="267" t="s">
        <v>4589</v>
      </c>
      <c r="E1931" s="108" t="s">
        <v>8339</v>
      </c>
      <c r="F1931" s="264" t="s">
        <v>8340</v>
      </c>
      <c r="G1931" s="137" t="s">
        <v>8341</v>
      </c>
      <c r="H1931" s="137" t="s">
        <v>8342</v>
      </c>
      <c r="I1931" s="141" t="s">
        <v>391</v>
      </c>
      <c r="J1931" s="142" t="s">
        <v>392</v>
      </c>
      <c r="K1931" s="142" t="s">
        <v>393</v>
      </c>
      <c r="L1931" s="142" t="s">
        <v>394</v>
      </c>
      <c r="M1931" s="142" t="s">
        <v>395</v>
      </c>
      <c r="N1931" s="143" t="s">
        <v>396</v>
      </c>
      <c r="O1931" s="138"/>
      <c r="P1931" s="105"/>
      <c r="Q1931" s="137"/>
      <c r="R1931" s="138">
        <v>2</v>
      </c>
      <c r="S1931" s="105"/>
      <c r="T1931" s="105"/>
      <c r="U1931" s="105"/>
      <c r="V1931" s="137"/>
      <c r="W1931" s="138"/>
      <c r="X1931" s="137"/>
      <c r="Y1931" s="138"/>
      <c r="Z1931" s="105"/>
      <c r="AA1931" s="105"/>
      <c r="AB1931" s="105"/>
      <c r="AC1931" s="105"/>
      <c r="AD1931" s="155">
        <v>45047</v>
      </c>
      <c r="AE1931" s="108" t="s">
        <v>8343</v>
      </c>
    </row>
    <row r="1932" spans="1:157" ht="28.5" customHeight="1" x14ac:dyDescent="0.15">
      <c r="A1932" s="132">
        <v>1114601253</v>
      </c>
      <c r="B1932" s="106" t="s">
        <v>9945</v>
      </c>
      <c r="C1932" s="108" t="s">
        <v>10265</v>
      </c>
      <c r="D1932" s="108" t="s">
        <v>96</v>
      </c>
      <c r="E1932" s="108" t="s">
        <v>10266</v>
      </c>
      <c r="F1932" s="139" t="s">
        <v>10267</v>
      </c>
      <c r="G1932" s="140" t="s">
        <v>10268</v>
      </c>
      <c r="H1932" s="140" t="s">
        <v>10269</v>
      </c>
      <c r="I1932" s="141" t="s">
        <v>391</v>
      </c>
      <c r="J1932" s="142" t="s">
        <v>392</v>
      </c>
      <c r="K1932" s="142" t="s">
        <v>393</v>
      </c>
      <c r="L1932" s="142" t="s">
        <v>394</v>
      </c>
      <c r="M1932" s="142" t="s">
        <v>395</v>
      </c>
      <c r="N1932" s="143" t="s">
        <v>396</v>
      </c>
      <c r="O1932" s="138" t="s">
        <v>2178</v>
      </c>
      <c r="P1932" s="105"/>
      <c r="Q1932" s="137"/>
      <c r="R1932" s="138">
        <v>2</v>
      </c>
      <c r="S1932" s="105"/>
      <c r="T1932" s="105"/>
      <c r="U1932" s="105"/>
      <c r="V1932" s="137"/>
      <c r="W1932" s="138"/>
      <c r="X1932" s="137"/>
      <c r="Y1932" s="138"/>
      <c r="Z1932" s="105"/>
      <c r="AA1932" s="105"/>
      <c r="AB1932" s="105"/>
      <c r="AC1932" s="105"/>
      <c r="AD1932" s="118">
        <v>45717</v>
      </c>
      <c r="AE1932" s="108" t="s">
        <v>8231</v>
      </c>
    </row>
    <row r="1933" spans="1:157" s="302" customFormat="1" ht="27" customHeight="1" x14ac:dyDescent="0.15">
      <c r="A1933" s="228">
        <v>1114601261</v>
      </c>
      <c r="B1933" s="130" t="s">
        <v>10114</v>
      </c>
      <c r="C1933" s="130" t="s">
        <v>10115</v>
      </c>
      <c r="D1933" s="108" t="s">
        <v>96</v>
      </c>
      <c r="E1933" s="130" t="s">
        <v>6506</v>
      </c>
      <c r="F1933" s="131" t="s">
        <v>6507</v>
      </c>
      <c r="G1933" s="132" t="s">
        <v>6508</v>
      </c>
      <c r="H1933" s="132" t="s">
        <v>6509</v>
      </c>
      <c r="I1933" s="141" t="s">
        <v>391</v>
      </c>
      <c r="J1933" s="142" t="s">
        <v>392</v>
      </c>
      <c r="K1933" s="142" t="s">
        <v>393</v>
      </c>
      <c r="L1933" s="142" t="s">
        <v>394</v>
      </c>
      <c r="M1933" s="142" t="s">
        <v>395</v>
      </c>
      <c r="N1933" s="177" t="s">
        <v>396</v>
      </c>
      <c r="O1933" s="177"/>
      <c r="P1933" s="132"/>
      <c r="Q1933" s="490"/>
      <c r="R1933" s="248">
        <v>2</v>
      </c>
      <c r="S1933" s="132"/>
      <c r="T1933" s="132"/>
      <c r="U1933" s="132"/>
      <c r="V1933" s="152"/>
      <c r="W1933" s="248"/>
      <c r="X1933" s="152"/>
      <c r="Y1933" s="136"/>
      <c r="Z1933" s="132"/>
      <c r="AA1933" s="132"/>
      <c r="AB1933" s="132"/>
      <c r="AC1933" s="132"/>
      <c r="AD1933" s="239">
        <v>45748</v>
      </c>
      <c r="AE1933" s="273" t="s">
        <v>10116</v>
      </c>
    </row>
    <row r="1934" spans="1:157" s="302" customFormat="1" ht="27" customHeight="1" x14ac:dyDescent="0.15">
      <c r="A1934" s="105">
        <v>1114601329</v>
      </c>
      <c r="B1934" s="130" t="s">
        <v>8906</v>
      </c>
      <c r="C1934" s="108" t="s">
        <v>11489</v>
      </c>
      <c r="D1934" s="108" t="s">
        <v>96</v>
      </c>
      <c r="E1934" s="108" t="s">
        <v>11490</v>
      </c>
      <c r="F1934" s="131" t="s">
        <v>11491</v>
      </c>
      <c r="G1934" s="132" t="s">
        <v>11492</v>
      </c>
      <c r="H1934" s="132" t="s">
        <v>11493</v>
      </c>
      <c r="I1934" s="133" t="s">
        <v>391</v>
      </c>
      <c r="J1934" s="134" t="s">
        <v>392</v>
      </c>
      <c r="K1934" s="134" t="s">
        <v>393</v>
      </c>
      <c r="L1934" s="134" t="s">
        <v>394</v>
      </c>
      <c r="M1934" s="134" t="s">
        <v>395</v>
      </c>
      <c r="N1934" s="135" t="s">
        <v>396</v>
      </c>
      <c r="O1934" s="136" t="s">
        <v>2178</v>
      </c>
      <c r="P1934" s="105"/>
      <c r="Q1934" s="137"/>
      <c r="R1934" s="138">
        <v>1</v>
      </c>
      <c r="S1934" s="105"/>
      <c r="T1934" s="105"/>
      <c r="U1934" s="105"/>
      <c r="V1934" s="137"/>
      <c r="W1934" s="138"/>
      <c r="X1934" s="137"/>
      <c r="Y1934" s="138"/>
      <c r="Z1934" s="105"/>
      <c r="AA1934" s="105"/>
      <c r="AB1934" s="105"/>
      <c r="AC1934" s="105"/>
      <c r="AD1934" s="155">
        <v>46143</v>
      </c>
      <c r="AE1934" s="108" t="s">
        <v>11494</v>
      </c>
    </row>
    <row r="1935" spans="1:157" s="302" customFormat="1" ht="27" customHeight="1" x14ac:dyDescent="0.15">
      <c r="A1935" s="105">
        <v>1114860164</v>
      </c>
      <c r="B1935" s="280" t="s">
        <v>6511</v>
      </c>
      <c r="C1935" s="329" t="s">
        <v>6512</v>
      </c>
      <c r="D1935" s="108" t="s">
        <v>6513</v>
      </c>
      <c r="E1935" s="108" t="s">
        <v>6514</v>
      </c>
      <c r="F1935" s="150" t="s">
        <v>6515</v>
      </c>
      <c r="G1935" s="132" t="s">
        <v>6516</v>
      </c>
      <c r="H1935" s="132" t="s">
        <v>6517</v>
      </c>
      <c r="I1935" s="141"/>
      <c r="J1935" s="142"/>
      <c r="K1935" s="142" t="s">
        <v>456</v>
      </c>
      <c r="L1935" s="142" t="s">
        <v>477</v>
      </c>
      <c r="M1935" s="142" t="s">
        <v>395</v>
      </c>
      <c r="N1935" s="143" t="s">
        <v>396</v>
      </c>
      <c r="O1935" s="138" t="s">
        <v>2178</v>
      </c>
      <c r="P1935" s="132"/>
      <c r="Q1935" s="152" t="s">
        <v>765</v>
      </c>
      <c r="R1935" s="248"/>
      <c r="S1935" s="132"/>
      <c r="T1935" s="132"/>
      <c r="U1935" s="132"/>
      <c r="V1935" s="152"/>
      <c r="W1935" s="248"/>
      <c r="X1935" s="152"/>
      <c r="Y1935" s="136"/>
      <c r="Z1935" s="132"/>
      <c r="AA1935" s="132"/>
      <c r="AB1935" s="132"/>
      <c r="AC1935" s="132"/>
      <c r="AD1935" s="487">
        <v>42248</v>
      </c>
      <c r="AE1935" s="273" t="s">
        <v>6518</v>
      </c>
    </row>
    <row r="1936" spans="1:157" s="302" customFormat="1" ht="27" customHeight="1" x14ac:dyDescent="0.15">
      <c r="A1936" s="81">
        <v>1114860222</v>
      </c>
      <c r="B1936" s="296" t="s">
        <v>12035</v>
      </c>
      <c r="C1936" s="296" t="s">
        <v>9635</v>
      </c>
      <c r="D1936" s="84" t="s">
        <v>9636</v>
      </c>
      <c r="E1936" s="297" t="s">
        <v>9637</v>
      </c>
      <c r="F1936" s="77" t="s">
        <v>9638</v>
      </c>
      <c r="G1936" s="298" t="s">
        <v>9639</v>
      </c>
      <c r="H1936" s="298" t="s">
        <v>9640</v>
      </c>
      <c r="I1936" s="141" t="s">
        <v>391</v>
      </c>
      <c r="J1936" s="142" t="s">
        <v>392</v>
      </c>
      <c r="K1936" s="142" t="s">
        <v>393</v>
      </c>
      <c r="L1936" s="142" t="s">
        <v>394</v>
      </c>
      <c r="M1936" s="142" t="s">
        <v>395</v>
      </c>
      <c r="N1936" s="177" t="s">
        <v>396</v>
      </c>
      <c r="O1936" s="177" t="s">
        <v>2178</v>
      </c>
      <c r="P1936" s="81"/>
      <c r="Q1936" s="220"/>
      <c r="R1936" s="89">
        <v>1</v>
      </c>
      <c r="S1936" s="81"/>
      <c r="T1936" s="81"/>
      <c r="U1936" s="81"/>
      <c r="V1936" s="220"/>
      <c r="W1936" s="89"/>
      <c r="X1936" s="220"/>
      <c r="Y1936" s="89"/>
      <c r="Z1936" s="81"/>
      <c r="AA1936" s="81"/>
      <c r="AB1936" s="81"/>
      <c r="AC1936" s="81"/>
      <c r="AD1936" s="301">
        <v>45597</v>
      </c>
      <c r="AE1936" s="84" t="s">
        <v>9641</v>
      </c>
    </row>
    <row r="1937" spans="1:31" s="302" customFormat="1" ht="27" customHeight="1" x14ac:dyDescent="0.15">
      <c r="A1937" s="228">
        <v>1114900119</v>
      </c>
      <c r="B1937" s="130" t="s">
        <v>2591</v>
      </c>
      <c r="C1937" s="130" t="s">
        <v>2592</v>
      </c>
      <c r="D1937" s="108" t="s">
        <v>97</v>
      </c>
      <c r="E1937" s="130" t="s">
        <v>2593</v>
      </c>
      <c r="F1937" s="131">
        <v>3680062</v>
      </c>
      <c r="G1937" s="132" t="s">
        <v>2594</v>
      </c>
      <c r="H1937" s="132" t="s">
        <v>2595</v>
      </c>
      <c r="I1937" s="133"/>
      <c r="J1937" s="134"/>
      <c r="K1937" s="134"/>
      <c r="L1937" s="134" t="s">
        <v>477</v>
      </c>
      <c r="M1937" s="134" t="s">
        <v>395</v>
      </c>
      <c r="N1937" s="135" t="s">
        <v>396</v>
      </c>
      <c r="O1937" s="136" t="s">
        <v>2178</v>
      </c>
      <c r="P1937" s="132"/>
      <c r="Q1937" s="272" t="s">
        <v>765</v>
      </c>
      <c r="R1937" s="248"/>
      <c r="S1937" s="132"/>
      <c r="T1937" s="132"/>
      <c r="U1937" s="132"/>
      <c r="V1937" s="152"/>
      <c r="W1937" s="248"/>
      <c r="X1937" s="152"/>
      <c r="Y1937" s="136"/>
      <c r="Z1937" s="132"/>
      <c r="AA1937" s="132"/>
      <c r="AB1937" s="132"/>
      <c r="AC1937" s="132"/>
      <c r="AD1937" s="239">
        <v>39173</v>
      </c>
      <c r="AE1937" s="273" t="s">
        <v>2811</v>
      </c>
    </row>
    <row r="1938" spans="1:31" ht="27" customHeight="1" x14ac:dyDescent="0.15">
      <c r="A1938" s="228">
        <v>1114900283</v>
      </c>
      <c r="B1938" s="130" t="s">
        <v>493</v>
      </c>
      <c r="C1938" s="130" t="s">
        <v>3360</v>
      </c>
      <c r="D1938" s="108" t="s">
        <v>97</v>
      </c>
      <c r="E1938" s="130" t="s">
        <v>204</v>
      </c>
      <c r="F1938" s="131">
        <v>3680004</v>
      </c>
      <c r="G1938" s="132" t="s">
        <v>3361</v>
      </c>
      <c r="H1938" s="132" t="s">
        <v>3362</v>
      </c>
      <c r="I1938" s="133"/>
      <c r="J1938" s="134"/>
      <c r="K1938" s="154"/>
      <c r="L1938" s="154"/>
      <c r="M1938" s="154" t="s">
        <v>395</v>
      </c>
      <c r="N1938" s="143"/>
      <c r="O1938" s="138"/>
      <c r="P1938" s="132"/>
      <c r="Q1938" s="272" t="s">
        <v>3363</v>
      </c>
      <c r="R1938" s="248"/>
      <c r="S1938" s="132"/>
      <c r="T1938" s="132"/>
      <c r="U1938" s="132"/>
      <c r="V1938" s="152"/>
      <c r="W1938" s="248"/>
      <c r="X1938" s="152"/>
      <c r="Y1938" s="136"/>
      <c r="Z1938" s="132"/>
      <c r="AA1938" s="132"/>
      <c r="AB1938" s="132"/>
      <c r="AC1938" s="132"/>
      <c r="AD1938" s="239">
        <v>42461</v>
      </c>
      <c r="AE1938" s="273" t="s">
        <v>3364</v>
      </c>
    </row>
    <row r="1939" spans="1:31" s="65" customFormat="1" ht="27" customHeight="1" x14ac:dyDescent="0.15">
      <c r="A1939" s="228">
        <v>1114900317</v>
      </c>
      <c r="B1939" s="130" t="s">
        <v>493</v>
      </c>
      <c r="C1939" s="130" t="s">
        <v>5666</v>
      </c>
      <c r="D1939" s="108" t="s">
        <v>97</v>
      </c>
      <c r="E1939" s="130" t="s">
        <v>5667</v>
      </c>
      <c r="F1939" s="131" t="s">
        <v>5668</v>
      </c>
      <c r="G1939" s="132" t="s">
        <v>5669</v>
      </c>
      <c r="H1939" s="132" t="s">
        <v>5669</v>
      </c>
      <c r="I1939" s="133"/>
      <c r="J1939" s="134"/>
      <c r="K1939" s="154"/>
      <c r="L1939" s="154"/>
      <c r="M1939" s="154" t="s">
        <v>395</v>
      </c>
      <c r="N1939" s="143"/>
      <c r="O1939" s="138"/>
      <c r="P1939" s="132"/>
      <c r="Q1939" s="272" t="s">
        <v>49</v>
      </c>
      <c r="R1939" s="248"/>
      <c r="S1939" s="132"/>
      <c r="T1939" s="132"/>
      <c r="U1939" s="132"/>
      <c r="V1939" s="152"/>
      <c r="W1939" s="248"/>
      <c r="X1939" s="152"/>
      <c r="Y1939" s="136"/>
      <c r="Z1939" s="132"/>
      <c r="AA1939" s="132"/>
      <c r="AB1939" s="132"/>
      <c r="AC1939" s="132"/>
      <c r="AD1939" s="239">
        <v>43800</v>
      </c>
      <c r="AE1939" s="273" t="s">
        <v>5670</v>
      </c>
    </row>
    <row r="1940" spans="1:31" ht="27" customHeight="1" x14ac:dyDescent="0.15">
      <c r="A1940" s="228">
        <v>1115100644</v>
      </c>
      <c r="B1940" s="130" t="s">
        <v>3482</v>
      </c>
      <c r="C1940" s="130" t="s">
        <v>3483</v>
      </c>
      <c r="D1940" s="108" t="s">
        <v>98</v>
      </c>
      <c r="E1940" s="130" t="s">
        <v>3486</v>
      </c>
      <c r="F1940" s="131">
        <v>3520015</v>
      </c>
      <c r="G1940" s="132" t="s">
        <v>3484</v>
      </c>
      <c r="H1940" s="132" t="s">
        <v>3485</v>
      </c>
      <c r="I1940" s="133"/>
      <c r="J1940" s="134"/>
      <c r="K1940" s="154"/>
      <c r="L1940" s="154"/>
      <c r="M1940" s="154" t="s">
        <v>395</v>
      </c>
      <c r="N1940" s="143" t="s">
        <v>396</v>
      </c>
      <c r="O1940" s="138"/>
      <c r="P1940" s="132"/>
      <c r="Q1940" s="272"/>
      <c r="R1940" s="248">
        <v>2</v>
      </c>
      <c r="S1940" s="132"/>
      <c r="T1940" s="132"/>
      <c r="U1940" s="132"/>
      <c r="V1940" s="152"/>
      <c r="W1940" s="248"/>
      <c r="X1940" s="152"/>
      <c r="Y1940" s="136"/>
      <c r="Z1940" s="132"/>
      <c r="AA1940" s="132"/>
      <c r="AB1940" s="132"/>
      <c r="AC1940" s="132"/>
      <c r="AD1940" s="239">
        <v>42583</v>
      </c>
      <c r="AE1940" s="273" t="s">
        <v>3487</v>
      </c>
    </row>
    <row r="1941" spans="1:31" ht="27" customHeight="1" x14ac:dyDescent="0.15">
      <c r="A1941" s="228">
        <v>1115100685</v>
      </c>
      <c r="B1941" s="130" t="s">
        <v>3919</v>
      </c>
      <c r="C1941" s="130" t="s">
        <v>3920</v>
      </c>
      <c r="D1941" s="108" t="s">
        <v>98</v>
      </c>
      <c r="E1941" s="130" t="s">
        <v>3921</v>
      </c>
      <c r="F1941" s="131">
        <v>3520023</v>
      </c>
      <c r="G1941" s="132" t="s">
        <v>3922</v>
      </c>
      <c r="H1941" s="132" t="s">
        <v>3923</v>
      </c>
      <c r="I1941" s="133"/>
      <c r="J1941" s="134"/>
      <c r="K1941" s="154"/>
      <c r="L1941" s="154"/>
      <c r="M1941" s="154" t="s">
        <v>395</v>
      </c>
      <c r="N1941" s="143"/>
      <c r="O1941" s="138"/>
      <c r="P1941" s="132"/>
      <c r="Q1941" s="272"/>
      <c r="R1941" s="138">
        <v>2</v>
      </c>
      <c r="S1941" s="132"/>
      <c r="T1941" s="132"/>
      <c r="U1941" s="132"/>
      <c r="V1941" s="152"/>
      <c r="W1941" s="248"/>
      <c r="X1941" s="152"/>
      <c r="Y1941" s="136"/>
      <c r="Z1941" s="132"/>
      <c r="AA1941" s="132"/>
      <c r="AB1941" s="132"/>
      <c r="AC1941" s="132"/>
      <c r="AD1941" s="239">
        <v>42887</v>
      </c>
      <c r="AE1941" s="273" t="s">
        <v>3924</v>
      </c>
    </row>
    <row r="1942" spans="1:31" s="302" customFormat="1" ht="27" customHeight="1" x14ac:dyDescent="0.15">
      <c r="A1942" s="105">
        <v>1115100784</v>
      </c>
      <c r="B1942" s="130" t="s">
        <v>5624</v>
      </c>
      <c r="C1942" s="130" t="s">
        <v>5623</v>
      </c>
      <c r="D1942" s="108" t="s">
        <v>98</v>
      </c>
      <c r="E1942" s="510" t="s">
        <v>5625</v>
      </c>
      <c r="F1942" s="203" t="s">
        <v>5626</v>
      </c>
      <c r="G1942" s="205" t="s">
        <v>5627</v>
      </c>
      <c r="H1942" s="175" t="s">
        <v>5628</v>
      </c>
      <c r="I1942" s="141" t="s">
        <v>391</v>
      </c>
      <c r="J1942" s="142" t="s">
        <v>392</v>
      </c>
      <c r="K1942" s="142" t="s">
        <v>393</v>
      </c>
      <c r="L1942" s="142" t="s">
        <v>394</v>
      </c>
      <c r="M1942" s="142" t="s">
        <v>395</v>
      </c>
      <c r="N1942" s="177" t="s">
        <v>396</v>
      </c>
      <c r="O1942" s="177" t="s">
        <v>2178</v>
      </c>
      <c r="P1942" s="175"/>
      <c r="Q1942" s="209"/>
      <c r="R1942" s="210">
        <v>2</v>
      </c>
      <c r="S1942" s="175"/>
      <c r="T1942" s="175"/>
      <c r="U1942" s="175"/>
      <c r="V1942" s="209"/>
      <c r="W1942" s="210"/>
      <c r="X1942" s="209"/>
      <c r="Y1942" s="210"/>
      <c r="Z1942" s="175"/>
      <c r="AA1942" s="175"/>
      <c r="AB1942" s="175"/>
      <c r="AC1942" s="175"/>
      <c r="AD1942" s="211">
        <v>43800</v>
      </c>
      <c r="AE1942" s="162" t="s">
        <v>7915</v>
      </c>
    </row>
    <row r="1943" spans="1:31" ht="27" customHeight="1" x14ac:dyDescent="0.15">
      <c r="A1943" s="225">
        <v>1115100859</v>
      </c>
      <c r="B1943" s="291" t="s">
        <v>6896</v>
      </c>
      <c r="C1943" s="364" t="s">
        <v>6897</v>
      </c>
      <c r="D1943" s="214" t="s">
        <v>98</v>
      </c>
      <c r="E1943" s="108" t="s">
        <v>6898</v>
      </c>
      <c r="F1943" s="156">
        <v>3520006</v>
      </c>
      <c r="G1943" s="159" t="s">
        <v>6899</v>
      </c>
      <c r="H1943" s="140" t="s">
        <v>6900</v>
      </c>
      <c r="I1943" s="181"/>
      <c r="J1943" s="154"/>
      <c r="K1943" s="154"/>
      <c r="L1943" s="154"/>
      <c r="M1943" s="154" t="s">
        <v>395</v>
      </c>
      <c r="N1943" s="143" t="s">
        <v>396</v>
      </c>
      <c r="O1943" s="138"/>
      <c r="P1943" s="105"/>
      <c r="Q1943" s="137" t="s">
        <v>49</v>
      </c>
      <c r="R1943" s="138"/>
      <c r="S1943" s="105"/>
      <c r="T1943" s="105"/>
      <c r="U1943" s="105"/>
      <c r="V1943" s="137"/>
      <c r="W1943" s="138"/>
      <c r="X1943" s="137"/>
      <c r="Y1943" s="138"/>
      <c r="Z1943" s="105"/>
      <c r="AA1943" s="105"/>
      <c r="AB1943" s="105"/>
      <c r="AC1943" s="105"/>
      <c r="AD1943" s="118">
        <v>44378</v>
      </c>
      <c r="AE1943" s="108" t="s">
        <v>6901</v>
      </c>
    </row>
    <row r="1944" spans="1:31" ht="27" customHeight="1" x14ac:dyDescent="0.15">
      <c r="A1944" s="132">
        <v>1115100917</v>
      </c>
      <c r="B1944" s="130" t="s">
        <v>8522</v>
      </c>
      <c r="C1944" s="108" t="s">
        <v>8523</v>
      </c>
      <c r="D1944" s="108" t="s">
        <v>98</v>
      </c>
      <c r="E1944" s="108" t="s">
        <v>8524</v>
      </c>
      <c r="F1944" s="264" t="s">
        <v>8525</v>
      </c>
      <c r="G1944" s="137" t="s">
        <v>8526</v>
      </c>
      <c r="H1944" s="137" t="s">
        <v>8527</v>
      </c>
      <c r="I1944" s="141"/>
      <c r="J1944" s="142"/>
      <c r="K1944" s="142"/>
      <c r="L1944" s="142"/>
      <c r="M1944" s="142" t="s">
        <v>395</v>
      </c>
      <c r="N1944" s="143" t="s">
        <v>396</v>
      </c>
      <c r="O1944" s="138"/>
      <c r="P1944" s="105"/>
      <c r="Q1944" s="137" t="s">
        <v>765</v>
      </c>
      <c r="R1944" s="138"/>
      <c r="S1944" s="105"/>
      <c r="T1944" s="105"/>
      <c r="U1944" s="105"/>
      <c r="V1944" s="137"/>
      <c r="W1944" s="138"/>
      <c r="X1944" s="137"/>
      <c r="Y1944" s="138"/>
      <c r="Z1944" s="105"/>
      <c r="AA1944" s="105"/>
      <c r="AB1944" s="105"/>
      <c r="AC1944" s="105"/>
      <c r="AD1944" s="155">
        <v>45139</v>
      </c>
      <c r="AE1944" s="108" t="s">
        <v>8528</v>
      </c>
    </row>
    <row r="1945" spans="1:31" ht="27" customHeight="1" x14ac:dyDescent="0.15">
      <c r="A1945" s="105">
        <v>1115100966</v>
      </c>
      <c r="B1945" s="280" t="s">
        <v>9825</v>
      </c>
      <c r="C1945" s="130" t="s">
        <v>9826</v>
      </c>
      <c r="D1945" s="108" t="s">
        <v>98</v>
      </c>
      <c r="E1945" s="281" t="s">
        <v>9827</v>
      </c>
      <c r="F1945" s="132" t="s">
        <v>5618</v>
      </c>
      <c r="G1945" s="139" t="s">
        <v>9828</v>
      </c>
      <c r="H1945" s="139" t="s">
        <v>9829</v>
      </c>
      <c r="I1945" s="141" t="s">
        <v>391</v>
      </c>
      <c r="J1945" s="142" t="s">
        <v>392</v>
      </c>
      <c r="K1945" s="142" t="s">
        <v>393</v>
      </c>
      <c r="L1945" s="142" t="s">
        <v>394</v>
      </c>
      <c r="M1945" s="142" t="s">
        <v>395</v>
      </c>
      <c r="N1945" s="142" t="s">
        <v>396</v>
      </c>
      <c r="O1945" s="142" t="s">
        <v>2178</v>
      </c>
      <c r="P1945" s="105"/>
      <c r="Q1945" s="137"/>
      <c r="R1945" s="138">
        <v>2</v>
      </c>
      <c r="S1945" s="105"/>
      <c r="T1945" s="105"/>
      <c r="U1945" s="105"/>
      <c r="V1945" s="137"/>
      <c r="W1945" s="138"/>
      <c r="X1945" s="137"/>
      <c r="Y1945" s="138"/>
      <c r="Z1945" s="105"/>
      <c r="AA1945" s="105"/>
      <c r="AB1945" s="105"/>
      <c r="AC1945" s="105"/>
      <c r="AD1945" s="155">
        <v>45413</v>
      </c>
      <c r="AE1945" s="108" t="s">
        <v>9824</v>
      </c>
    </row>
    <row r="1946" spans="1:31" s="65" customFormat="1" ht="27" customHeight="1" x14ac:dyDescent="0.15">
      <c r="A1946" s="105">
        <v>1115100974</v>
      </c>
      <c r="B1946" s="280" t="s">
        <v>5656</v>
      </c>
      <c r="C1946" s="130" t="s">
        <v>9685</v>
      </c>
      <c r="D1946" s="108" t="s">
        <v>98</v>
      </c>
      <c r="E1946" s="281" t="s">
        <v>5617</v>
      </c>
      <c r="F1946" s="132" t="s">
        <v>5618</v>
      </c>
      <c r="G1946" s="139" t="s">
        <v>5619</v>
      </c>
      <c r="H1946" s="105" t="s">
        <v>5620</v>
      </c>
      <c r="I1946" s="141" t="s">
        <v>391</v>
      </c>
      <c r="J1946" s="142" t="s">
        <v>392</v>
      </c>
      <c r="K1946" s="142" t="s">
        <v>393</v>
      </c>
      <c r="L1946" s="142" t="s">
        <v>394</v>
      </c>
      <c r="M1946" s="142" t="s">
        <v>395</v>
      </c>
      <c r="N1946" s="142" t="s">
        <v>396</v>
      </c>
      <c r="O1946" s="142"/>
      <c r="P1946" s="105"/>
      <c r="Q1946" s="137"/>
      <c r="R1946" s="138">
        <v>1</v>
      </c>
      <c r="S1946" s="105"/>
      <c r="T1946" s="105"/>
      <c r="U1946" s="105"/>
      <c r="V1946" s="137"/>
      <c r="W1946" s="138"/>
      <c r="X1946" s="137"/>
      <c r="Y1946" s="138"/>
      <c r="Z1946" s="105"/>
      <c r="AA1946" s="105"/>
      <c r="AB1946" s="105"/>
      <c r="AC1946" s="105"/>
      <c r="AD1946" s="155" t="s">
        <v>5621</v>
      </c>
      <c r="AE1946" s="108" t="s">
        <v>5622</v>
      </c>
    </row>
    <row r="1947" spans="1:31" ht="28.5" customHeight="1" x14ac:dyDescent="0.15">
      <c r="A1947" s="105">
        <v>1115100982</v>
      </c>
      <c r="B1947" s="280" t="s">
        <v>5656</v>
      </c>
      <c r="C1947" s="130" t="s">
        <v>9686</v>
      </c>
      <c r="D1947" s="108" t="s">
        <v>98</v>
      </c>
      <c r="E1947" s="281" t="s">
        <v>7353</v>
      </c>
      <c r="F1947" s="132" t="s">
        <v>7072</v>
      </c>
      <c r="G1947" s="139" t="s">
        <v>7354</v>
      </c>
      <c r="H1947" s="139" t="s">
        <v>7355</v>
      </c>
      <c r="I1947" s="141" t="s">
        <v>391</v>
      </c>
      <c r="J1947" s="142" t="s">
        <v>392</v>
      </c>
      <c r="K1947" s="142" t="s">
        <v>393</v>
      </c>
      <c r="L1947" s="142" t="s">
        <v>394</v>
      </c>
      <c r="M1947" s="142" t="s">
        <v>395</v>
      </c>
      <c r="N1947" s="142" t="s">
        <v>396</v>
      </c>
      <c r="O1947" s="142"/>
      <c r="P1947" s="105"/>
      <c r="Q1947" s="137"/>
      <c r="R1947" s="138">
        <v>1</v>
      </c>
      <c r="S1947" s="105"/>
      <c r="T1947" s="105"/>
      <c r="U1947" s="105"/>
      <c r="V1947" s="137"/>
      <c r="W1947" s="138"/>
      <c r="X1947" s="137"/>
      <c r="Y1947" s="138"/>
      <c r="Z1947" s="105"/>
      <c r="AA1947" s="105"/>
      <c r="AB1947" s="105"/>
      <c r="AC1947" s="105"/>
      <c r="AD1947" s="155">
        <v>44652</v>
      </c>
      <c r="AE1947" s="108" t="s">
        <v>7356</v>
      </c>
    </row>
    <row r="1948" spans="1:31" s="302" customFormat="1" ht="27" customHeight="1" x14ac:dyDescent="0.15">
      <c r="A1948" s="105">
        <v>1115100990</v>
      </c>
      <c r="B1948" s="106" t="s">
        <v>9945</v>
      </c>
      <c r="C1948" s="157" t="s">
        <v>9980</v>
      </c>
      <c r="D1948" s="108" t="s">
        <v>98</v>
      </c>
      <c r="E1948" s="108" t="s">
        <v>8321</v>
      </c>
      <c r="F1948" s="264" t="s">
        <v>1977</v>
      </c>
      <c r="G1948" s="157" t="s">
        <v>8322</v>
      </c>
      <c r="H1948" s="157" t="s">
        <v>8323</v>
      </c>
      <c r="I1948" s="160" t="s">
        <v>391</v>
      </c>
      <c r="J1948" s="142" t="s">
        <v>392</v>
      </c>
      <c r="K1948" s="142" t="s">
        <v>393</v>
      </c>
      <c r="L1948" s="142" t="s">
        <v>394</v>
      </c>
      <c r="M1948" s="142" t="s">
        <v>395</v>
      </c>
      <c r="N1948" s="143" t="s">
        <v>396</v>
      </c>
      <c r="O1948" s="138" t="s">
        <v>2178</v>
      </c>
      <c r="P1948" s="105"/>
      <c r="Q1948" s="137"/>
      <c r="R1948" s="138">
        <v>1</v>
      </c>
      <c r="S1948" s="105"/>
      <c r="T1948" s="105"/>
      <c r="U1948" s="105"/>
      <c r="V1948" s="116"/>
      <c r="W1948" s="117"/>
      <c r="X1948" s="116"/>
      <c r="Y1948" s="138"/>
      <c r="Z1948" s="105"/>
      <c r="AA1948" s="132"/>
      <c r="AB1948" s="132"/>
      <c r="AC1948" s="203"/>
      <c r="AD1948" s="227">
        <v>45717</v>
      </c>
      <c r="AE1948" s="370"/>
    </row>
    <row r="1949" spans="1:31" s="302" customFormat="1" ht="27" customHeight="1" x14ac:dyDescent="0.15">
      <c r="A1949" s="105">
        <v>1115200378</v>
      </c>
      <c r="B1949" s="130" t="s">
        <v>8651</v>
      </c>
      <c r="C1949" s="108" t="s">
        <v>8652</v>
      </c>
      <c r="D1949" s="108" t="s">
        <v>99</v>
      </c>
      <c r="E1949" s="108" t="s">
        <v>8653</v>
      </c>
      <c r="F1949" s="131" t="s">
        <v>8654</v>
      </c>
      <c r="G1949" s="132" t="s">
        <v>8655</v>
      </c>
      <c r="H1949" s="132" t="s">
        <v>8656</v>
      </c>
      <c r="I1949" s="141" t="s">
        <v>391</v>
      </c>
      <c r="J1949" s="142" t="s">
        <v>392</v>
      </c>
      <c r="K1949" s="142" t="s">
        <v>393</v>
      </c>
      <c r="L1949" s="142" t="s">
        <v>394</v>
      </c>
      <c r="M1949" s="142" t="s">
        <v>395</v>
      </c>
      <c r="N1949" s="177"/>
      <c r="O1949" s="136" t="s">
        <v>2178</v>
      </c>
      <c r="P1949" s="105"/>
      <c r="Q1949" s="137"/>
      <c r="R1949" s="138">
        <v>4</v>
      </c>
      <c r="S1949" s="105"/>
      <c r="T1949" s="105"/>
      <c r="U1949" s="105"/>
      <c r="V1949" s="137"/>
      <c r="W1949" s="138"/>
      <c r="X1949" s="152"/>
      <c r="Y1949" s="138"/>
      <c r="Z1949" s="105"/>
      <c r="AA1949" s="105"/>
      <c r="AB1949" s="105"/>
      <c r="AC1949" s="105"/>
      <c r="AD1949" s="118">
        <v>45017</v>
      </c>
      <c r="AE1949" s="108"/>
    </row>
    <row r="1950" spans="1:31" ht="27" customHeight="1" x14ac:dyDescent="0.15">
      <c r="A1950" s="105">
        <v>1115200402</v>
      </c>
      <c r="B1950" s="130" t="s">
        <v>11685</v>
      </c>
      <c r="C1950" s="130" t="s">
        <v>9621</v>
      </c>
      <c r="D1950" s="108" t="s">
        <v>99</v>
      </c>
      <c r="E1950" s="281" t="s">
        <v>9622</v>
      </c>
      <c r="F1950" s="132" t="s">
        <v>9623</v>
      </c>
      <c r="G1950" s="139" t="s">
        <v>9624</v>
      </c>
      <c r="H1950" s="139" t="s">
        <v>9625</v>
      </c>
      <c r="I1950" s="141" t="s">
        <v>391</v>
      </c>
      <c r="J1950" s="142" t="s">
        <v>392</v>
      </c>
      <c r="K1950" s="142" t="s">
        <v>393</v>
      </c>
      <c r="L1950" s="142" t="s">
        <v>394</v>
      </c>
      <c r="M1950" s="142" t="s">
        <v>395</v>
      </c>
      <c r="N1950" s="142" t="s">
        <v>396</v>
      </c>
      <c r="O1950" s="142"/>
      <c r="P1950" s="105"/>
      <c r="Q1950" s="137"/>
      <c r="R1950" s="138">
        <v>1</v>
      </c>
      <c r="S1950" s="105"/>
      <c r="T1950" s="105"/>
      <c r="U1950" s="105"/>
      <c r="V1950" s="137"/>
      <c r="W1950" s="138"/>
      <c r="X1950" s="137"/>
      <c r="Y1950" s="138"/>
      <c r="Z1950" s="105"/>
      <c r="AA1950" s="105"/>
      <c r="AB1950" s="105"/>
      <c r="AC1950" s="105"/>
      <c r="AD1950" s="144">
        <v>45597</v>
      </c>
      <c r="AE1950" s="108" t="s">
        <v>9626</v>
      </c>
    </row>
    <row r="1951" spans="1:31" ht="27" customHeight="1" x14ac:dyDescent="0.15">
      <c r="A1951" s="105">
        <v>1115200410</v>
      </c>
      <c r="B1951" s="130" t="s">
        <v>9941</v>
      </c>
      <c r="C1951" s="130" t="s">
        <v>9952</v>
      </c>
      <c r="D1951" s="108" t="s">
        <v>99</v>
      </c>
      <c r="E1951" s="281" t="s">
        <v>7128</v>
      </c>
      <c r="F1951" s="132" t="s">
        <v>7129</v>
      </c>
      <c r="G1951" s="139" t="s">
        <v>7130</v>
      </c>
      <c r="H1951" s="139" t="s">
        <v>7131</v>
      </c>
      <c r="I1951" s="141" t="s">
        <v>391</v>
      </c>
      <c r="J1951" s="142" t="s">
        <v>392</v>
      </c>
      <c r="K1951" s="142" t="s">
        <v>456</v>
      </c>
      <c r="L1951" s="142" t="s">
        <v>477</v>
      </c>
      <c r="M1951" s="142" t="s">
        <v>395</v>
      </c>
      <c r="N1951" s="142" t="s">
        <v>396</v>
      </c>
      <c r="O1951" s="142" t="s">
        <v>2178</v>
      </c>
      <c r="P1951" s="105"/>
      <c r="Q1951" s="137"/>
      <c r="R1951" s="138">
        <v>2</v>
      </c>
      <c r="S1951" s="105"/>
      <c r="T1951" s="105"/>
      <c r="U1951" s="105"/>
      <c r="V1951" s="137"/>
      <c r="W1951" s="138"/>
      <c r="X1951" s="137"/>
      <c r="Y1951" s="138"/>
      <c r="Z1951" s="105"/>
      <c r="AA1951" s="105"/>
      <c r="AB1951" s="105"/>
      <c r="AC1951" s="105"/>
      <c r="AD1951" s="155">
        <v>45717</v>
      </c>
      <c r="AE1951" s="108" t="s">
        <v>7157</v>
      </c>
    </row>
    <row r="1952" spans="1:31" s="65" customFormat="1" ht="27" customHeight="1" x14ac:dyDescent="0.15">
      <c r="A1952" s="499">
        <v>1116000355</v>
      </c>
      <c r="B1952" s="500" t="s">
        <v>3343</v>
      </c>
      <c r="C1952" s="500" t="s">
        <v>3344</v>
      </c>
      <c r="D1952" s="501" t="s">
        <v>101</v>
      </c>
      <c r="E1952" s="500" t="s">
        <v>3345</v>
      </c>
      <c r="F1952" s="502" t="s">
        <v>3346</v>
      </c>
      <c r="G1952" s="503" t="s">
        <v>3347</v>
      </c>
      <c r="H1952" s="503" t="s">
        <v>3348</v>
      </c>
      <c r="I1952" s="133"/>
      <c r="J1952" s="154"/>
      <c r="K1952" s="154"/>
      <c r="L1952" s="154"/>
      <c r="M1952" s="154" t="s">
        <v>395</v>
      </c>
      <c r="N1952" s="143"/>
      <c r="O1952" s="138"/>
      <c r="P1952" s="503"/>
      <c r="Q1952" s="504"/>
      <c r="R1952" s="505">
        <v>1</v>
      </c>
      <c r="S1952" s="503"/>
      <c r="T1952" s="503"/>
      <c r="U1952" s="503"/>
      <c r="V1952" s="504"/>
      <c r="W1952" s="505"/>
      <c r="X1952" s="504"/>
      <c r="Y1952" s="506"/>
      <c r="Z1952" s="503"/>
      <c r="AA1952" s="503"/>
      <c r="AB1952" s="503"/>
      <c r="AC1952" s="503"/>
      <c r="AD1952" s="507">
        <v>42461</v>
      </c>
      <c r="AE1952" s="508" t="s">
        <v>3354</v>
      </c>
    </row>
    <row r="1953" spans="1:31" ht="27" customHeight="1" x14ac:dyDescent="0.15">
      <c r="A1953" s="494">
        <v>1116000439</v>
      </c>
      <c r="B1953" s="204" t="s">
        <v>5978</v>
      </c>
      <c r="C1953" s="204" t="s">
        <v>5979</v>
      </c>
      <c r="D1953" s="162" t="s">
        <v>101</v>
      </c>
      <c r="E1953" s="204" t="s">
        <v>5980</v>
      </c>
      <c r="F1953" s="268" t="s">
        <v>3346</v>
      </c>
      <c r="G1953" s="203" t="s">
        <v>5981</v>
      </c>
      <c r="H1953" s="203" t="s">
        <v>5981</v>
      </c>
      <c r="I1953" s="133" t="s">
        <v>391</v>
      </c>
      <c r="J1953" s="154" t="s">
        <v>392</v>
      </c>
      <c r="K1953" s="154" t="s">
        <v>393</v>
      </c>
      <c r="L1953" s="154" t="s">
        <v>394</v>
      </c>
      <c r="M1953" s="154" t="s">
        <v>395</v>
      </c>
      <c r="N1953" s="143" t="s">
        <v>396</v>
      </c>
      <c r="O1953" s="143"/>
      <c r="P1953" s="203"/>
      <c r="Q1953" s="363" t="s">
        <v>765</v>
      </c>
      <c r="R1953" s="495"/>
      <c r="S1953" s="203"/>
      <c r="T1953" s="203"/>
      <c r="U1953" s="203"/>
      <c r="V1953" s="363"/>
      <c r="W1953" s="495"/>
      <c r="X1953" s="363"/>
      <c r="Y1953" s="360"/>
      <c r="Z1953" s="203"/>
      <c r="AA1953" s="203"/>
      <c r="AB1953" s="203"/>
      <c r="AC1953" s="203"/>
      <c r="AD1953" s="496">
        <v>43556</v>
      </c>
      <c r="AE1953" s="497" t="s">
        <v>5982</v>
      </c>
    </row>
    <row r="1954" spans="1:31" s="302" customFormat="1" ht="27" customHeight="1" x14ac:dyDescent="0.15">
      <c r="A1954" s="132">
        <v>1116000603</v>
      </c>
      <c r="B1954" s="130" t="s">
        <v>8432</v>
      </c>
      <c r="C1954" s="108" t="s">
        <v>8433</v>
      </c>
      <c r="D1954" s="108" t="s">
        <v>23</v>
      </c>
      <c r="E1954" s="108" t="s">
        <v>8434</v>
      </c>
      <c r="F1954" s="264" t="s">
        <v>8435</v>
      </c>
      <c r="G1954" s="137" t="s">
        <v>8436</v>
      </c>
      <c r="H1954" s="137"/>
      <c r="I1954" s="141"/>
      <c r="J1954" s="142"/>
      <c r="K1954" s="142"/>
      <c r="L1954" s="142"/>
      <c r="M1954" s="142" t="s">
        <v>395</v>
      </c>
      <c r="N1954" s="143" t="s">
        <v>396</v>
      </c>
      <c r="O1954" s="138"/>
      <c r="P1954" s="105"/>
      <c r="Q1954" s="137" t="s">
        <v>765</v>
      </c>
      <c r="R1954" s="138"/>
      <c r="S1954" s="105"/>
      <c r="T1954" s="105"/>
      <c r="U1954" s="105"/>
      <c r="V1954" s="137"/>
      <c r="W1954" s="138"/>
      <c r="X1954" s="137"/>
      <c r="Y1954" s="138"/>
      <c r="Z1954" s="105"/>
      <c r="AA1954" s="105"/>
      <c r="AB1954" s="105"/>
      <c r="AC1954" s="105"/>
      <c r="AD1954" s="155">
        <v>44986</v>
      </c>
      <c r="AE1954" s="108" t="s">
        <v>10697</v>
      </c>
    </row>
    <row r="1955" spans="1:31" ht="27" customHeight="1" x14ac:dyDescent="0.15">
      <c r="A1955" s="132">
        <v>1116000645</v>
      </c>
      <c r="B1955" s="130" t="s">
        <v>9428</v>
      </c>
      <c r="C1955" s="108" t="s">
        <v>9429</v>
      </c>
      <c r="D1955" s="267" t="s">
        <v>101</v>
      </c>
      <c r="E1955" s="108" t="s">
        <v>9430</v>
      </c>
      <c r="F1955" s="264" t="s">
        <v>9652</v>
      </c>
      <c r="G1955" s="137" t="s">
        <v>9431</v>
      </c>
      <c r="H1955" s="137" t="s">
        <v>9653</v>
      </c>
      <c r="I1955" s="141"/>
      <c r="J1955" s="142"/>
      <c r="K1955" s="142"/>
      <c r="L1955" s="142"/>
      <c r="M1955" s="142" t="s">
        <v>395</v>
      </c>
      <c r="N1955" s="143" t="s">
        <v>396</v>
      </c>
      <c r="O1955" s="138"/>
      <c r="P1955" s="105"/>
      <c r="Q1955" s="137" t="s">
        <v>765</v>
      </c>
      <c r="R1955" s="138"/>
      <c r="S1955" s="105"/>
      <c r="T1955" s="105"/>
      <c r="U1955" s="105"/>
      <c r="V1955" s="137"/>
      <c r="W1955" s="138"/>
      <c r="X1955" s="137"/>
      <c r="Y1955" s="138"/>
      <c r="Z1955" s="105"/>
      <c r="AA1955" s="105"/>
      <c r="AB1955" s="105"/>
      <c r="AC1955" s="105"/>
      <c r="AD1955" s="155">
        <v>45505</v>
      </c>
      <c r="AE1955" s="108" t="s">
        <v>9432</v>
      </c>
    </row>
    <row r="1956" spans="1:31" ht="27" customHeight="1" x14ac:dyDescent="0.15">
      <c r="A1956" s="105">
        <v>1116000660</v>
      </c>
      <c r="B1956" s="280" t="s">
        <v>5656</v>
      </c>
      <c r="C1956" s="130" t="s">
        <v>9687</v>
      </c>
      <c r="D1956" s="108" t="s">
        <v>101</v>
      </c>
      <c r="E1956" s="281" t="s">
        <v>5950</v>
      </c>
      <c r="F1956" s="132" t="s">
        <v>5951</v>
      </c>
      <c r="G1956" s="139" t="s">
        <v>5952</v>
      </c>
      <c r="H1956" s="139" t="s">
        <v>5953</v>
      </c>
      <c r="I1956" s="141" t="s">
        <v>391</v>
      </c>
      <c r="J1956" s="142" t="s">
        <v>392</v>
      </c>
      <c r="K1956" s="142" t="s">
        <v>393</v>
      </c>
      <c r="L1956" s="142" t="s">
        <v>394</v>
      </c>
      <c r="M1956" s="142" t="s">
        <v>395</v>
      </c>
      <c r="N1956" s="142" t="s">
        <v>396</v>
      </c>
      <c r="O1956" s="142"/>
      <c r="P1956" s="105"/>
      <c r="Q1956" s="137"/>
      <c r="R1956" s="138">
        <v>2</v>
      </c>
      <c r="S1956" s="105"/>
      <c r="T1956" s="105"/>
      <c r="U1956" s="105"/>
      <c r="V1956" s="137"/>
      <c r="W1956" s="138"/>
      <c r="X1956" s="137"/>
      <c r="Y1956" s="138"/>
      <c r="Z1956" s="105"/>
      <c r="AA1956" s="105"/>
      <c r="AB1956" s="105"/>
      <c r="AC1956" s="105"/>
      <c r="AD1956" s="155">
        <v>43983</v>
      </c>
      <c r="AE1956" s="108" t="s">
        <v>5954</v>
      </c>
    </row>
    <row r="1957" spans="1:31" ht="27" customHeight="1" x14ac:dyDescent="0.15">
      <c r="A1957" s="105">
        <v>1116100320</v>
      </c>
      <c r="B1957" s="280" t="s">
        <v>5656</v>
      </c>
      <c r="C1957" s="130" t="s">
        <v>7866</v>
      </c>
      <c r="D1957" s="108" t="s">
        <v>102</v>
      </c>
      <c r="E1957" s="281" t="s">
        <v>7867</v>
      </c>
      <c r="F1957" s="132" t="s">
        <v>7868</v>
      </c>
      <c r="G1957" s="139" t="s">
        <v>7869</v>
      </c>
      <c r="H1957" s="139" t="s">
        <v>7870</v>
      </c>
      <c r="I1957" s="141" t="s">
        <v>391</v>
      </c>
      <c r="J1957" s="142" t="s">
        <v>392</v>
      </c>
      <c r="K1957" s="142" t="s">
        <v>393</v>
      </c>
      <c r="L1957" s="142" t="s">
        <v>394</v>
      </c>
      <c r="M1957" s="142" t="s">
        <v>395</v>
      </c>
      <c r="N1957" s="142" t="s">
        <v>396</v>
      </c>
      <c r="O1957" s="142"/>
      <c r="P1957" s="105"/>
      <c r="Q1957" s="137"/>
      <c r="R1957" s="138">
        <v>1</v>
      </c>
      <c r="S1957" s="105"/>
      <c r="T1957" s="105"/>
      <c r="U1957" s="105"/>
      <c r="V1957" s="137"/>
      <c r="W1957" s="138"/>
      <c r="X1957" s="137"/>
      <c r="Y1957" s="138"/>
      <c r="Z1957" s="105"/>
      <c r="AA1957" s="105"/>
      <c r="AB1957" s="105"/>
      <c r="AC1957" s="105"/>
      <c r="AD1957" s="155">
        <v>44835</v>
      </c>
      <c r="AE1957" s="108" t="s">
        <v>7871</v>
      </c>
    </row>
    <row r="1958" spans="1:31" ht="27" customHeight="1" x14ac:dyDescent="0.15">
      <c r="A1958" s="228">
        <v>1116100346</v>
      </c>
      <c r="B1958" s="130" t="s">
        <v>10107</v>
      </c>
      <c r="C1958" s="130" t="s">
        <v>10108</v>
      </c>
      <c r="D1958" s="108" t="s">
        <v>10109</v>
      </c>
      <c r="E1958" s="130" t="s">
        <v>10110</v>
      </c>
      <c r="F1958" s="131" t="s">
        <v>5476</v>
      </c>
      <c r="G1958" s="132" t="s">
        <v>10111</v>
      </c>
      <c r="H1958" s="132" t="s">
        <v>10112</v>
      </c>
      <c r="I1958" s="133"/>
      <c r="J1958" s="134"/>
      <c r="K1958" s="154"/>
      <c r="L1958" s="142"/>
      <c r="M1958" s="142" t="s">
        <v>395</v>
      </c>
      <c r="N1958" s="143" t="s">
        <v>396</v>
      </c>
      <c r="O1958" s="138"/>
      <c r="P1958" s="132"/>
      <c r="Q1958" s="272"/>
      <c r="R1958" s="248">
        <v>2</v>
      </c>
      <c r="S1958" s="132"/>
      <c r="T1958" s="132"/>
      <c r="U1958" s="132"/>
      <c r="V1958" s="152"/>
      <c r="W1958" s="248"/>
      <c r="X1958" s="152"/>
      <c r="Y1958" s="136"/>
      <c r="Z1958" s="132"/>
      <c r="AA1958" s="132"/>
      <c r="AB1958" s="132"/>
      <c r="AC1958" s="132"/>
      <c r="AD1958" s="145">
        <v>45748</v>
      </c>
      <c r="AE1958" s="273" t="s">
        <v>10113</v>
      </c>
    </row>
    <row r="1959" spans="1:31" s="302" customFormat="1" ht="27" customHeight="1" x14ac:dyDescent="0.15">
      <c r="A1959" s="228">
        <v>1116200302</v>
      </c>
      <c r="B1959" s="130" t="s">
        <v>2806</v>
      </c>
      <c r="C1959" s="130" t="s">
        <v>2807</v>
      </c>
      <c r="D1959" s="108" t="s">
        <v>472</v>
      </c>
      <c r="E1959" s="130" t="s">
        <v>2808</v>
      </c>
      <c r="F1959" s="131" t="s">
        <v>2809</v>
      </c>
      <c r="G1959" s="132" t="s">
        <v>2869</v>
      </c>
      <c r="H1959" s="132" t="s">
        <v>2870</v>
      </c>
      <c r="I1959" s="116"/>
      <c r="J1959" s="154"/>
      <c r="K1959" s="154" t="s">
        <v>456</v>
      </c>
      <c r="L1959" s="154" t="s">
        <v>1184</v>
      </c>
      <c r="M1959" s="154"/>
      <c r="N1959" s="143"/>
      <c r="O1959" s="138"/>
      <c r="P1959" s="132"/>
      <c r="Q1959" s="272" t="s">
        <v>2810</v>
      </c>
      <c r="R1959" s="248"/>
      <c r="S1959" s="132"/>
      <c r="T1959" s="132"/>
      <c r="U1959" s="132"/>
      <c r="V1959" s="152"/>
      <c r="W1959" s="248"/>
      <c r="X1959" s="152"/>
      <c r="Y1959" s="136"/>
      <c r="Z1959" s="132"/>
      <c r="AA1959" s="132"/>
      <c r="AB1959" s="132"/>
      <c r="AC1959" s="132"/>
      <c r="AD1959" s="239">
        <v>42095</v>
      </c>
      <c r="AE1959" s="273" t="s">
        <v>6163</v>
      </c>
    </row>
    <row r="1960" spans="1:31" s="302" customFormat="1" ht="27" customHeight="1" x14ac:dyDescent="0.15">
      <c r="A1960" s="132">
        <v>1116200393</v>
      </c>
      <c r="B1960" s="280" t="s">
        <v>5367</v>
      </c>
      <c r="C1960" s="329" t="s">
        <v>5368</v>
      </c>
      <c r="D1960" s="108" t="s">
        <v>472</v>
      </c>
      <c r="E1960" s="108" t="s">
        <v>5369</v>
      </c>
      <c r="F1960" s="150" t="s">
        <v>5370</v>
      </c>
      <c r="G1960" s="132" t="s">
        <v>5371</v>
      </c>
      <c r="H1960" s="132" t="s">
        <v>5372</v>
      </c>
      <c r="I1960" s="133" t="s">
        <v>391</v>
      </c>
      <c r="J1960" s="134" t="s">
        <v>392</v>
      </c>
      <c r="K1960" s="134" t="s">
        <v>393</v>
      </c>
      <c r="L1960" s="134" t="s">
        <v>394</v>
      </c>
      <c r="M1960" s="134" t="s">
        <v>395</v>
      </c>
      <c r="N1960" s="135" t="s">
        <v>396</v>
      </c>
      <c r="O1960" s="136" t="s">
        <v>2178</v>
      </c>
      <c r="P1960" s="132"/>
      <c r="Q1960" s="137" t="s">
        <v>5359</v>
      </c>
      <c r="R1960" s="248"/>
      <c r="S1960" s="132"/>
      <c r="T1960" s="132"/>
      <c r="U1960" s="132"/>
      <c r="V1960" s="152"/>
      <c r="W1960" s="248"/>
      <c r="X1960" s="152"/>
      <c r="Y1960" s="136"/>
      <c r="Z1960" s="132"/>
      <c r="AA1960" s="132"/>
      <c r="AB1960" s="132"/>
      <c r="AC1960" s="132"/>
      <c r="AD1960" s="118">
        <v>43739</v>
      </c>
      <c r="AE1960" s="273" t="s">
        <v>6147</v>
      </c>
    </row>
    <row r="1961" spans="1:31" s="65" customFormat="1" ht="27" customHeight="1" x14ac:dyDescent="0.15">
      <c r="A1961" s="105">
        <v>1116200500</v>
      </c>
      <c r="B1961" s="130" t="s">
        <v>12037</v>
      </c>
      <c r="C1961" s="130" t="s">
        <v>8641</v>
      </c>
      <c r="D1961" s="108" t="s">
        <v>8642</v>
      </c>
      <c r="E1961" s="281" t="s">
        <v>8643</v>
      </c>
      <c r="F1961" s="132" t="s">
        <v>5370</v>
      </c>
      <c r="G1961" s="139" t="s">
        <v>8644</v>
      </c>
      <c r="H1961" s="139" t="s">
        <v>8645</v>
      </c>
      <c r="I1961" s="141" t="s">
        <v>391</v>
      </c>
      <c r="J1961" s="142" t="s">
        <v>392</v>
      </c>
      <c r="K1961" s="142" t="s">
        <v>393</v>
      </c>
      <c r="L1961" s="142" t="s">
        <v>394</v>
      </c>
      <c r="M1961" s="142"/>
      <c r="N1961" s="142"/>
      <c r="O1961" s="142" t="s">
        <v>2178</v>
      </c>
      <c r="P1961" s="105"/>
      <c r="Q1961" s="137"/>
      <c r="R1961" s="138">
        <v>6</v>
      </c>
      <c r="S1961" s="105"/>
      <c r="T1961" s="105"/>
      <c r="U1961" s="105"/>
      <c r="V1961" s="137"/>
      <c r="W1961" s="138"/>
      <c r="X1961" s="137"/>
      <c r="Y1961" s="138"/>
      <c r="Z1961" s="105"/>
      <c r="AA1961" s="105"/>
      <c r="AB1961" s="105"/>
      <c r="AC1961" s="105"/>
      <c r="AD1961" s="155">
        <v>45170</v>
      </c>
      <c r="AE1961" s="108" t="s">
        <v>8941</v>
      </c>
    </row>
    <row r="1962" spans="1:31" s="302" customFormat="1" ht="27" customHeight="1" x14ac:dyDescent="0.15">
      <c r="A1962" s="105">
        <v>1116200526</v>
      </c>
      <c r="B1962" s="130" t="s">
        <v>10321</v>
      </c>
      <c r="C1962" s="157" t="s">
        <v>10270</v>
      </c>
      <c r="D1962" s="108" t="s">
        <v>472</v>
      </c>
      <c r="E1962" s="108" t="s">
        <v>10271</v>
      </c>
      <c r="F1962" s="264" t="s">
        <v>10272</v>
      </c>
      <c r="G1962" s="157" t="s">
        <v>10273</v>
      </c>
      <c r="H1962" s="157" t="s">
        <v>10274</v>
      </c>
      <c r="I1962" s="160" t="s">
        <v>391</v>
      </c>
      <c r="J1962" s="142" t="s">
        <v>392</v>
      </c>
      <c r="K1962" s="142" t="s">
        <v>393</v>
      </c>
      <c r="L1962" s="142" t="s">
        <v>394</v>
      </c>
      <c r="M1962" s="142" t="s">
        <v>395</v>
      </c>
      <c r="N1962" s="143" t="s">
        <v>396</v>
      </c>
      <c r="O1962" s="138" t="s">
        <v>2178</v>
      </c>
      <c r="P1962" s="105"/>
      <c r="Q1962" s="137" t="s">
        <v>49</v>
      </c>
      <c r="R1962" s="138"/>
      <c r="S1962" s="105"/>
      <c r="T1962" s="105"/>
      <c r="U1962" s="105"/>
      <c r="V1962" s="116"/>
      <c r="W1962" s="117"/>
      <c r="X1962" s="116"/>
      <c r="Y1962" s="138"/>
      <c r="Z1962" s="105"/>
      <c r="AA1962" s="132"/>
      <c r="AB1962" s="132"/>
      <c r="AC1962" s="132"/>
      <c r="AD1962" s="145">
        <v>45413</v>
      </c>
      <c r="AE1962" s="370" t="s">
        <v>10275</v>
      </c>
    </row>
    <row r="1963" spans="1:31" s="218" customFormat="1" ht="24" customHeight="1" x14ac:dyDescent="0.15">
      <c r="A1963" s="105">
        <v>1116200542</v>
      </c>
      <c r="B1963" s="130" t="s">
        <v>9941</v>
      </c>
      <c r="C1963" s="157" t="s">
        <v>9951</v>
      </c>
      <c r="D1963" s="108" t="s">
        <v>472</v>
      </c>
      <c r="E1963" s="108" t="s">
        <v>8063</v>
      </c>
      <c r="F1963" s="264" t="s">
        <v>3531</v>
      </c>
      <c r="G1963" s="157" t="s">
        <v>8064</v>
      </c>
      <c r="H1963" s="157" t="s">
        <v>8065</v>
      </c>
      <c r="I1963" s="160" t="s">
        <v>391</v>
      </c>
      <c r="J1963" s="142" t="s">
        <v>392</v>
      </c>
      <c r="K1963" s="142" t="s">
        <v>393</v>
      </c>
      <c r="L1963" s="142" t="s">
        <v>394</v>
      </c>
      <c r="M1963" s="142" t="s">
        <v>395</v>
      </c>
      <c r="N1963" s="143" t="s">
        <v>396</v>
      </c>
      <c r="O1963" s="138" t="s">
        <v>2178</v>
      </c>
      <c r="P1963" s="105"/>
      <c r="Q1963" s="137"/>
      <c r="R1963" s="138">
        <v>1</v>
      </c>
      <c r="S1963" s="105"/>
      <c r="T1963" s="105"/>
      <c r="U1963" s="105"/>
      <c r="V1963" s="116"/>
      <c r="W1963" s="117"/>
      <c r="X1963" s="116"/>
      <c r="Y1963" s="138"/>
      <c r="Z1963" s="105"/>
      <c r="AA1963" s="132"/>
      <c r="AB1963" s="132"/>
      <c r="AC1963" s="132"/>
      <c r="AD1963" s="155">
        <v>45717</v>
      </c>
      <c r="AE1963" s="370" t="s">
        <v>8066</v>
      </c>
    </row>
    <row r="1964" spans="1:31" ht="27" customHeight="1" x14ac:dyDescent="0.15">
      <c r="A1964" s="132">
        <v>1116200567</v>
      </c>
      <c r="B1964" s="130" t="s">
        <v>11922</v>
      </c>
      <c r="C1964" s="108" t="s">
        <v>11008</v>
      </c>
      <c r="D1964" s="108" t="s">
        <v>472</v>
      </c>
      <c r="E1964" s="108" t="s">
        <v>11009</v>
      </c>
      <c r="F1964" s="264">
        <v>3502206</v>
      </c>
      <c r="G1964" s="137" t="s">
        <v>11010</v>
      </c>
      <c r="H1964" s="137" t="s">
        <v>9645</v>
      </c>
      <c r="I1964" s="141" t="s">
        <v>391</v>
      </c>
      <c r="J1964" s="142" t="s">
        <v>392</v>
      </c>
      <c r="K1964" s="142" t="s">
        <v>393</v>
      </c>
      <c r="L1964" s="142" t="s">
        <v>394</v>
      </c>
      <c r="M1964" s="142" t="s">
        <v>395</v>
      </c>
      <c r="N1964" s="177" t="s">
        <v>396</v>
      </c>
      <c r="O1964" s="92" t="s">
        <v>2178</v>
      </c>
      <c r="P1964" s="105"/>
      <c r="Q1964" s="137"/>
      <c r="R1964" s="138">
        <v>2</v>
      </c>
      <c r="S1964" s="105"/>
      <c r="T1964" s="105"/>
      <c r="U1964" s="105"/>
      <c r="V1964" s="137"/>
      <c r="W1964" s="138"/>
      <c r="X1964" s="137"/>
      <c r="Y1964" s="138"/>
      <c r="Z1964" s="105"/>
      <c r="AA1964" s="105"/>
      <c r="AB1964" s="105"/>
      <c r="AC1964" s="105"/>
      <c r="AD1964" s="118">
        <v>46023</v>
      </c>
      <c r="AE1964" s="108" t="s">
        <v>11011</v>
      </c>
    </row>
    <row r="1965" spans="1:31" s="302" customFormat="1" ht="27" customHeight="1" x14ac:dyDescent="0.15">
      <c r="A1965" s="228">
        <v>1116300326</v>
      </c>
      <c r="B1965" s="130" t="s">
        <v>5114</v>
      </c>
      <c r="C1965" s="130" t="s">
        <v>5115</v>
      </c>
      <c r="D1965" s="108" t="s">
        <v>103</v>
      </c>
      <c r="E1965" s="130" t="s">
        <v>5116</v>
      </c>
      <c r="F1965" s="131" t="s">
        <v>5117</v>
      </c>
      <c r="G1965" s="132" t="s">
        <v>3886</v>
      </c>
      <c r="H1965" s="132" t="s">
        <v>3887</v>
      </c>
      <c r="I1965" s="116"/>
      <c r="J1965" s="154"/>
      <c r="K1965" s="154" t="s">
        <v>456</v>
      </c>
      <c r="L1965" s="154"/>
      <c r="M1965" s="154" t="s">
        <v>395</v>
      </c>
      <c r="N1965" s="143"/>
      <c r="O1965" s="138"/>
      <c r="P1965" s="132"/>
      <c r="Q1965" s="490"/>
      <c r="R1965" s="248">
        <v>6</v>
      </c>
      <c r="S1965" s="132"/>
      <c r="T1965" s="132"/>
      <c r="U1965" s="132"/>
      <c r="V1965" s="152"/>
      <c r="W1965" s="248"/>
      <c r="X1965" s="152"/>
      <c r="Y1965" s="136"/>
      <c r="Z1965" s="132"/>
      <c r="AA1965" s="132"/>
      <c r="AB1965" s="132"/>
      <c r="AC1965" s="132"/>
      <c r="AD1965" s="239" t="s">
        <v>5118</v>
      </c>
      <c r="AE1965" s="273" t="s">
        <v>5119</v>
      </c>
    </row>
    <row r="1966" spans="1:31" s="302" customFormat="1" ht="27" customHeight="1" x14ac:dyDescent="0.15">
      <c r="A1966" s="203">
        <v>1116400308</v>
      </c>
      <c r="B1966" s="204" t="s">
        <v>6971</v>
      </c>
      <c r="C1966" s="162" t="s">
        <v>8043</v>
      </c>
      <c r="D1966" s="162" t="s">
        <v>104</v>
      </c>
      <c r="E1966" s="162" t="s">
        <v>8044</v>
      </c>
      <c r="F1966" s="205" t="s">
        <v>8045</v>
      </c>
      <c r="G1966" s="206" t="s">
        <v>8046</v>
      </c>
      <c r="H1966" s="206" t="s">
        <v>8047</v>
      </c>
      <c r="I1966" s="141" t="s">
        <v>391</v>
      </c>
      <c r="J1966" s="142" t="s">
        <v>392</v>
      </c>
      <c r="K1966" s="142" t="s">
        <v>393</v>
      </c>
      <c r="L1966" s="142" t="s">
        <v>394</v>
      </c>
      <c r="M1966" s="142" t="s">
        <v>395</v>
      </c>
      <c r="N1966" s="143" t="s">
        <v>396</v>
      </c>
      <c r="O1966" s="138" t="s">
        <v>2178</v>
      </c>
      <c r="P1966" s="105"/>
      <c r="Q1966" s="137"/>
      <c r="R1966" s="138">
        <v>2</v>
      </c>
      <c r="S1966" s="105"/>
      <c r="T1966" s="105"/>
      <c r="U1966" s="105"/>
      <c r="V1966" s="137"/>
      <c r="W1966" s="138"/>
      <c r="X1966" s="137"/>
      <c r="Y1966" s="138"/>
      <c r="Z1966" s="105"/>
      <c r="AA1966" s="105"/>
      <c r="AB1966" s="105"/>
      <c r="AC1966" s="105"/>
      <c r="AD1966" s="155">
        <v>44927</v>
      </c>
      <c r="AE1966" s="108" t="s">
        <v>8048</v>
      </c>
    </row>
    <row r="1967" spans="1:31" s="302" customFormat="1" ht="27" customHeight="1" x14ac:dyDescent="0.15">
      <c r="A1967" s="132">
        <v>1116400373</v>
      </c>
      <c r="B1967" s="130" t="s">
        <v>9933</v>
      </c>
      <c r="C1967" s="108" t="s">
        <v>9938</v>
      </c>
      <c r="D1967" s="108" t="s">
        <v>104</v>
      </c>
      <c r="E1967" s="108" t="s">
        <v>8964</v>
      </c>
      <c r="F1967" s="264" t="s">
        <v>8045</v>
      </c>
      <c r="G1967" s="137" t="s">
        <v>9939</v>
      </c>
      <c r="H1967" s="137" t="s">
        <v>9940</v>
      </c>
      <c r="I1967" s="141" t="s">
        <v>391</v>
      </c>
      <c r="J1967" s="142" t="s">
        <v>392</v>
      </c>
      <c r="K1967" s="142" t="s">
        <v>393</v>
      </c>
      <c r="L1967" s="142" t="s">
        <v>394</v>
      </c>
      <c r="M1967" s="142" t="s">
        <v>395</v>
      </c>
      <c r="N1967" s="143" t="s">
        <v>396</v>
      </c>
      <c r="O1967" s="138"/>
      <c r="P1967" s="105"/>
      <c r="Q1967" s="137"/>
      <c r="R1967" s="138">
        <v>2</v>
      </c>
      <c r="S1967" s="105"/>
      <c r="T1967" s="105"/>
      <c r="U1967" s="105"/>
      <c r="V1967" s="137"/>
      <c r="W1967" s="138"/>
      <c r="X1967" s="137"/>
      <c r="Y1967" s="138"/>
      <c r="Z1967" s="105"/>
      <c r="AA1967" s="105"/>
      <c r="AB1967" s="105"/>
      <c r="AC1967" s="175"/>
      <c r="AD1967" s="227">
        <v>45323</v>
      </c>
      <c r="AE1967" s="108" t="s">
        <v>8965</v>
      </c>
    </row>
    <row r="1968" spans="1:31" s="302" customFormat="1" ht="27" customHeight="1" x14ac:dyDescent="0.15">
      <c r="A1968" s="150">
        <v>1116501519</v>
      </c>
      <c r="B1968" s="130" t="s">
        <v>2661</v>
      </c>
      <c r="C1968" s="329" t="s">
        <v>2623</v>
      </c>
      <c r="D1968" s="108" t="s">
        <v>105</v>
      </c>
      <c r="E1968" s="108" t="s">
        <v>2642</v>
      </c>
      <c r="F1968" s="150" t="s">
        <v>2649</v>
      </c>
      <c r="G1968" s="150" t="s">
        <v>2621</v>
      </c>
      <c r="H1968" s="150" t="s">
        <v>2622</v>
      </c>
      <c r="I1968" s="133"/>
      <c r="J1968" s="134"/>
      <c r="K1968" s="134" t="s">
        <v>456</v>
      </c>
      <c r="L1968" s="134"/>
      <c r="M1968" s="134"/>
      <c r="N1968" s="135"/>
      <c r="O1968" s="136"/>
      <c r="P1968" s="132"/>
      <c r="Q1968" s="152" t="s">
        <v>49</v>
      </c>
      <c r="R1968" s="248">
        <v>8</v>
      </c>
      <c r="S1968" s="132"/>
      <c r="T1968" s="132"/>
      <c r="U1968" s="132"/>
      <c r="V1968" s="152"/>
      <c r="W1968" s="248"/>
      <c r="X1968" s="152"/>
      <c r="Y1968" s="136"/>
      <c r="Z1968" s="132"/>
      <c r="AA1968" s="132"/>
      <c r="AB1968" s="132"/>
      <c r="AC1968" s="132"/>
      <c r="AD1968" s="487">
        <v>38991</v>
      </c>
      <c r="AE1968" s="273" t="s">
        <v>2689</v>
      </c>
    </row>
    <row r="1969" spans="1:31" s="302" customFormat="1" ht="27" customHeight="1" x14ac:dyDescent="0.15">
      <c r="A1969" s="150">
        <v>1116505098</v>
      </c>
      <c r="B1969" s="130" t="s">
        <v>2666</v>
      </c>
      <c r="C1969" s="329" t="s">
        <v>2624</v>
      </c>
      <c r="D1969" s="108" t="s">
        <v>105</v>
      </c>
      <c r="E1969" s="108" t="s">
        <v>2643</v>
      </c>
      <c r="F1969" s="150" t="s">
        <v>2650</v>
      </c>
      <c r="G1969" s="150" t="s">
        <v>2631</v>
      </c>
      <c r="H1969" s="150" t="s">
        <v>2631</v>
      </c>
      <c r="I1969" s="133"/>
      <c r="J1969" s="134"/>
      <c r="K1969" s="134"/>
      <c r="L1969" s="134"/>
      <c r="M1969" s="134" t="s">
        <v>395</v>
      </c>
      <c r="N1969" s="135"/>
      <c r="O1969" s="136"/>
      <c r="P1969" s="132"/>
      <c r="Q1969" s="152"/>
      <c r="R1969" s="248">
        <v>3</v>
      </c>
      <c r="S1969" s="132"/>
      <c r="T1969" s="132"/>
      <c r="U1969" s="132"/>
      <c r="V1969" s="152"/>
      <c r="W1969" s="248"/>
      <c r="X1969" s="152"/>
      <c r="Y1969" s="136"/>
      <c r="Z1969" s="132"/>
      <c r="AA1969" s="132"/>
      <c r="AB1969" s="132"/>
      <c r="AC1969" s="132"/>
      <c r="AD1969" s="487">
        <v>41334</v>
      </c>
      <c r="AE1969" s="273" t="s">
        <v>2690</v>
      </c>
    </row>
    <row r="1970" spans="1:31" s="302" customFormat="1" ht="27" customHeight="1" x14ac:dyDescent="0.15">
      <c r="A1970" s="150">
        <v>1116505148</v>
      </c>
      <c r="B1970" s="130" t="s">
        <v>2662</v>
      </c>
      <c r="C1970" s="329" t="s">
        <v>2625</v>
      </c>
      <c r="D1970" s="108" t="s">
        <v>105</v>
      </c>
      <c r="E1970" s="108" t="s">
        <v>2644</v>
      </c>
      <c r="F1970" s="150" t="s">
        <v>2651</v>
      </c>
      <c r="G1970" s="150" t="s">
        <v>2632</v>
      </c>
      <c r="H1970" s="150" t="s">
        <v>2632</v>
      </c>
      <c r="I1970" s="133"/>
      <c r="J1970" s="134"/>
      <c r="K1970" s="134" t="s">
        <v>456</v>
      </c>
      <c r="L1970" s="134" t="s">
        <v>477</v>
      </c>
      <c r="M1970" s="134" t="s">
        <v>395</v>
      </c>
      <c r="N1970" s="135" t="s">
        <v>396</v>
      </c>
      <c r="O1970" s="136"/>
      <c r="P1970" s="132"/>
      <c r="Q1970" s="152"/>
      <c r="R1970" s="136">
        <v>3</v>
      </c>
      <c r="S1970" s="132"/>
      <c r="T1970" s="132"/>
      <c r="U1970" s="132"/>
      <c r="V1970" s="152"/>
      <c r="W1970" s="248"/>
      <c r="X1970" s="152"/>
      <c r="Y1970" s="136"/>
      <c r="Z1970" s="132"/>
      <c r="AA1970" s="132"/>
      <c r="AB1970" s="132"/>
      <c r="AC1970" s="132"/>
      <c r="AD1970" s="487">
        <v>41365</v>
      </c>
      <c r="AE1970" s="273" t="s">
        <v>2691</v>
      </c>
    </row>
    <row r="1971" spans="1:31" s="302" customFormat="1" ht="27" customHeight="1" x14ac:dyDescent="0.15">
      <c r="A1971" s="150">
        <v>1116505221</v>
      </c>
      <c r="B1971" s="130" t="s">
        <v>2667</v>
      </c>
      <c r="C1971" s="329" t="s">
        <v>2626</v>
      </c>
      <c r="D1971" s="108" t="s">
        <v>105</v>
      </c>
      <c r="E1971" s="108" t="s">
        <v>4075</v>
      </c>
      <c r="F1971" s="150" t="s">
        <v>2652</v>
      </c>
      <c r="G1971" s="150" t="s">
        <v>2633</v>
      </c>
      <c r="H1971" s="150" t="s">
        <v>2634</v>
      </c>
      <c r="I1971" s="133"/>
      <c r="J1971" s="134"/>
      <c r="K1971" s="134" t="s">
        <v>456</v>
      </c>
      <c r="L1971" s="134"/>
      <c r="M1971" s="134" t="s">
        <v>2668</v>
      </c>
      <c r="N1971" s="135"/>
      <c r="O1971" s="136"/>
      <c r="P1971" s="132"/>
      <c r="Q1971" s="152"/>
      <c r="R1971" s="248">
        <v>2</v>
      </c>
      <c r="S1971" s="132"/>
      <c r="T1971" s="132"/>
      <c r="U1971" s="132"/>
      <c r="V1971" s="152"/>
      <c r="W1971" s="248"/>
      <c r="X1971" s="152"/>
      <c r="Y1971" s="136"/>
      <c r="Z1971" s="132"/>
      <c r="AA1971" s="132"/>
      <c r="AB1971" s="132"/>
      <c r="AC1971" s="132"/>
      <c r="AD1971" s="511" t="s">
        <v>2776</v>
      </c>
      <c r="AE1971" s="273" t="s">
        <v>11605</v>
      </c>
    </row>
    <row r="1972" spans="1:31" ht="27" customHeight="1" x14ac:dyDescent="0.15">
      <c r="A1972" s="150">
        <v>1116505239</v>
      </c>
      <c r="B1972" s="130" t="s">
        <v>2663</v>
      </c>
      <c r="C1972" s="329" t="s">
        <v>2627</v>
      </c>
      <c r="D1972" s="108" t="s">
        <v>105</v>
      </c>
      <c r="E1972" s="108" t="s">
        <v>2645</v>
      </c>
      <c r="F1972" s="150" t="s">
        <v>2653</v>
      </c>
      <c r="G1972" s="150" t="s">
        <v>380</v>
      </c>
      <c r="H1972" s="150" t="s">
        <v>2635</v>
      </c>
      <c r="I1972" s="133"/>
      <c r="J1972" s="134"/>
      <c r="K1972" s="134" t="s">
        <v>456</v>
      </c>
      <c r="L1972" s="134"/>
      <c r="M1972" s="134" t="s">
        <v>395</v>
      </c>
      <c r="N1972" s="135" t="s">
        <v>396</v>
      </c>
      <c r="O1972" s="136"/>
      <c r="P1972" s="132"/>
      <c r="Q1972" s="152"/>
      <c r="R1972" s="248">
        <v>4</v>
      </c>
      <c r="S1972" s="132"/>
      <c r="T1972" s="132"/>
      <c r="U1972" s="132"/>
      <c r="V1972" s="152"/>
      <c r="W1972" s="248"/>
      <c r="X1972" s="152"/>
      <c r="Y1972" s="136"/>
      <c r="Z1972" s="132"/>
      <c r="AA1972" s="132"/>
      <c r="AB1972" s="132"/>
      <c r="AC1972" s="132"/>
      <c r="AD1972" s="487">
        <v>41395</v>
      </c>
      <c r="AE1972" s="273" t="s">
        <v>3052</v>
      </c>
    </row>
    <row r="1973" spans="1:31" ht="27" customHeight="1" x14ac:dyDescent="0.15">
      <c r="A1973" s="150">
        <v>1116505288</v>
      </c>
      <c r="B1973" s="130" t="s">
        <v>2664</v>
      </c>
      <c r="C1973" s="329" t="s">
        <v>2628</v>
      </c>
      <c r="D1973" s="108" t="s">
        <v>105</v>
      </c>
      <c r="E1973" s="108" t="s">
        <v>2646</v>
      </c>
      <c r="F1973" s="150" t="s">
        <v>2654</v>
      </c>
      <c r="G1973" s="150" t="s">
        <v>2636</v>
      </c>
      <c r="H1973" s="150" t="s">
        <v>2637</v>
      </c>
      <c r="I1973" s="133"/>
      <c r="J1973" s="134"/>
      <c r="K1973" s="134"/>
      <c r="L1973" s="134"/>
      <c r="M1973" s="134" t="s">
        <v>2668</v>
      </c>
      <c r="N1973" s="135"/>
      <c r="O1973" s="136"/>
      <c r="P1973" s="132"/>
      <c r="Q1973" s="152"/>
      <c r="R1973" s="248">
        <v>3</v>
      </c>
      <c r="S1973" s="132"/>
      <c r="T1973" s="132"/>
      <c r="U1973" s="132"/>
      <c r="V1973" s="152"/>
      <c r="W1973" s="248"/>
      <c r="X1973" s="152"/>
      <c r="Y1973" s="136"/>
      <c r="Z1973" s="132"/>
      <c r="AA1973" s="132"/>
      <c r="AB1973" s="132"/>
      <c r="AC1973" s="132"/>
      <c r="AD1973" s="487">
        <v>41426</v>
      </c>
      <c r="AE1973" s="273" t="s">
        <v>2692</v>
      </c>
    </row>
    <row r="1974" spans="1:31" ht="27" customHeight="1" x14ac:dyDescent="0.15">
      <c r="A1974" s="150">
        <v>1116505585</v>
      </c>
      <c r="B1974" s="130" t="s">
        <v>2665</v>
      </c>
      <c r="C1974" s="329" t="s">
        <v>2629</v>
      </c>
      <c r="D1974" s="108" t="s">
        <v>105</v>
      </c>
      <c r="E1974" s="108" t="s">
        <v>2647</v>
      </c>
      <c r="F1974" s="150" t="s">
        <v>2655</v>
      </c>
      <c r="G1974" s="150" t="s">
        <v>2638</v>
      </c>
      <c r="H1974" s="150" t="s">
        <v>2639</v>
      </c>
      <c r="I1974" s="133"/>
      <c r="J1974" s="134"/>
      <c r="K1974" s="134" t="s">
        <v>456</v>
      </c>
      <c r="L1974" s="134" t="s">
        <v>477</v>
      </c>
      <c r="M1974" s="134" t="s">
        <v>395</v>
      </c>
      <c r="N1974" s="135"/>
      <c r="O1974" s="136"/>
      <c r="P1974" s="132"/>
      <c r="Q1974" s="152" t="s">
        <v>2693</v>
      </c>
      <c r="R1974" s="248"/>
      <c r="S1974" s="132"/>
      <c r="T1974" s="132"/>
      <c r="U1974" s="132"/>
      <c r="V1974" s="152"/>
      <c r="W1974" s="248"/>
      <c r="X1974" s="152"/>
      <c r="Y1974" s="136"/>
      <c r="Z1974" s="132"/>
      <c r="AA1974" s="132"/>
      <c r="AB1974" s="132"/>
      <c r="AC1974" s="132"/>
      <c r="AD1974" s="487">
        <v>41640</v>
      </c>
      <c r="AE1974" s="273" t="s">
        <v>6164</v>
      </c>
    </row>
    <row r="1975" spans="1:31" ht="27" customHeight="1" x14ac:dyDescent="0.15">
      <c r="A1975" s="150">
        <v>1116505593</v>
      </c>
      <c r="B1975" s="130" t="s">
        <v>2799</v>
      </c>
      <c r="C1975" s="329" t="s">
        <v>2630</v>
      </c>
      <c r="D1975" s="108" t="s">
        <v>105</v>
      </c>
      <c r="E1975" s="108" t="s">
        <v>2648</v>
      </c>
      <c r="F1975" s="150" t="s">
        <v>2656</v>
      </c>
      <c r="G1975" s="150" t="s">
        <v>2640</v>
      </c>
      <c r="H1975" s="150" t="s">
        <v>2641</v>
      </c>
      <c r="I1975" s="133"/>
      <c r="J1975" s="134"/>
      <c r="K1975" s="134" t="s">
        <v>456</v>
      </c>
      <c r="L1975" s="134" t="s">
        <v>477</v>
      </c>
      <c r="M1975" s="134" t="s">
        <v>395</v>
      </c>
      <c r="N1975" s="135"/>
      <c r="O1975" s="136"/>
      <c r="P1975" s="132"/>
      <c r="Q1975" s="152" t="s">
        <v>49</v>
      </c>
      <c r="R1975" s="248">
        <v>10</v>
      </c>
      <c r="S1975" s="132"/>
      <c r="T1975" s="132"/>
      <c r="U1975" s="132"/>
      <c r="V1975" s="152"/>
      <c r="W1975" s="248"/>
      <c r="X1975" s="152"/>
      <c r="Y1975" s="136"/>
      <c r="Z1975" s="132"/>
      <c r="AA1975" s="132"/>
      <c r="AB1975" s="132"/>
      <c r="AC1975" s="132"/>
      <c r="AD1975" s="487">
        <v>41640</v>
      </c>
      <c r="AE1975" s="273" t="s">
        <v>6165</v>
      </c>
    </row>
    <row r="1976" spans="1:31" ht="27" customHeight="1" x14ac:dyDescent="0.15">
      <c r="A1976" s="105">
        <v>1116506500</v>
      </c>
      <c r="B1976" s="106" t="s">
        <v>6039</v>
      </c>
      <c r="C1976" s="107" t="s">
        <v>6040</v>
      </c>
      <c r="D1976" s="108" t="s">
        <v>48</v>
      </c>
      <c r="E1976" s="108" t="s">
        <v>6041</v>
      </c>
      <c r="F1976" s="105" t="s">
        <v>3062</v>
      </c>
      <c r="G1976" s="132" t="s">
        <v>6042</v>
      </c>
      <c r="H1976" s="132" t="s">
        <v>3063</v>
      </c>
      <c r="I1976" s="141"/>
      <c r="J1976" s="142"/>
      <c r="K1976" s="142"/>
      <c r="L1976" s="142"/>
      <c r="M1976" s="142"/>
      <c r="N1976" s="143"/>
      <c r="O1976" s="138"/>
      <c r="P1976" s="105"/>
      <c r="Q1976" s="137" t="s">
        <v>456</v>
      </c>
      <c r="R1976" s="138"/>
      <c r="S1976" s="105"/>
      <c r="T1976" s="105"/>
      <c r="U1976" s="105"/>
      <c r="V1976" s="137"/>
      <c r="W1976" s="138"/>
      <c r="X1976" s="137"/>
      <c r="Y1976" s="138"/>
      <c r="Z1976" s="105"/>
      <c r="AA1976" s="105"/>
      <c r="AB1976" s="105"/>
      <c r="AC1976" s="105"/>
      <c r="AD1976" s="144">
        <v>42064</v>
      </c>
      <c r="AE1976" s="108" t="s">
        <v>6043</v>
      </c>
    </row>
    <row r="1977" spans="1:31" ht="27" customHeight="1" x14ac:dyDescent="0.15">
      <c r="A1977" s="132">
        <v>1116506732</v>
      </c>
      <c r="B1977" s="280" t="s">
        <v>4410</v>
      </c>
      <c r="C1977" s="329" t="s">
        <v>3065</v>
      </c>
      <c r="D1977" s="108" t="s">
        <v>105</v>
      </c>
      <c r="E1977" s="108" t="s">
        <v>3064</v>
      </c>
      <c r="F1977" s="150" t="s">
        <v>3066</v>
      </c>
      <c r="G1977" s="132" t="s">
        <v>3067</v>
      </c>
      <c r="H1977" s="132" t="s">
        <v>3068</v>
      </c>
      <c r="I1977" s="133"/>
      <c r="J1977" s="134"/>
      <c r="K1977" s="134"/>
      <c r="L1977" s="134" t="s">
        <v>477</v>
      </c>
      <c r="M1977" s="134" t="s">
        <v>395</v>
      </c>
      <c r="N1977" s="135"/>
      <c r="O1977" s="136"/>
      <c r="P1977" s="132"/>
      <c r="Q1977" s="152"/>
      <c r="R1977" s="248">
        <v>2</v>
      </c>
      <c r="S1977" s="132"/>
      <c r="T1977" s="132"/>
      <c r="U1977" s="132"/>
      <c r="V1977" s="152"/>
      <c r="W1977" s="248"/>
      <c r="X1977" s="152"/>
      <c r="Y1977" s="136"/>
      <c r="Z1977" s="132"/>
      <c r="AA1977" s="132"/>
      <c r="AB1977" s="132"/>
      <c r="AC1977" s="132"/>
      <c r="AD1977" s="487">
        <v>42095</v>
      </c>
      <c r="AE1977" s="273" t="s">
        <v>3552</v>
      </c>
    </row>
    <row r="1978" spans="1:31" ht="27" customHeight="1" x14ac:dyDescent="0.15">
      <c r="A1978" s="132">
        <v>1116507656</v>
      </c>
      <c r="B1978" s="280" t="s">
        <v>3548</v>
      </c>
      <c r="C1978" s="329" t="s">
        <v>3547</v>
      </c>
      <c r="D1978" s="108" t="s">
        <v>105</v>
      </c>
      <c r="E1978" s="108" t="s">
        <v>3549</v>
      </c>
      <c r="F1978" s="150" t="s">
        <v>3553</v>
      </c>
      <c r="G1978" s="132" t="s">
        <v>3550</v>
      </c>
      <c r="H1978" s="132" t="s">
        <v>3551</v>
      </c>
      <c r="I1978" s="133"/>
      <c r="J1978" s="134"/>
      <c r="K1978" s="134" t="s">
        <v>456</v>
      </c>
      <c r="L1978" s="134"/>
      <c r="M1978" s="134"/>
      <c r="N1978" s="135"/>
      <c r="O1978" s="136"/>
      <c r="P1978" s="132"/>
      <c r="Q1978" s="152" t="s">
        <v>49</v>
      </c>
      <c r="R1978" s="248"/>
      <c r="S1978" s="132"/>
      <c r="T1978" s="132"/>
      <c r="U1978" s="132"/>
      <c r="V1978" s="152"/>
      <c r="W1978" s="248"/>
      <c r="X1978" s="152"/>
      <c r="Y1978" s="136"/>
      <c r="Z1978" s="132"/>
      <c r="AA1978" s="132"/>
      <c r="AB1978" s="132"/>
      <c r="AC1978" s="132"/>
      <c r="AD1978" s="487">
        <v>42614</v>
      </c>
      <c r="AE1978" s="273" t="s">
        <v>6166</v>
      </c>
    </row>
    <row r="1979" spans="1:31" ht="27" customHeight="1" x14ac:dyDescent="0.15">
      <c r="A1979" s="150">
        <v>1116507995</v>
      </c>
      <c r="B1979" s="130" t="s">
        <v>3741</v>
      </c>
      <c r="C1979" s="107" t="s">
        <v>5193</v>
      </c>
      <c r="D1979" s="108" t="s">
        <v>105</v>
      </c>
      <c r="E1979" s="108" t="s">
        <v>5192</v>
      </c>
      <c r="F1979" s="132" t="s">
        <v>4461</v>
      </c>
      <c r="G1979" s="150" t="s">
        <v>3742</v>
      </c>
      <c r="H1979" s="150" t="s">
        <v>3743</v>
      </c>
      <c r="I1979" s="133"/>
      <c r="J1979" s="134"/>
      <c r="K1979" s="134" t="s">
        <v>456</v>
      </c>
      <c r="L1979" s="134" t="s">
        <v>1184</v>
      </c>
      <c r="M1979" s="134" t="s">
        <v>2668</v>
      </c>
      <c r="N1979" s="135"/>
      <c r="O1979" s="136"/>
      <c r="P1979" s="132"/>
      <c r="Q1979" s="152"/>
      <c r="R1979" s="248">
        <v>6</v>
      </c>
      <c r="S1979" s="132"/>
      <c r="T1979" s="132"/>
      <c r="U1979" s="132"/>
      <c r="V1979" s="152"/>
      <c r="W1979" s="248"/>
      <c r="X1979" s="152"/>
      <c r="Y1979" s="136"/>
      <c r="Z1979" s="132"/>
      <c r="AA1979" s="132"/>
      <c r="AB1979" s="132"/>
      <c r="AC1979" s="132"/>
      <c r="AD1979" s="487">
        <v>42795</v>
      </c>
      <c r="AE1979" s="273" t="s">
        <v>3745</v>
      </c>
    </row>
    <row r="1980" spans="1:31" ht="27" customHeight="1" x14ac:dyDescent="0.15">
      <c r="A1980" s="150">
        <v>1116508837</v>
      </c>
      <c r="B1980" s="130" t="s">
        <v>4525</v>
      </c>
      <c r="C1980" s="329" t="s">
        <v>4526</v>
      </c>
      <c r="D1980" s="108" t="s">
        <v>105</v>
      </c>
      <c r="E1980" s="108" t="s">
        <v>9808</v>
      </c>
      <c r="F1980" s="150" t="s">
        <v>4528</v>
      </c>
      <c r="G1980" s="150" t="s">
        <v>4527</v>
      </c>
      <c r="H1980" s="150" t="s">
        <v>4527</v>
      </c>
      <c r="I1980" s="133"/>
      <c r="J1980" s="134"/>
      <c r="K1980" s="134" t="s">
        <v>456</v>
      </c>
      <c r="L1980" s="134"/>
      <c r="M1980" s="134" t="s">
        <v>395</v>
      </c>
      <c r="N1980" s="135" t="s">
        <v>396</v>
      </c>
      <c r="O1980" s="136"/>
      <c r="P1980" s="132"/>
      <c r="Q1980" s="152" t="s">
        <v>49</v>
      </c>
      <c r="R1980" s="248"/>
      <c r="S1980" s="132"/>
      <c r="T1980" s="132"/>
      <c r="U1980" s="132"/>
      <c r="V1980" s="152"/>
      <c r="W1980" s="248"/>
      <c r="X1980" s="152"/>
      <c r="Y1980" s="136"/>
      <c r="Z1980" s="132"/>
      <c r="AA1980" s="132"/>
      <c r="AB1980" s="132"/>
      <c r="AC1980" s="132"/>
      <c r="AD1980" s="487">
        <v>43252</v>
      </c>
      <c r="AE1980" s="273" t="s">
        <v>4530</v>
      </c>
    </row>
    <row r="1981" spans="1:31" ht="27" customHeight="1" x14ac:dyDescent="0.15">
      <c r="A1981" s="150">
        <v>1116508373</v>
      </c>
      <c r="B1981" s="130" t="s">
        <v>4073</v>
      </c>
      <c r="C1981" s="329" t="s">
        <v>4074</v>
      </c>
      <c r="D1981" s="108" t="s">
        <v>48</v>
      </c>
      <c r="E1981" s="108" t="s">
        <v>4076</v>
      </c>
      <c r="F1981" s="150" t="s">
        <v>2651</v>
      </c>
      <c r="G1981" s="150" t="s">
        <v>4077</v>
      </c>
      <c r="H1981" s="150" t="s">
        <v>4078</v>
      </c>
      <c r="I1981" s="133" t="s">
        <v>391</v>
      </c>
      <c r="J1981" s="134" t="s">
        <v>392</v>
      </c>
      <c r="K1981" s="134" t="s">
        <v>393</v>
      </c>
      <c r="L1981" s="134" t="s">
        <v>1184</v>
      </c>
      <c r="M1981" s="134" t="s">
        <v>395</v>
      </c>
      <c r="N1981" s="135" t="s">
        <v>396</v>
      </c>
      <c r="O1981" s="136" t="s">
        <v>2178</v>
      </c>
      <c r="P1981" s="132"/>
      <c r="Q1981" s="152" t="s">
        <v>49</v>
      </c>
      <c r="R1981" s="248"/>
      <c r="S1981" s="132"/>
      <c r="T1981" s="132"/>
      <c r="U1981" s="132"/>
      <c r="V1981" s="152"/>
      <c r="W1981" s="248"/>
      <c r="X1981" s="152"/>
      <c r="Y1981" s="136"/>
      <c r="Z1981" s="132"/>
      <c r="AA1981" s="132"/>
      <c r="AB1981" s="132"/>
      <c r="AC1981" s="132"/>
      <c r="AD1981" s="487">
        <v>43040</v>
      </c>
      <c r="AE1981" s="273" t="s">
        <v>4079</v>
      </c>
    </row>
    <row r="1982" spans="1:31" ht="27" customHeight="1" x14ac:dyDescent="0.15">
      <c r="A1982" s="105">
        <v>1116508621</v>
      </c>
      <c r="B1982" s="106" t="s">
        <v>6044</v>
      </c>
      <c r="C1982" s="107" t="s">
        <v>6045</v>
      </c>
      <c r="D1982" s="108" t="s">
        <v>48</v>
      </c>
      <c r="E1982" s="108" t="s">
        <v>9812</v>
      </c>
      <c r="F1982" s="139" t="s">
        <v>5570</v>
      </c>
      <c r="G1982" s="139" t="s">
        <v>5571</v>
      </c>
      <c r="H1982" s="139" t="s">
        <v>5572</v>
      </c>
      <c r="I1982" s="141" t="s">
        <v>391</v>
      </c>
      <c r="J1982" s="142" t="s">
        <v>392</v>
      </c>
      <c r="K1982" s="142" t="s">
        <v>393</v>
      </c>
      <c r="L1982" s="142" t="s">
        <v>1184</v>
      </c>
      <c r="M1982" s="142" t="s">
        <v>395</v>
      </c>
      <c r="N1982" s="143"/>
      <c r="O1982" s="138" t="s">
        <v>2178</v>
      </c>
      <c r="P1982" s="105"/>
      <c r="Q1982" s="137" t="s">
        <v>49</v>
      </c>
      <c r="R1982" s="138">
        <v>4</v>
      </c>
      <c r="S1982" s="105"/>
      <c r="T1982" s="105"/>
      <c r="U1982" s="105"/>
      <c r="V1982" s="137"/>
      <c r="W1982" s="138"/>
      <c r="X1982" s="137"/>
      <c r="Y1982" s="138"/>
      <c r="Z1982" s="105"/>
      <c r="AA1982" s="105"/>
      <c r="AB1982" s="105"/>
      <c r="AC1982" s="105"/>
      <c r="AD1982" s="144">
        <v>43191</v>
      </c>
      <c r="AE1982" s="108" t="s">
        <v>6046</v>
      </c>
    </row>
    <row r="1983" spans="1:31" ht="27" customHeight="1" x14ac:dyDescent="0.15">
      <c r="A1983" s="150">
        <v>1116508688</v>
      </c>
      <c r="B1983" s="130" t="s">
        <v>4411</v>
      </c>
      <c r="C1983" s="329" t="s">
        <v>4398</v>
      </c>
      <c r="D1983" s="108" t="s">
        <v>105</v>
      </c>
      <c r="E1983" s="108" t="s">
        <v>9809</v>
      </c>
      <c r="F1983" s="150" t="s">
        <v>4399</v>
      </c>
      <c r="G1983" s="150" t="s">
        <v>4400</v>
      </c>
      <c r="H1983" s="150" t="s">
        <v>4400</v>
      </c>
      <c r="I1983" s="133"/>
      <c r="J1983" s="134"/>
      <c r="K1983" s="134"/>
      <c r="L1983" s="134"/>
      <c r="M1983" s="134" t="s">
        <v>395</v>
      </c>
      <c r="N1983" s="135" t="s">
        <v>396</v>
      </c>
      <c r="O1983" s="136"/>
      <c r="P1983" s="132"/>
      <c r="Q1983" s="152"/>
      <c r="R1983" s="248">
        <v>2</v>
      </c>
      <c r="S1983" s="132"/>
      <c r="T1983" s="132"/>
      <c r="U1983" s="132"/>
      <c r="V1983" s="152"/>
      <c r="W1983" s="248"/>
      <c r="X1983" s="152"/>
      <c r="Y1983" s="136"/>
      <c r="Z1983" s="132"/>
      <c r="AA1983" s="132"/>
      <c r="AB1983" s="132"/>
      <c r="AC1983" s="132"/>
      <c r="AD1983" s="487">
        <v>43191</v>
      </c>
      <c r="AE1983" s="273" t="s">
        <v>4412</v>
      </c>
    </row>
    <row r="1984" spans="1:31" ht="27" customHeight="1" x14ac:dyDescent="0.15">
      <c r="A1984" s="105">
        <v>1116508696</v>
      </c>
      <c r="B1984" s="106" t="s">
        <v>6047</v>
      </c>
      <c r="C1984" s="107" t="s">
        <v>4401</v>
      </c>
      <c r="D1984" s="108" t="s">
        <v>48</v>
      </c>
      <c r="E1984" s="108" t="s">
        <v>6048</v>
      </c>
      <c r="F1984" s="139" t="s">
        <v>6049</v>
      </c>
      <c r="G1984" s="139" t="s">
        <v>4402</v>
      </c>
      <c r="H1984" s="139" t="s">
        <v>4402</v>
      </c>
      <c r="I1984" s="141" t="s">
        <v>765</v>
      </c>
      <c r="J1984" s="142" t="s">
        <v>765</v>
      </c>
      <c r="K1984" s="142" t="s">
        <v>765</v>
      </c>
      <c r="L1984" s="142" t="s">
        <v>765</v>
      </c>
      <c r="M1984" s="142" t="s">
        <v>765</v>
      </c>
      <c r="N1984" s="143" t="s">
        <v>765</v>
      </c>
      <c r="O1984" s="138" t="s">
        <v>765</v>
      </c>
      <c r="P1984" s="105"/>
      <c r="Q1984" s="137"/>
      <c r="R1984" s="138">
        <v>3</v>
      </c>
      <c r="S1984" s="105"/>
      <c r="T1984" s="105"/>
      <c r="U1984" s="105"/>
      <c r="V1984" s="137"/>
      <c r="W1984" s="138"/>
      <c r="X1984" s="137"/>
      <c r="Y1984" s="138"/>
      <c r="Z1984" s="105"/>
      <c r="AA1984" s="105"/>
      <c r="AB1984" s="105"/>
      <c r="AC1984" s="105"/>
      <c r="AD1984" s="144">
        <v>43191</v>
      </c>
      <c r="AE1984" s="108" t="s">
        <v>6050</v>
      </c>
    </row>
    <row r="1985" spans="1:31" ht="27" customHeight="1" x14ac:dyDescent="0.15">
      <c r="A1985" s="105">
        <v>1116508738</v>
      </c>
      <c r="B1985" s="106" t="s">
        <v>5140</v>
      </c>
      <c r="C1985" s="107" t="s">
        <v>4459</v>
      </c>
      <c r="D1985" s="108" t="s">
        <v>105</v>
      </c>
      <c r="E1985" s="108" t="s">
        <v>4460</v>
      </c>
      <c r="F1985" s="139" t="s">
        <v>4461</v>
      </c>
      <c r="G1985" s="139" t="s">
        <v>4462</v>
      </c>
      <c r="H1985" s="140" t="s">
        <v>4463</v>
      </c>
      <c r="I1985" s="141" t="s">
        <v>765</v>
      </c>
      <c r="J1985" s="142" t="s">
        <v>765</v>
      </c>
      <c r="K1985" s="142" t="s">
        <v>765</v>
      </c>
      <c r="L1985" s="142" t="s">
        <v>765</v>
      </c>
      <c r="M1985" s="142" t="s">
        <v>765</v>
      </c>
      <c r="N1985" s="143"/>
      <c r="O1985" s="138"/>
      <c r="P1985" s="105"/>
      <c r="Q1985" s="137" t="s">
        <v>765</v>
      </c>
      <c r="R1985" s="138"/>
      <c r="S1985" s="105"/>
      <c r="T1985" s="105"/>
      <c r="U1985" s="105"/>
      <c r="V1985" s="137"/>
      <c r="W1985" s="138"/>
      <c r="X1985" s="137"/>
      <c r="Y1985" s="138"/>
      <c r="Z1985" s="105"/>
      <c r="AA1985" s="105"/>
      <c r="AB1985" s="132"/>
      <c r="AC1985" s="132"/>
      <c r="AD1985" s="144">
        <v>43221</v>
      </c>
      <c r="AE1985" s="108" t="s">
        <v>4464</v>
      </c>
    </row>
    <row r="1986" spans="1:31" ht="27" customHeight="1" x14ac:dyDescent="0.15">
      <c r="A1986" s="105">
        <v>1116509595</v>
      </c>
      <c r="B1986" s="130" t="s">
        <v>5138</v>
      </c>
      <c r="C1986" s="280" t="s">
        <v>5133</v>
      </c>
      <c r="D1986" s="108" t="s">
        <v>105</v>
      </c>
      <c r="E1986" s="108" t="s">
        <v>9811</v>
      </c>
      <c r="F1986" s="139" t="s">
        <v>5134</v>
      </c>
      <c r="G1986" s="105" t="s">
        <v>5135</v>
      </c>
      <c r="H1986" s="105" t="s">
        <v>43</v>
      </c>
      <c r="I1986" s="141" t="s">
        <v>765</v>
      </c>
      <c r="J1986" s="142" t="s">
        <v>765</v>
      </c>
      <c r="K1986" s="142" t="s">
        <v>765</v>
      </c>
      <c r="L1986" s="142" t="s">
        <v>765</v>
      </c>
      <c r="M1986" s="142" t="s">
        <v>765</v>
      </c>
      <c r="N1986" s="142" t="s">
        <v>765</v>
      </c>
      <c r="O1986" s="142" t="s">
        <v>765</v>
      </c>
      <c r="P1986" s="105"/>
      <c r="Q1986" s="137" t="s">
        <v>765</v>
      </c>
      <c r="R1986" s="138">
        <v>18</v>
      </c>
      <c r="S1986" s="105"/>
      <c r="T1986" s="105"/>
      <c r="U1986" s="105"/>
      <c r="V1986" s="137"/>
      <c r="W1986" s="138"/>
      <c r="X1986" s="137"/>
      <c r="Y1986" s="138"/>
      <c r="Z1986" s="105"/>
      <c r="AA1986" s="105"/>
      <c r="AB1986" s="105"/>
      <c r="AC1986" s="105"/>
      <c r="AD1986" s="144">
        <v>43556</v>
      </c>
      <c r="AE1986" s="108" t="s">
        <v>5139</v>
      </c>
    </row>
    <row r="1987" spans="1:31" ht="27" customHeight="1" x14ac:dyDescent="0.15">
      <c r="A1987" s="105">
        <v>1116509975</v>
      </c>
      <c r="B1987" s="106" t="s">
        <v>5343</v>
      </c>
      <c r="C1987" s="107" t="s">
        <v>5337</v>
      </c>
      <c r="D1987" s="108" t="s">
        <v>105</v>
      </c>
      <c r="E1987" s="108" t="s">
        <v>6038</v>
      </c>
      <c r="F1987" s="139" t="s">
        <v>5338</v>
      </c>
      <c r="G1987" s="139" t="s">
        <v>5339</v>
      </c>
      <c r="H1987" s="139" t="s">
        <v>5340</v>
      </c>
      <c r="I1987" s="141" t="s">
        <v>765</v>
      </c>
      <c r="J1987" s="142" t="s">
        <v>765</v>
      </c>
      <c r="K1987" s="142" t="s">
        <v>765</v>
      </c>
      <c r="L1987" s="142" t="s">
        <v>765</v>
      </c>
      <c r="M1987" s="142" t="s">
        <v>765</v>
      </c>
      <c r="N1987" s="143"/>
      <c r="O1987" s="138"/>
      <c r="P1987" s="105"/>
      <c r="Q1987" s="137" t="s">
        <v>765</v>
      </c>
      <c r="R1987" s="138">
        <v>10</v>
      </c>
      <c r="S1987" s="105"/>
      <c r="T1987" s="105"/>
      <c r="U1987" s="105"/>
      <c r="V1987" s="137"/>
      <c r="W1987" s="138"/>
      <c r="X1987" s="137"/>
      <c r="Y1987" s="138"/>
      <c r="Z1987" s="105"/>
      <c r="AA1987" s="105"/>
      <c r="AB1987" s="105"/>
      <c r="AC1987" s="105"/>
      <c r="AD1987" s="144">
        <v>43739</v>
      </c>
      <c r="AE1987" s="108" t="s">
        <v>9574</v>
      </c>
    </row>
    <row r="1988" spans="1:31" ht="27" customHeight="1" x14ac:dyDescent="0.15">
      <c r="A1988" s="105">
        <v>1116510734</v>
      </c>
      <c r="B1988" s="106" t="s">
        <v>12038</v>
      </c>
      <c r="C1988" s="107" t="s">
        <v>5851</v>
      </c>
      <c r="D1988" s="108" t="s">
        <v>105</v>
      </c>
      <c r="E1988" s="108" t="s">
        <v>5852</v>
      </c>
      <c r="F1988" s="139" t="s">
        <v>5853</v>
      </c>
      <c r="G1988" s="139" t="s">
        <v>380</v>
      </c>
      <c r="H1988" s="139" t="s">
        <v>2635</v>
      </c>
      <c r="I1988" s="141"/>
      <c r="J1988" s="142"/>
      <c r="K1988" s="142"/>
      <c r="L1988" s="142"/>
      <c r="M1988" s="142" t="s">
        <v>765</v>
      </c>
      <c r="N1988" s="142" t="s">
        <v>765</v>
      </c>
      <c r="O1988" s="176" t="s">
        <v>765</v>
      </c>
      <c r="P1988" s="105"/>
      <c r="Q1988" s="137"/>
      <c r="R1988" s="138">
        <v>3</v>
      </c>
      <c r="S1988" s="105"/>
      <c r="T1988" s="105"/>
      <c r="U1988" s="105"/>
      <c r="V1988" s="137"/>
      <c r="W1988" s="138"/>
      <c r="X1988" s="137"/>
      <c r="Y1988" s="138"/>
      <c r="Z1988" s="105"/>
      <c r="AA1988" s="105"/>
      <c r="AB1988" s="105"/>
      <c r="AC1988" s="105"/>
      <c r="AD1988" s="155">
        <v>43922</v>
      </c>
      <c r="AE1988" s="108" t="s">
        <v>5854</v>
      </c>
    </row>
    <row r="1989" spans="1:31" ht="27" customHeight="1" x14ac:dyDescent="0.15">
      <c r="A1989" s="105">
        <v>1116510767</v>
      </c>
      <c r="B1989" s="106" t="s">
        <v>6051</v>
      </c>
      <c r="C1989" s="107" t="s">
        <v>6052</v>
      </c>
      <c r="D1989" s="108" t="s">
        <v>48</v>
      </c>
      <c r="E1989" s="108" t="s">
        <v>6053</v>
      </c>
      <c r="F1989" s="139" t="s">
        <v>6054</v>
      </c>
      <c r="G1989" s="139" t="s">
        <v>6055</v>
      </c>
      <c r="H1989" s="139" t="s">
        <v>6056</v>
      </c>
      <c r="I1989" s="141" t="s">
        <v>765</v>
      </c>
      <c r="J1989" s="142" t="s">
        <v>765</v>
      </c>
      <c r="K1989" s="142" t="s">
        <v>765</v>
      </c>
      <c r="L1989" s="142" t="s">
        <v>765</v>
      </c>
      <c r="M1989" s="142" t="s">
        <v>765</v>
      </c>
      <c r="N1989" s="143" t="s">
        <v>765</v>
      </c>
      <c r="O1989" s="138" t="s">
        <v>765</v>
      </c>
      <c r="P1989" s="105"/>
      <c r="Q1989" s="137"/>
      <c r="R1989" s="138">
        <v>6</v>
      </c>
      <c r="S1989" s="105"/>
      <c r="T1989" s="105"/>
      <c r="U1989" s="105"/>
      <c r="V1989" s="137"/>
      <c r="W1989" s="138"/>
      <c r="X1989" s="137"/>
      <c r="Y1989" s="138"/>
      <c r="Z1989" s="105"/>
      <c r="AA1989" s="105"/>
      <c r="AB1989" s="105"/>
      <c r="AC1989" s="105"/>
      <c r="AD1989" s="144">
        <v>43922</v>
      </c>
      <c r="AE1989" s="108" t="s">
        <v>6057</v>
      </c>
    </row>
    <row r="1990" spans="1:31" ht="27" customHeight="1" x14ac:dyDescent="0.15">
      <c r="A1990" s="105">
        <v>1116510825</v>
      </c>
      <c r="B1990" s="106" t="s">
        <v>6058</v>
      </c>
      <c r="C1990" s="107" t="s">
        <v>6059</v>
      </c>
      <c r="D1990" s="108" t="s">
        <v>48</v>
      </c>
      <c r="E1990" s="108" t="s">
        <v>6060</v>
      </c>
      <c r="F1990" s="139" t="s">
        <v>5815</v>
      </c>
      <c r="G1990" s="139" t="s">
        <v>6061</v>
      </c>
      <c r="H1990" s="139" t="s">
        <v>6062</v>
      </c>
      <c r="I1990" s="141" t="s">
        <v>765</v>
      </c>
      <c r="J1990" s="142" t="s">
        <v>765</v>
      </c>
      <c r="K1990" s="142" t="s">
        <v>765</v>
      </c>
      <c r="L1990" s="142" t="s">
        <v>765</v>
      </c>
      <c r="M1990" s="142" t="s">
        <v>765</v>
      </c>
      <c r="N1990" s="143" t="s">
        <v>765</v>
      </c>
      <c r="O1990" s="138" t="s">
        <v>765</v>
      </c>
      <c r="P1990" s="105"/>
      <c r="Q1990" s="137"/>
      <c r="R1990" s="138">
        <v>6</v>
      </c>
      <c r="S1990" s="105"/>
      <c r="T1990" s="105"/>
      <c r="U1990" s="105"/>
      <c r="V1990" s="137"/>
      <c r="W1990" s="138"/>
      <c r="X1990" s="137"/>
      <c r="Y1990" s="138"/>
      <c r="Z1990" s="105"/>
      <c r="AA1990" s="105"/>
      <c r="AB1990" s="105"/>
      <c r="AC1990" s="105"/>
      <c r="AD1990" s="144">
        <v>43922</v>
      </c>
      <c r="AE1990" s="108" t="s">
        <v>6063</v>
      </c>
    </row>
    <row r="1991" spans="1:31" ht="27" customHeight="1" x14ac:dyDescent="0.15">
      <c r="A1991" s="132">
        <v>1116511062</v>
      </c>
      <c r="B1991" s="130" t="s">
        <v>6825</v>
      </c>
      <c r="C1991" s="130" t="s">
        <v>7454</v>
      </c>
      <c r="D1991" s="108" t="s">
        <v>105</v>
      </c>
      <c r="E1991" s="130" t="s">
        <v>6742</v>
      </c>
      <c r="F1991" s="105" t="s">
        <v>6228</v>
      </c>
      <c r="G1991" s="132" t="s">
        <v>6229</v>
      </c>
      <c r="H1991" s="105" t="s">
        <v>6230</v>
      </c>
      <c r="I1991" s="141"/>
      <c r="J1991" s="142"/>
      <c r="K1991" s="142"/>
      <c r="L1991" s="142"/>
      <c r="M1991" s="142" t="s">
        <v>49</v>
      </c>
      <c r="N1991" s="142" t="s">
        <v>49</v>
      </c>
      <c r="O1991" s="176"/>
      <c r="P1991" s="105"/>
      <c r="Q1991" s="137"/>
      <c r="R1991" s="138">
        <v>1</v>
      </c>
      <c r="S1991" s="105"/>
      <c r="T1991" s="105"/>
      <c r="U1991" s="105"/>
      <c r="V1991" s="141"/>
      <c r="W1991" s="138"/>
      <c r="X1991" s="141"/>
      <c r="Y1991" s="138"/>
      <c r="Z1991" s="105"/>
      <c r="AA1991" s="105"/>
      <c r="AB1991" s="132"/>
      <c r="AC1991" s="132"/>
      <c r="AD1991" s="155">
        <v>44044</v>
      </c>
      <c r="AE1991" s="108" t="s">
        <v>6231</v>
      </c>
    </row>
    <row r="1992" spans="1:31" ht="27" customHeight="1" x14ac:dyDescent="0.15">
      <c r="A1992" s="132">
        <v>1116511054</v>
      </c>
      <c r="B1992" s="130" t="s">
        <v>6825</v>
      </c>
      <c r="C1992" s="130" t="s">
        <v>6232</v>
      </c>
      <c r="D1992" s="108" t="s">
        <v>105</v>
      </c>
      <c r="E1992" s="108" t="s">
        <v>6233</v>
      </c>
      <c r="F1992" s="132" t="s">
        <v>3936</v>
      </c>
      <c r="G1992" s="392" t="s">
        <v>6229</v>
      </c>
      <c r="H1992" s="139" t="s">
        <v>6230</v>
      </c>
      <c r="I1992" s="141"/>
      <c r="J1992" s="142"/>
      <c r="K1992" s="142"/>
      <c r="L1992" s="142"/>
      <c r="M1992" s="142" t="s">
        <v>49</v>
      </c>
      <c r="N1992" s="142" t="s">
        <v>49</v>
      </c>
      <c r="O1992" s="176"/>
      <c r="P1992" s="105"/>
      <c r="Q1992" s="137"/>
      <c r="R1992" s="138">
        <v>1</v>
      </c>
      <c r="S1992" s="105"/>
      <c r="T1992" s="105"/>
      <c r="U1992" s="141"/>
      <c r="V1992" s="137"/>
      <c r="W1992" s="138"/>
      <c r="X1992" s="141"/>
      <c r="Y1992" s="138"/>
      <c r="Z1992" s="105"/>
      <c r="AA1992" s="105"/>
      <c r="AB1992" s="105"/>
      <c r="AC1992" s="105"/>
      <c r="AD1992" s="155">
        <v>44044</v>
      </c>
      <c r="AE1992" s="108" t="s">
        <v>6234</v>
      </c>
    </row>
    <row r="1993" spans="1:31" ht="27" customHeight="1" x14ac:dyDescent="0.15">
      <c r="A1993" s="105">
        <v>1116511070</v>
      </c>
      <c r="B1993" s="130" t="s">
        <v>6825</v>
      </c>
      <c r="C1993" s="130" t="s">
        <v>7455</v>
      </c>
      <c r="D1993" s="108" t="s">
        <v>105</v>
      </c>
      <c r="E1993" s="130" t="s">
        <v>6742</v>
      </c>
      <c r="F1993" s="132" t="s">
        <v>6228</v>
      </c>
      <c r="G1993" s="139" t="s">
        <v>6229</v>
      </c>
      <c r="H1993" s="105" t="s">
        <v>6230</v>
      </c>
      <c r="I1993" s="141"/>
      <c r="J1993" s="142"/>
      <c r="K1993" s="142"/>
      <c r="L1993" s="142"/>
      <c r="M1993" s="142" t="s">
        <v>49</v>
      </c>
      <c r="N1993" s="142" t="s">
        <v>49</v>
      </c>
      <c r="O1993" s="176"/>
      <c r="P1993" s="105"/>
      <c r="Q1993" s="137"/>
      <c r="R1993" s="138">
        <v>1</v>
      </c>
      <c r="S1993" s="105"/>
      <c r="T1993" s="105"/>
      <c r="U1993" s="105"/>
      <c r="V1993" s="137"/>
      <c r="W1993" s="138"/>
      <c r="X1993" s="137"/>
      <c r="Y1993" s="138"/>
      <c r="Z1993" s="105"/>
      <c r="AA1993" s="105"/>
      <c r="AB1993" s="105"/>
      <c r="AC1993" s="105"/>
      <c r="AD1993" s="155">
        <v>44044</v>
      </c>
      <c r="AE1993" s="108" t="s">
        <v>6231</v>
      </c>
    </row>
    <row r="1994" spans="1:31" ht="27" customHeight="1" x14ac:dyDescent="0.15">
      <c r="A1994" s="132">
        <v>1116512540</v>
      </c>
      <c r="B1994" s="130" t="s">
        <v>7178</v>
      </c>
      <c r="C1994" s="130" t="s">
        <v>7172</v>
      </c>
      <c r="D1994" s="108" t="s">
        <v>105</v>
      </c>
      <c r="E1994" s="108" t="s">
        <v>7173</v>
      </c>
      <c r="F1994" s="132" t="s">
        <v>7174</v>
      </c>
      <c r="G1994" s="392" t="s">
        <v>7175</v>
      </c>
      <c r="H1994" s="139" t="s">
        <v>7176</v>
      </c>
      <c r="I1994" s="141" t="s">
        <v>765</v>
      </c>
      <c r="J1994" s="160" t="s">
        <v>765</v>
      </c>
      <c r="K1994" s="160" t="s">
        <v>765</v>
      </c>
      <c r="L1994" s="160" t="s">
        <v>765</v>
      </c>
      <c r="M1994" s="160" t="s">
        <v>765</v>
      </c>
      <c r="N1994" s="512" t="s">
        <v>765</v>
      </c>
      <c r="O1994" s="138"/>
      <c r="P1994" s="105"/>
      <c r="Q1994" s="137"/>
      <c r="R1994" s="138">
        <v>2</v>
      </c>
      <c r="S1994" s="105"/>
      <c r="T1994" s="105"/>
      <c r="U1994" s="159"/>
      <c r="V1994" s="137"/>
      <c r="W1994" s="138"/>
      <c r="X1994" s="159"/>
      <c r="Y1994" s="138"/>
      <c r="Z1994" s="105"/>
      <c r="AA1994" s="105"/>
      <c r="AB1994" s="105"/>
      <c r="AC1994" s="105"/>
      <c r="AD1994" s="155">
        <v>44562</v>
      </c>
      <c r="AE1994" s="108" t="s">
        <v>7177</v>
      </c>
    </row>
    <row r="1995" spans="1:31" ht="27" customHeight="1" x14ac:dyDescent="0.15">
      <c r="A1995" s="132">
        <v>1116512631</v>
      </c>
      <c r="B1995" s="130" t="s">
        <v>7237</v>
      </c>
      <c r="C1995" s="130" t="s">
        <v>7231</v>
      </c>
      <c r="D1995" s="108" t="s">
        <v>105</v>
      </c>
      <c r="E1995" s="108" t="s">
        <v>7232</v>
      </c>
      <c r="F1995" s="132" t="s">
        <v>7233</v>
      </c>
      <c r="G1995" s="392" t="s">
        <v>7234</v>
      </c>
      <c r="H1995" s="139" t="s">
        <v>7235</v>
      </c>
      <c r="I1995" s="141" t="s">
        <v>765</v>
      </c>
      <c r="J1995" s="160" t="s">
        <v>765</v>
      </c>
      <c r="K1995" s="160" t="s">
        <v>765</v>
      </c>
      <c r="L1995" s="160" t="s">
        <v>765</v>
      </c>
      <c r="M1995" s="160" t="s">
        <v>765</v>
      </c>
      <c r="N1995" s="512" t="s">
        <v>765</v>
      </c>
      <c r="O1995" s="138" t="s">
        <v>765</v>
      </c>
      <c r="P1995" s="105"/>
      <c r="Q1995" s="137"/>
      <c r="R1995" s="138">
        <v>1</v>
      </c>
      <c r="S1995" s="105"/>
      <c r="T1995" s="105"/>
      <c r="U1995" s="159"/>
      <c r="V1995" s="137"/>
      <c r="W1995" s="138"/>
      <c r="X1995" s="159"/>
      <c r="Y1995" s="138"/>
      <c r="Z1995" s="105"/>
      <c r="AA1995" s="105"/>
      <c r="AB1995" s="105"/>
      <c r="AC1995" s="105"/>
      <c r="AD1995" s="155">
        <v>44593</v>
      </c>
      <c r="AE1995" s="108" t="s">
        <v>7236</v>
      </c>
    </row>
    <row r="1996" spans="1:31" ht="27" customHeight="1" x14ac:dyDescent="0.15">
      <c r="A1996" s="132">
        <v>1116513100</v>
      </c>
      <c r="B1996" s="130" t="s">
        <v>7237</v>
      </c>
      <c r="C1996" s="130" t="s">
        <v>7583</v>
      </c>
      <c r="D1996" s="108" t="s">
        <v>3873</v>
      </c>
      <c r="E1996" s="108" t="s">
        <v>7584</v>
      </c>
      <c r="F1996" s="132" t="s">
        <v>7233</v>
      </c>
      <c r="G1996" s="392" t="s">
        <v>7234</v>
      </c>
      <c r="H1996" s="139" t="s">
        <v>7235</v>
      </c>
      <c r="I1996" s="141"/>
      <c r="J1996" s="160"/>
      <c r="K1996" s="160"/>
      <c r="L1996" s="160"/>
      <c r="M1996" s="160" t="s">
        <v>765</v>
      </c>
      <c r="N1996" s="512" t="s">
        <v>765</v>
      </c>
      <c r="O1996" s="138" t="s">
        <v>765</v>
      </c>
      <c r="P1996" s="105"/>
      <c r="Q1996" s="137"/>
      <c r="R1996" s="138">
        <v>1</v>
      </c>
      <c r="S1996" s="105"/>
      <c r="T1996" s="105"/>
      <c r="U1996" s="159"/>
      <c r="V1996" s="137"/>
      <c r="W1996" s="138"/>
      <c r="X1996" s="159"/>
      <c r="Y1996" s="138"/>
      <c r="Z1996" s="105"/>
      <c r="AA1996" s="105"/>
      <c r="AB1996" s="105"/>
      <c r="AC1996" s="105"/>
      <c r="AD1996" s="155">
        <v>44713</v>
      </c>
      <c r="AE1996" s="108" t="s">
        <v>7585</v>
      </c>
    </row>
    <row r="1997" spans="1:31" ht="27" customHeight="1" x14ac:dyDescent="0.15">
      <c r="A1997" s="132">
        <v>1116513159</v>
      </c>
      <c r="B1997" s="130" t="s">
        <v>7657</v>
      </c>
      <c r="C1997" s="130" t="s">
        <v>7655</v>
      </c>
      <c r="D1997" s="108" t="s">
        <v>105</v>
      </c>
      <c r="E1997" s="108" t="s">
        <v>7659</v>
      </c>
      <c r="F1997" s="132" t="s">
        <v>4605</v>
      </c>
      <c r="G1997" s="392" t="s">
        <v>7660</v>
      </c>
      <c r="H1997" s="139" t="s">
        <v>7661</v>
      </c>
      <c r="I1997" s="141" t="s">
        <v>765</v>
      </c>
      <c r="J1997" s="160" t="s">
        <v>765</v>
      </c>
      <c r="K1997" s="160" t="s">
        <v>765</v>
      </c>
      <c r="L1997" s="160" t="s">
        <v>765</v>
      </c>
      <c r="M1997" s="160" t="s">
        <v>765</v>
      </c>
      <c r="N1997" s="512"/>
      <c r="O1997" s="138" t="s">
        <v>765</v>
      </c>
      <c r="P1997" s="105"/>
      <c r="Q1997" s="137"/>
      <c r="R1997" s="138">
        <v>4</v>
      </c>
      <c r="S1997" s="105"/>
      <c r="T1997" s="105"/>
      <c r="U1997" s="159"/>
      <c r="V1997" s="137"/>
      <c r="W1997" s="138"/>
      <c r="X1997" s="159"/>
      <c r="Y1997" s="138"/>
      <c r="Z1997" s="105"/>
      <c r="AA1997" s="105"/>
      <c r="AB1997" s="105"/>
      <c r="AC1997" s="105"/>
      <c r="AD1997" s="155">
        <v>44743</v>
      </c>
      <c r="AE1997" s="108" t="s">
        <v>7662</v>
      </c>
    </row>
    <row r="1998" spans="1:31" ht="27" customHeight="1" x14ac:dyDescent="0.15">
      <c r="A1998" s="132">
        <v>1116513308</v>
      </c>
      <c r="B1998" s="130" t="s">
        <v>7726</v>
      </c>
      <c r="C1998" s="130" t="s">
        <v>7722</v>
      </c>
      <c r="D1998" s="108" t="s">
        <v>105</v>
      </c>
      <c r="E1998" s="108" t="s">
        <v>7723</v>
      </c>
      <c r="F1998" s="132" t="s">
        <v>6828</v>
      </c>
      <c r="G1998" s="392" t="s">
        <v>7724</v>
      </c>
      <c r="H1998" s="139" t="s">
        <v>7724</v>
      </c>
      <c r="I1998" s="141"/>
      <c r="J1998" s="160"/>
      <c r="K1998" s="160"/>
      <c r="L1998" s="160"/>
      <c r="M1998" s="160" t="s">
        <v>765</v>
      </c>
      <c r="N1998" s="512" t="s">
        <v>765</v>
      </c>
      <c r="O1998" s="138"/>
      <c r="P1998" s="105"/>
      <c r="Q1998" s="137" t="s">
        <v>765</v>
      </c>
      <c r="R1998" s="138">
        <v>2</v>
      </c>
      <c r="S1998" s="105"/>
      <c r="T1998" s="105"/>
      <c r="U1998" s="159"/>
      <c r="V1998" s="137"/>
      <c r="W1998" s="138"/>
      <c r="X1998" s="159"/>
      <c r="Y1998" s="138"/>
      <c r="Z1998" s="105"/>
      <c r="AA1998" s="105"/>
      <c r="AB1998" s="105"/>
      <c r="AC1998" s="105"/>
      <c r="AD1998" s="155">
        <v>44774</v>
      </c>
      <c r="AE1998" s="108" t="s">
        <v>7725</v>
      </c>
    </row>
    <row r="1999" spans="1:31" ht="27" customHeight="1" x14ac:dyDescent="0.15">
      <c r="A1999" s="132">
        <v>1116513431</v>
      </c>
      <c r="B1999" s="130" t="s">
        <v>7745</v>
      </c>
      <c r="C1999" s="130" t="s">
        <v>7739</v>
      </c>
      <c r="D1999" s="108" t="s">
        <v>105</v>
      </c>
      <c r="E1999" s="108" t="s">
        <v>7740</v>
      </c>
      <c r="F1999" s="132" t="s">
        <v>7741</v>
      </c>
      <c r="G1999" s="392" t="s">
        <v>7742</v>
      </c>
      <c r="H1999" s="139" t="s">
        <v>7743</v>
      </c>
      <c r="I1999" s="141"/>
      <c r="J1999" s="160"/>
      <c r="K1999" s="160"/>
      <c r="L1999" s="160"/>
      <c r="M1999" s="160" t="s">
        <v>765</v>
      </c>
      <c r="N1999" s="512"/>
      <c r="O1999" s="138"/>
      <c r="P1999" s="105"/>
      <c r="Q1999" s="137"/>
      <c r="R1999" s="138">
        <v>18</v>
      </c>
      <c r="S1999" s="105"/>
      <c r="T1999" s="105"/>
      <c r="U1999" s="159"/>
      <c r="V1999" s="137"/>
      <c r="W1999" s="138"/>
      <c r="X1999" s="159"/>
      <c r="Y1999" s="138"/>
      <c r="Z1999" s="105"/>
      <c r="AA1999" s="105"/>
      <c r="AB1999" s="105"/>
      <c r="AC1999" s="105"/>
      <c r="AD1999" s="155">
        <v>44774</v>
      </c>
      <c r="AE1999" s="108" t="s">
        <v>7744</v>
      </c>
    </row>
    <row r="2000" spans="1:31" s="302" customFormat="1" ht="27" customHeight="1" x14ac:dyDescent="0.15">
      <c r="A2000" s="132">
        <v>1116513613</v>
      </c>
      <c r="B2000" s="130" t="s">
        <v>7794</v>
      </c>
      <c r="C2000" s="130" t="s">
        <v>7788</v>
      </c>
      <c r="D2000" s="108" t="s">
        <v>3873</v>
      </c>
      <c r="E2000" s="108" t="s">
        <v>7789</v>
      </c>
      <c r="F2000" s="132" t="s">
        <v>7790</v>
      </c>
      <c r="G2000" s="392" t="s">
        <v>7791</v>
      </c>
      <c r="H2000" s="139" t="s">
        <v>7792</v>
      </c>
      <c r="I2000" s="141" t="s">
        <v>765</v>
      </c>
      <c r="J2000" s="160" t="s">
        <v>765</v>
      </c>
      <c r="K2000" s="160" t="s">
        <v>765</v>
      </c>
      <c r="L2000" s="160" t="s">
        <v>765</v>
      </c>
      <c r="M2000" s="160" t="s">
        <v>765</v>
      </c>
      <c r="N2000" s="512" t="s">
        <v>765</v>
      </c>
      <c r="O2000" s="138" t="s">
        <v>765</v>
      </c>
      <c r="P2000" s="105"/>
      <c r="Q2000" s="137"/>
      <c r="R2000" s="138">
        <v>1</v>
      </c>
      <c r="S2000" s="105"/>
      <c r="T2000" s="105"/>
      <c r="U2000" s="159"/>
      <c r="V2000" s="137"/>
      <c r="W2000" s="138"/>
      <c r="X2000" s="159"/>
      <c r="Y2000" s="138"/>
      <c r="Z2000" s="105"/>
      <c r="AA2000" s="105"/>
      <c r="AB2000" s="105"/>
      <c r="AC2000" s="105"/>
      <c r="AD2000" s="155">
        <v>44805</v>
      </c>
      <c r="AE2000" s="108" t="s">
        <v>7795</v>
      </c>
    </row>
    <row r="2001" spans="1:31" ht="27" customHeight="1" x14ac:dyDescent="0.15">
      <c r="A2001" s="380">
        <v>1116513589</v>
      </c>
      <c r="B2001" s="381" t="s">
        <v>8165</v>
      </c>
      <c r="C2001" s="382" t="s">
        <v>8166</v>
      </c>
      <c r="D2001" s="383" t="s">
        <v>8162</v>
      </c>
      <c r="E2001" s="382" t="s">
        <v>8167</v>
      </c>
      <c r="F2001" s="384" t="s">
        <v>7793</v>
      </c>
      <c r="G2001" s="384" t="s">
        <v>8168</v>
      </c>
      <c r="H2001" s="384" t="s">
        <v>8168</v>
      </c>
      <c r="I2001" s="385" t="s">
        <v>765</v>
      </c>
      <c r="J2001" s="386" t="s">
        <v>765</v>
      </c>
      <c r="K2001" s="386" t="s">
        <v>765</v>
      </c>
      <c r="L2001" s="386" t="s">
        <v>765</v>
      </c>
      <c r="M2001" s="386" t="s">
        <v>765</v>
      </c>
      <c r="N2001" s="387" t="s">
        <v>765</v>
      </c>
      <c r="O2001" s="388"/>
      <c r="P2001" s="380"/>
      <c r="Q2001" s="389"/>
      <c r="R2001" s="388">
        <v>2</v>
      </c>
      <c r="S2001" s="380"/>
      <c r="T2001" s="380"/>
      <c r="U2001" s="380"/>
      <c r="V2001" s="389"/>
      <c r="W2001" s="388"/>
      <c r="X2001" s="389"/>
      <c r="Y2001" s="388"/>
      <c r="Z2001" s="384"/>
      <c r="AA2001" s="384"/>
      <c r="AB2001" s="384"/>
      <c r="AC2001" s="384"/>
      <c r="AD2001" s="404">
        <v>44805</v>
      </c>
      <c r="AE2001" s="382" t="s">
        <v>8169</v>
      </c>
    </row>
    <row r="2002" spans="1:31" ht="27" customHeight="1" x14ac:dyDescent="0.15">
      <c r="A2002" s="132">
        <v>1116513779</v>
      </c>
      <c r="B2002" s="130" t="s">
        <v>11923</v>
      </c>
      <c r="C2002" s="130" t="s">
        <v>7978</v>
      </c>
      <c r="D2002" s="108" t="s">
        <v>3873</v>
      </c>
      <c r="E2002" s="108" t="s">
        <v>7979</v>
      </c>
      <c r="F2002" s="132" t="s">
        <v>5849</v>
      </c>
      <c r="G2002" s="392" t="s">
        <v>7980</v>
      </c>
      <c r="H2002" s="139" t="s">
        <v>7981</v>
      </c>
      <c r="I2002" s="141"/>
      <c r="J2002" s="160"/>
      <c r="K2002" s="160"/>
      <c r="L2002" s="160"/>
      <c r="M2002" s="160" t="s">
        <v>765</v>
      </c>
      <c r="N2002" s="512" t="s">
        <v>765</v>
      </c>
      <c r="O2002" s="138"/>
      <c r="P2002" s="105"/>
      <c r="Q2002" s="137"/>
      <c r="R2002" s="138">
        <v>2</v>
      </c>
      <c r="S2002" s="105"/>
      <c r="T2002" s="105"/>
      <c r="U2002" s="159"/>
      <c r="V2002" s="137"/>
      <c r="W2002" s="138"/>
      <c r="X2002" s="159"/>
      <c r="Y2002" s="138"/>
      <c r="Z2002" s="105"/>
      <c r="AA2002" s="105"/>
      <c r="AB2002" s="105"/>
      <c r="AC2002" s="105"/>
      <c r="AD2002" s="155">
        <v>44896</v>
      </c>
      <c r="AE2002" s="108" t="s">
        <v>7982</v>
      </c>
    </row>
    <row r="2003" spans="1:31" ht="27" customHeight="1" x14ac:dyDescent="0.15">
      <c r="A2003" s="132">
        <v>1116514025</v>
      </c>
      <c r="B2003" s="130" t="s">
        <v>7738</v>
      </c>
      <c r="C2003" s="130" t="s">
        <v>8094</v>
      </c>
      <c r="D2003" s="108" t="s">
        <v>105</v>
      </c>
      <c r="E2003" s="108" t="s">
        <v>8095</v>
      </c>
      <c r="F2003" s="132" t="s">
        <v>5853</v>
      </c>
      <c r="G2003" s="392" t="s">
        <v>2460</v>
      </c>
      <c r="H2003" s="139" t="s">
        <v>2461</v>
      </c>
      <c r="I2003" s="141" t="s">
        <v>765</v>
      </c>
      <c r="J2003" s="160" t="s">
        <v>765</v>
      </c>
      <c r="K2003" s="160" t="s">
        <v>765</v>
      </c>
      <c r="L2003" s="160" t="s">
        <v>765</v>
      </c>
      <c r="M2003" s="160" t="s">
        <v>765</v>
      </c>
      <c r="N2003" s="512" t="s">
        <v>765</v>
      </c>
      <c r="O2003" s="138" t="s">
        <v>765</v>
      </c>
      <c r="P2003" s="105"/>
      <c r="Q2003" s="137"/>
      <c r="R2003" s="138">
        <v>2</v>
      </c>
      <c r="S2003" s="105"/>
      <c r="T2003" s="105"/>
      <c r="U2003" s="159"/>
      <c r="V2003" s="137"/>
      <c r="W2003" s="138"/>
      <c r="X2003" s="159"/>
      <c r="Y2003" s="138"/>
      <c r="Z2003" s="105"/>
      <c r="AA2003" s="105"/>
      <c r="AB2003" s="105"/>
      <c r="AC2003" s="105"/>
      <c r="AD2003" s="155">
        <v>44958</v>
      </c>
      <c r="AE2003" s="108" t="s">
        <v>8096</v>
      </c>
    </row>
    <row r="2004" spans="1:31" ht="27" customHeight="1" x14ac:dyDescent="0.15">
      <c r="A2004" s="513">
        <v>1116514579</v>
      </c>
      <c r="B2004" s="401" t="s">
        <v>11924</v>
      </c>
      <c r="C2004" s="401" t="s">
        <v>8447</v>
      </c>
      <c r="D2004" s="329" t="s">
        <v>8135</v>
      </c>
      <c r="E2004" s="108" t="s">
        <v>8448</v>
      </c>
      <c r="F2004" s="105" t="s">
        <v>8449</v>
      </c>
      <c r="G2004" s="105" t="s">
        <v>8450</v>
      </c>
      <c r="H2004" s="105" t="s">
        <v>8451</v>
      </c>
      <c r="I2004" s="141" t="s">
        <v>765</v>
      </c>
      <c r="J2004" s="142" t="s">
        <v>765</v>
      </c>
      <c r="K2004" s="142" t="s">
        <v>765</v>
      </c>
      <c r="L2004" s="142" t="s">
        <v>765</v>
      </c>
      <c r="M2004" s="142" t="s">
        <v>765</v>
      </c>
      <c r="N2004" s="142" t="s">
        <v>765</v>
      </c>
      <c r="O2004" s="142" t="s">
        <v>765</v>
      </c>
      <c r="P2004" s="105"/>
      <c r="Q2004" s="137"/>
      <c r="R2004" s="138">
        <v>1</v>
      </c>
      <c r="S2004" s="105"/>
      <c r="T2004" s="105"/>
      <c r="U2004" s="141"/>
      <c r="V2004" s="137"/>
      <c r="W2004" s="138"/>
      <c r="X2004" s="141"/>
      <c r="Y2004" s="138"/>
      <c r="Z2004" s="105"/>
      <c r="AA2004" s="105"/>
      <c r="AB2004" s="105"/>
      <c r="AC2004" s="105"/>
      <c r="AD2004" s="155">
        <v>45108</v>
      </c>
      <c r="AE2004" s="108" t="s">
        <v>8452</v>
      </c>
    </row>
    <row r="2005" spans="1:31" ht="27" customHeight="1" x14ac:dyDescent="0.15">
      <c r="A2005" s="425">
        <v>1116514660</v>
      </c>
      <c r="B2005" s="423" t="s">
        <v>11925</v>
      </c>
      <c r="C2005" s="453" t="s">
        <v>8453</v>
      </c>
      <c r="D2005" s="391" t="s">
        <v>8162</v>
      </c>
      <c r="E2005" s="406" t="s">
        <v>9810</v>
      </c>
      <c r="F2005" s="391" t="s">
        <v>8454</v>
      </c>
      <c r="G2005" s="406" t="s">
        <v>8455</v>
      </c>
      <c r="H2005" s="406" t="s">
        <v>8456</v>
      </c>
      <c r="I2005" s="427" t="s">
        <v>765</v>
      </c>
      <c r="J2005" s="428" t="s">
        <v>765</v>
      </c>
      <c r="K2005" s="428" t="s">
        <v>765</v>
      </c>
      <c r="L2005" s="428" t="s">
        <v>765</v>
      </c>
      <c r="M2005" s="428" t="s">
        <v>765</v>
      </c>
      <c r="N2005" s="455" t="s">
        <v>765</v>
      </c>
      <c r="O2005" s="429" t="s">
        <v>765</v>
      </c>
      <c r="P2005" s="425"/>
      <c r="Q2005" s="430"/>
      <c r="R2005" s="429">
        <v>2</v>
      </c>
      <c r="S2005" s="425"/>
      <c r="T2005" s="425"/>
      <c r="U2005" s="425"/>
      <c r="V2005" s="430"/>
      <c r="W2005" s="429"/>
      <c r="X2005" s="430"/>
      <c r="Y2005" s="429"/>
      <c r="Z2005" s="391"/>
      <c r="AA2005" s="391"/>
      <c r="AB2005" s="391"/>
      <c r="AC2005" s="391"/>
      <c r="AD2005" s="155">
        <v>45108</v>
      </c>
      <c r="AE2005" s="108" t="s">
        <v>8457</v>
      </c>
    </row>
    <row r="2006" spans="1:31" ht="27" customHeight="1" x14ac:dyDescent="0.15">
      <c r="A2006" s="425">
        <v>1116515626</v>
      </c>
      <c r="B2006" s="406" t="s">
        <v>11925</v>
      </c>
      <c r="C2006" s="406" t="s">
        <v>9181</v>
      </c>
      <c r="D2006" s="434" t="s">
        <v>8135</v>
      </c>
      <c r="E2006" s="166" t="s">
        <v>9182</v>
      </c>
      <c r="F2006" s="76" t="s">
        <v>9183</v>
      </c>
      <c r="G2006" s="76" t="s">
        <v>9184</v>
      </c>
      <c r="H2006" s="76" t="s">
        <v>9185</v>
      </c>
      <c r="I2006" s="178" t="s">
        <v>765</v>
      </c>
      <c r="J2006" s="170" t="s">
        <v>765</v>
      </c>
      <c r="K2006" s="170" t="s">
        <v>765</v>
      </c>
      <c r="L2006" s="170" t="s">
        <v>765</v>
      </c>
      <c r="M2006" s="170" t="s">
        <v>765</v>
      </c>
      <c r="N2006" s="170" t="s">
        <v>765</v>
      </c>
      <c r="O2006" s="170" t="s">
        <v>765</v>
      </c>
      <c r="P2006" s="76"/>
      <c r="Q2006" s="70"/>
      <c r="R2006" s="92">
        <v>2</v>
      </c>
      <c r="S2006" s="76"/>
      <c r="T2006" s="76"/>
      <c r="U2006" s="76"/>
      <c r="V2006" s="70"/>
      <c r="W2006" s="92"/>
      <c r="X2006" s="70"/>
      <c r="Y2006" s="92"/>
      <c r="Z2006" s="76"/>
      <c r="AA2006" s="76"/>
      <c r="AB2006" s="425"/>
      <c r="AC2006" s="425"/>
      <c r="AD2006" s="146">
        <v>45413</v>
      </c>
      <c r="AE2006" s="166" t="s">
        <v>9186</v>
      </c>
    </row>
    <row r="2007" spans="1:31" ht="27" customHeight="1" x14ac:dyDescent="0.15">
      <c r="A2007" s="425">
        <v>1116516178</v>
      </c>
      <c r="B2007" s="406" t="s">
        <v>11926</v>
      </c>
      <c r="C2007" s="406" t="s">
        <v>9405</v>
      </c>
      <c r="D2007" s="434" t="s">
        <v>105</v>
      </c>
      <c r="E2007" s="166" t="s">
        <v>9406</v>
      </c>
      <c r="F2007" s="76" t="s">
        <v>9407</v>
      </c>
      <c r="G2007" s="76" t="s">
        <v>9408</v>
      </c>
      <c r="H2007" s="76" t="s">
        <v>9409</v>
      </c>
      <c r="I2007" s="178" t="s">
        <v>765</v>
      </c>
      <c r="J2007" s="170" t="s">
        <v>765</v>
      </c>
      <c r="K2007" s="170" t="s">
        <v>765</v>
      </c>
      <c r="L2007" s="170" t="s">
        <v>765</v>
      </c>
      <c r="M2007" s="170" t="s">
        <v>765</v>
      </c>
      <c r="N2007" s="514" t="s">
        <v>765</v>
      </c>
      <c r="O2007" s="514" t="s">
        <v>765</v>
      </c>
      <c r="P2007" s="76"/>
      <c r="Q2007" s="70"/>
      <c r="R2007" s="92">
        <v>1</v>
      </c>
      <c r="S2007" s="76"/>
      <c r="T2007" s="76"/>
      <c r="U2007" s="76"/>
      <c r="V2007" s="70"/>
      <c r="W2007" s="92"/>
      <c r="X2007" s="70"/>
      <c r="Y2007" s="92"/>
      <c r="Z2007" s="76"/>
      <c r="AA2007" s="76"/>
      <c r="AB2007" s="425"/>
      <c r="AC2007" s="425"/>
      <c r="AD2007" s="146">
        <v>45505</v>
      </c>
      <c r="AE2007" s="166" t="s">
        <v>9410</v>
      </c>
    </row>
    <row r="2008" spans="1:31" ht="27" customHeight="1" x14ac:dyDescent="0.15">
      <c r="A2008" s="72">
        <v>1116516269</v>
      </c>
      <c r="B2008" s="166" t="s">
        <v>11976</v>
      </c>
      <c r="C2008" s="166" t="s">
        <v>9459</v>
      </c>
      <c r="D2008" s="434" t="s">
        <v>8135</v>
      </c>
      <c r="E2008" s="166" t="s">
        <v>9460</v>
      </c>
      <c r="F2008" s="425" t="s">
        <v>6054</v>
      </c>
      <c r="G2008" s="425" t="s">
        <v>9461</v>
      </c>
      <c r="H2008" s="425" t="s">
        <v>9461</v>
      </c>
      <c r="I2008" s="178"/>
      <c r="J2008" s="170"/>
      <c r="K2008" s="170"/>
      <c r="L2008" s="170"/>
      <c r="M2008" s="170" t="s">
        <v>765</v>
      </c>
      <c r="N2008" s="170" t="s">
        <v>765</v>
      </c>
      <c r="O2008" s="170"/>
      <c r="P2008" s="76"/>
      <c r="Q2008" s="70" t="s">
        <v>765</v>
      </c>
      <c r="R2008" s="92"/>
      <c r="S2008" s="76"/>
      <c r="T2008" s="76"/>
      <c r="U2008" s="178"/>
      <c r="V2008" s="70"/>
      <c r="W2008" s="92"/>
      <c r="X2008" s="178"/>
      <c r="Y2008" s="92"/>
      <c r="Z2008" s="76"/>
      <c r="AA2008" s="76"/>
      <c r="AB2008" s="76"/>
      <c r="AC2008" s="76"/>
      <c r="AD2008" s="146">
        <v>45536</v>
      </c>
      <c r="AE2008" s="166" t="s">
        <v>9462</v>
      </c>
    </row>
    <row r="2009" spans="1:31" ht="27" customHeight="1" x14ac:dyDescent="0.15">
      <c r="A2009" s="425">
        <v>1116516327</v>
      </c>
      <c r="B2009" s="458" t="s">
        <v>11927</v>
      </c>
      <c r="C2009" s="458" t="s">
        <v>9463</v>
      </c>
      <c r="D2009" s="434" t="s">
        <v>8135</v>
      </c>
      <c r="E2009" s="423" t="s">
        <v>9835</v>
      </c>
      <c r="F2009" s="425" t="s">
        <v>9464</v>
      </c>
      <c r="G2009" s="425" t="s">
        <v>9465</v>
      </c>
      <c r="H2009" s="425" t="s">
        <v>9465</v>
      </c>
      <c r="I2009" s="178"/>
      <c r="J2009" s="170"/>
      <c r="K2009" s="170"/>
      <c r="L2009" s="170"/>
      <c r="M2009" s="170" t="s">
        <v>765</v>
      </c>
      <c r="N2009" s="170" t="s">
        <v>765</v>
      </c>
      <c r="O2009" s="170"/>
      <c r="P2009" s="76"/>
      <c r="Q2009" s="70" t="s">
        <v>765</v>
      </c>
      <c r="R2009" s="92"/>
      <c r="S2009" s="425"/>
      <c r="T2009" s="76"/>
      <c r="U2009" s="425"/>
      <c r="V2009" s="70"/>
      <c r="W2009" s="92"/>
      <c r="X2009" s="70"/>
      <c r="Y2009" s="92"/>
      <c r="Z2009" s="425"/>
      <c r="AA2009" s="425"/>
      <c r="AB2009" s="76"/>
      <c r="AC2009" s="76"/>
      <c r="AD2009" s="146">
        <v>45536</v>
      </c>
      <c r="AE2009" s="166" t="s">
        <v>9466</v>
      </c>
    </row>
    <row r="2010" spans="1:31" ht="27" customHeight="1" x14ac:dyDescent="0.15">
      <c r="A2010" s="425">
        <v>1116516525</v>
      </c>
      <c r="B2010" s="458" t="s">
        <v>11928</v>
      </c>
      <c r="C2010" s="458" t="s">
        <v>9584</v>
      </c>
      <c r="D2010" s="434" t="s">
        <v>8077</v>
      </c>
      <c r="E2010" s="166" t="s">
        <v>9585</v>
      </c>
      <c r="F2010" s="425" t="s">
        <v>4467</v>
      </c>
      <c r="G2010" s="425" t="s">
        <v>9586</v>
      </c>
      <c r="H2010" s="425" t="s">
        <v>9587</v>
      </c>
      <c r="I2010" s="178"/>
      <c r="J2010" s="170"/>
      <c r="K2010" s="170"/>
      <c r="L2010" s="170"/>
      <c r="M2010" s="170" t="s">
        <v>765</v>
      </c>
      <c r="N2010" s="514" t="s">
        <v>765</v>
      </c>
      <c r="O2010" s="514" t="s">
        <v>765</v>
      </c>
      <c r="P2010" s="76"/>
      <c r="Q2010" s="70"/>
      <c r="R2010" s="92">
        <v>3</v>
      </c>
      <c r="S2010" s="425"/>
      <c r="T2010" s="76"/>
      <c r="U2010" s="425"/>
      <c r="V2010" s="70"/>
      <c r="W2010" s="92"/>
      <c r="X2010" s="70"/>
      <c r="Y2010" s="92"/>
      <c r="Z2010" s="425"/>
      <c r="AA2010" s="425"/>
      <c r="AB2010" s="76"/>
      <c r="AC2010" s="76"/>
      <c r="AD2010" s="146">
        <v>45597</v>
      </c>
      <c r="AE2010" s="166" t="s">
        <v>9588</v>
      </c>
    </row>
    <row r="2011" spans="1:31" ht="27" customHeight="1" x14ac:dyDescent="0.15">
      <c r="A2011" s="425">
        <v>1116516582</v>
      </c>
      <c r="B2011" s="166" t="s">
        <v>11929</v>
      </c>
      <c r="C2011" s="166" t="s">
        <v>9735</v>
      </c>
      <c r="D2011" s="434" t="s">
        <v>8077</v>
      </c>
      <c r="E2011" s="165" t="s">
        <v>9724</v>
      </c>
      <c r="F2011" s="425" t="s">
        <v>4473</v>
      </c>
      <c r="G2011" s="425" t="s">
        <v>9571</v>
      </c>
      <c r="H2011" s="425" t="s">
        <v>9572</v>
      </c>
      <c r="I2011" s="178" t="s">
        <v>8136</v>
      </c>
      <c r="J2011" s="170" t="s">
        <v>8136</v>
      </c>
      <c r="K2011" s="170" t="s">
        <v>8136</v>
      </c>
      <c r="L2011" s="170" t="s">
        <v>8136</v>
      </c>
      <c r="M2011" s="170" t="s">
        <v>8136</v>
      </c>
      <c r="N2011" s="170" t="s">
        <v>8136</v>
      </c>
      <c r="O2011" s="170"/>
      <c r="P2011" s="76"/>
      <c r="Q2011" s="70"/>
      <c r="R2011" s="92">
        <v>2</v>
      </c>
      <c r="S2011" s="76"/>
      <c r="T2011" s="76"/>
      <c r="U2011" s="76"/>
      <c r="V2011" s="70"/>
      <c r="W2011" s="92"/>
      <c r="X2011" s="70"/>
      <c r="Y2011" s="92"/>
      <c r="Z2011" s="76"/>
      <c r="AA2011" s="76"/>
      <c r="AB2011" s="76"/>
      <c r="AC2011" s="76"/>
      <c r="AD2011" s="146">
        <v>45627</v>
      </c>
      <c r="AE2011" s="166" t="s">
        <v>9573</v>
      </c>
    </row>
    <row r="2012" spans="1:31" ht="27" customHeight="1" x14ac:dyDescent="0.15">
      <c r="A2012" s="425">
        <v>1116516673</v>
      </c>
      <c r="B2012" s="166" t="s">
        <v>11929</v>
      </c>
      <c r="C2012" s="166" t="s">
        <v>9742</v>
      </c>
      <c r="D2012" s="434" t="s">
        <v>8077</v>
      </c>
      <c r="E2012" s="165" t="s">
        <v>9800</v>
      </c>
      <c r="F2012" s="425" t="s">
        <v>6828</v>
      </c>
      <c r="G2012" s="425" t="s">
        <v>5455</v>
      </c>
      <c r="H2012" s="425" t="s">
        <v>5456</v>
      </c>
      <c r="I2012" s="178" t="s">
        <v>8136</v>
      </c>
      <c r="J2012" s="170" t="s">
        <v>8136</v>
      </c>
      <c r="K2012" s="170" t="s">
        <v>8136</v>
      </c>
      <c r="L2012" s="170" t="s">
        <v>8136</v>
      </c>
      <c r="M2012" s="170" t="s">
        <v>8136</v>
      </c>
      <c r="N2012" s="170" t="s">
        <v>8136</v>
      </c>
      <c r="O2012" s="170"/>
      <c r="P2012" s="76"/>
      <c r="Q2012" s="70"/>
      <c r="R2012" s="92">
        <v>1</v>
      </c>
      <c r="S2012" s="76"/>
      <c r="T2012" s="76"/>
      <c r="U2012" s="76"/>
      <c r="V2012" s="70"/>
      <c r="W2012" s="92"/>
      <c r="X2012" s="70"/>
      <c r="Y2012" s="92"/>
      <c r="Z2012" s="76"/>
      <c r="AA2012" s="76"/>
      <c r="AB2012" s="76"/>
      <c r="AC2012" s="76"/>
      <c r="AD2012" s="146">
        <v>45627</v>
      </c>
      <c r="AE2012" s="166" t="s">
        <v>9741</v>
      </c>
    </row>
    <row r="2013" spans="1:31" ht="27" customHeight="1" x14ac:dyDescent="0.15">
      <c r="A2013" s="425">
        <v>1116516707</v>
      </c>
      <c r="B2013" s="166" t="s">
        <v>11929</v>
      </c>
      <c r="C2013" s="166" t="s">
        <v>9738</v>
      </c>
      <c r="D2013" s="434" t="s">
        <v>8077</v>
      </c>
      <c r="E2013" s="165" t="s">
        <v>9739</v>
      </c>
      <c r="F2013" s="425" t="s">
        <v>5849</v>
      </c>
      <c r="G2013" s="425" t="s">
        <v>6329</v>
      </c>
      <c r="H2013" s="425" t="s">
        <v>6330</v>
      </c>
      <c r="I2013" s="178" t="s">
        <v>8136</v>
      </c>
      <c r="J2013" s="170" t="s">
        <v>8136</v>
      </c>
      <c r="K2013" s="170" t="s">
        <v>8136</v>
      </c>
      <c r="L2013" s="170" t="s">
        <v>8136</v>
      </c>
      <c r="M2013" s="170" t="s">
        <v>8136</v>
      </c>
      <c r="N2013" s="170" t="s">
        <v>8136</v>
      </c>
      <c r="O2013" s="170"/>
      <c r="P2013" s="76"/>
      <c r="Q2013" s="70"/>
      <c r="R2013" s="92">
        <v>2</v>
      </c>
      <c r="S2013" s="76"/>
      <c r="T2013" s="76"/>
      <c r="U2013" s="76"/>
      <c r="V2013" s="70"/>
      <c r="W2013" s="92"/>
      <c r="X2013" s="70"/>
      <c r="Y2013" s="92"/>
      <c r="Z2013" s="76"/>
      <c r="AA2013" s="76"/>
      <c r="AB2013" s="76"/>
      <c r="AC2013" s="76"/>
      <c r="AD2013" s="146">
        <v>45627</v>
      </c>
      <c r="AE2013" s="166" t="s">
        <v>9740</v>
      </c>
    </row>
    <row r="2014" spans="1:31" ht="27" customHeight="1" x14ac:dyDescent="0.15">
      <c r="A2014" s="425">
        <v>1116516798</v>
      </c>
      <c r="B2014" s="166" t="s">
        <v>11930</v>
      </c>
      <c r="C2014" s="166" t="s">
        <v>9907</v>
      </c>
      <c r="D2014" s="434" t="s">
        <v>8077</v>
      </c>
      <c r="E2014" s="165" t="s">
        <v>9332</v>
      </c>
      <c r="F2014" s="425" t="s">
        <v>6828</v>
      </c>
      <c r="G2014" s="425" t="s">
        <v>9333</v>
      </c>
      <c r="H2014" s="425" t="s">
        <v>9333</v>
      </c>
      <c r="I2014" s="178" t="s">
        <v>765</v>
      </c>
      <c r="J2014" s="170" t="s">
        <v>765</v>
      </c>
      <c r="K2014" s="170" t="s">
        <v>765</v>
      </c>
      <c r="L2014" s="170" t="s">
        <v>765</v>
      </c>
      <c r="M2014" s="170" t="s">
        <v>765</v>
      </c>
      <c r="N2014" s="514" t="s">
        <v>765</v>
      </c>
      <c r="O2014" s="514" t="s">
        <v>765</v>
      </c>
      <c r="P2014" s="76"/>
      <c r="Q2014" s="70"/>
      <c r="R2014" s="92">
        <v>3</v>
      </c>
      <c r="S2014" s="76"/>
      <c r="T2014" s="76"/>
      <c r="U2014" s="76"/>
      <c r="V2014" s="70"/>
      <c r="W2014" s="92"/>
      <c r="X2014" s="70"/>
      <c r="Y2014" s="92"/>
      <c r="Z2014" s="76"/>
      <c r="AA2014" s="76"/>
      <c r="AB2014" s="76"/>
      <c r="AC2014" s="76"/>
      <c r="AD2014" s="146">
        <v>45658</v>
      </c>
      <c r="AE2014" s="166" t="s">
        <v>9834</v>
      </c>
    </row>
    <row r="2015" spans="1:31" ht="26.25" customHeight="1" x14ac:dyDescent="0.15">
      <c r="A2015" s="425">
        <v>1116516970</v>
      </c>
      <c r="B2015" s="166" t="s">
        <v>11931</v>
      </c>
      <c r="C2015" s="166" t="s">
        <v>9908</v>
      </c>
      <c r="D2015" s="434" t="s">
        <v>8077</v>
      </c>
      <c r="E2015" s="165" t="s">
        <v>9909</v>
      </c>
      <c r="F2015" s="425" t="s">
        <v>4566</v>
      </c>
      <c r="G2015" s="425" t="s">
        <v>6808</v>
      </c>
      <c r="H2015" s="425" t="s">
        <v>6809</v>
      </c>
      <c r="I2015" s="178" t="s">
        <v>765</v>
      </c>
      <c r="J2015" s="170" t="s">
        <v>765</v>
      </c>
      <c r="K2015" s="170" t="s">
        <v>765</v>
      </c>
      <c r="L2015" s="170" t="s">
        <v>765</v>
      </c>
      <c r="M2015" s="170" t="s">
        <v>765</v>
      </c>
      <c r="N2015" s="514" t="s">
        <v>765</v>
      </c>
      <c r="O2015" s="514" t="s">
        <v>765</v>
      </c>
      <c r="P2015" s="76"/>
      <c r="Q2015" s="70"/>
      <c r="R2015" s="92">
        <v>1</v>
      </c>
      <c r="S2015" s="76"/>
      <c r="T2015" s="76"/>
      <c r="U2015" s="76"/>
      <c r="V2015" s="70"/>
      <c r="W2015" s="92"/>
      <c r="X2015" s="70"/>
      <c r="Y2015" s="92"/>
      <c r="Z2015" s="76"/>
      <c r="AA2015" s="76"/>
      <c r="AB2015" s="76"/>
      <c r="AC2015" s="76"/>
      <c r="AD2015" s="146">
        <v>45717</v>
      </c>
      <c r="AE2015" s="166" t="s">
        <v>9910</v>
      </c>
    </row>
    <row r="2016" spans="1:31" ht="26.25" customHeight="1" x14ac:dyDescent="0.15">
      <c r="A2016" s="425">
        <v>1116516996</v>
      </c>
      <c r="B2016" s="163" t="s">
        <v>11932</v>
      </c>
      <c r="C2016" s="164" t="s">
        <v>10043</v>
      </c>
      <c r="D2016" s="434" t="s">
        <v>8077</v>
      </c>
      <c r="E2016" s="165" t="s">
        <v>8495</v>
      </c>
      <c r="F2016" s="425" t="s">
        <v>7446</v>
      </c>
      <c r="G2016" s="425" t="s">
        <v>8496</v>
      </c>
      <c r="H2016" s="425" t="s">
        <v>8497</v>
      </c>
      <c r="I2016" s="178" t="s">
        <v>765</v>
      </c>
      <c r="J2016" s="170" t="s">
        <v>765</v>
      </c>
      <c r="K2016" s="170" t="s">
        <v>765</v>
      </c>
      <c r="L2016" s="170" t="s">
        <v>765</v>
      </c>
      <c r="M2016" s="170" t="s">
        <v>765</v>
      </c>
      <c r="N2016" s="514" t="s">
        <v>765</v>
      </c>
      <c r="O2016" s="514"/>
      <c r="P2016" s="76"/>
      <c r="Q2016" s="70"/>
      <c r="R2016" s="92">
        <v>2</v>
      </c>
      <c r="S2016" s="76"/>
      <c r="T2016" s="76"/>
      <c r="U2016" s="76"/>
      <c r="V2016" s="70"/>
      <c r="W2016" s="92"/>
      <c r="X2016" s="70"/>
      <c r="Y2016" s="92"/>
      <c r="Z2016" s="76"/>
      <c r="AA2016" s="76"/>
      <c r="AB2016" s="76"/>
      <c r="AC2016" s="76"/>
      <c r="AD2016" s="146">
        <v>45717</v>
      </c>
      <c r="AE2016" s="166" t="s">
        <v>9911</v>
      </c>
    </row>
    <row r="2017" spans="1:31" s="302" customFormat="1" ht="27" customHeight="1" x14ac:dyDescent="0.15">
      <c r="A2017" s="425">
        <v>1116517010</v>
      </c>
      <c r="B2017" s="166" t="s">
        <v>11933</v>
      </c>
      <c r="C2017" s="166" t="s">
        <v>9912</v>
      </c>
      <c r="D2017" s="434" t="s">
        <v>105</v>
      </c>
      <c r="E2017" s="165" t="s">
        <v>9913</v>
      </c>
      <c r="F2017" s="425" t="s">
        <v>6925</v>
      </c>
      <c r="G2017" s="425" t="s">
        <v>6926</v>
      </c>
      <c r="H2017" s="425" t="s">
        <v>6927</v>
      </c>
      <c r="I2017" s="178" t="s">
        <v>765</v>
      </c>
      <c r="J2017" s="170" t="s">
        <v>765</v>
      </c>
      <c r="K2017" s="170" t="s">
        <v>765</v>
      </c>
      <c r="L2017" s="170" t="s">
        <v>765</v>
      </c>
      <c r="M2017" s="170" t="s">
        <v>765</v>
      </c>
      <c r="N2017" s="514" t="s">
        <v>765</v>
      </c>
      <c r="O2017" s="514" t="s">
        <v>765</v>
      </c>
      <c r="P2017" s="76"/>
      <c r="Q2017" s="70"/>
      <c r="R2017" s="92">
        <v>2</v>
      </c>
      <c r="S2017" s="76"/>
      <c r="T2017" s="76"/>
      <c r="U2017" s="76"/>
      <c r="V2017" s="70"/>
      <c r="W2017" s="92"/>
      <c r="X2017" s="70"/>
      <c r="Y2017" s="92"/>
      <c r="Z2017" s="76"/>
      <c r="AA2017" s="76"/>
      <c r="AB2017" s="76"/>
      <c r="AC2017" s="76"/>
      <c r="AD2017" s="146">
        <v>45717</v>
      </c>
      <c r="AE2017" s="166" t="s">
        <v>9914</v>
      </c>
    </row>
    <row r="2018" spans="1:31" ht="27" customHeight="1" x14ac:dyDescent="0.15">
      <c r="A2018" s="425">
        <v>1116517671</v>
      </c>
      <c r="B2018" s="406" t="s">
        <v>12039</v>
      </c>
      <c r="C2018" s="406" t="s">
        <v>10504</v>
      </c>
      <c r="D2018" s="434" t="s">
        <v>8077</v>
      </c>
      <c r="E2018" s="165" t="s">
        <v>10515</v>
      </c>
      <c r="F2018" s="76" t="s">
        <v>10505</v>
      </c>
      <c r="G2018" s="76" t="s">
        <v>380</v>
      </c>
      <c r="H2018" s="76" t="s">
        <v>2635</v>
      </c>
      <c r="I2018" s="178" t="s">
        <v>765</v>
      </c>
      <c r="J2018" s="170" t="s">
        <v>765</v>
      </c>
      <c r="K2018" s="170" t="s">
        <v>765</v>
      </c>
      <c r="L2018" s="170" t="s">
        <v>765</v>
      </c>
      <c r="M2018" s="170" t="s">
        <v>765</v>
      </c>
      <c r="N2018" s="170" t="s">
        <v>765</v>
      </c>
      <c r="O2018" s="170" t="s">
        <v>765</v>
      </c>
      <c r="P2018" s="76"/>
      <c r="Q2018" s="70"/>
      <c r="R2018" s="92">
        <v>3</v>
      </c>
      <c r="S2018" s="76"/>
      <c r="T2018" s="76"/>
      <c r="U2018" s="76"/>
      <c r="V2018" s="70"/>
      <c r="W2018" s="92"/>
      <c r="X2018" s="70"/>
      <c r="Y2018" s="92"/>
      <c r="Z2018" s="76"/>
      <c r="AA2018" s="76"/>
      <c r="AB2018" s="76"/>
      <c r="AC2018" s="76"/>
      <c r="AD2018" s="146">
        <v>45870</v>
      </c>
      <c r="AE2018" s="406" t="s">
        <v>10506</v>
      </c>
    </row>
    <row r="2019" spans="1:31" s="218" customFormat="1" ht="27" customHeight="1" x14ac:dyDescent="0.15">
      <c r="A2019" s="76">
        <v>1116517945</v>
      </c>
      <c r="B2019" s="163" t="s">
        <v>11934</v>
      </c>
      <c r="C2019" s="164" t="s">
        <v>10663</v>
      </c>
      <c r="D2019" s="166" t="s">
        <v>8359</v>
      </c>
      <c r="E2019" s="166" t="s">
        <v>10664</v>
      </c>
      <c r="F2019" s="167" t="s">
        <v>10665</v>
      </c>
      <c r="G2019" s="167" t="s">
        <v>10666</v>
      </c>
      <c r="H2019" s="167" t="s">
        <v>10666</v>
      </c>
      <c r="I2019" s="178"/>
      <c r="J2019" s="170"/>
      <c r="K2019" s="170"/>
      <c r="L2019" s="170" t="s">
        <v>765</v>
      </c>
      <c r="M2019" s="170" t="s">
        <v>765</v>
      </c>
      <c r="N2019" s="170" t="s">
        <v>765</v>
      </c>
      <c r="O2019" s="170" t="s">
        <v>765</v>
      </c>
      <c r="P2019" s="76"/>
      <c r="Q2019" s="70"/>
      <c r="R2019" s="92">
        <v>2</v>
      </c>
      <c r="S2019" s="76"/>
      <c r="T2019" s="76"/>
      <c r="U2019" s="76"/>
      <c r="V2019" s="70"/>
      <c r="W2019" s="92"/>
      <c r="X2019" s="70"/>
      <c r="Y2019" s="92"/>
      <c r="Z2019" s="76"/>
      <c r="AA2019" s="76"/>
      <c r="AB2019" s="76"/>
      <c r="AC2019" s="76"/>
      <c r="AD2019" s="146">
        <v>45901</v>
      </c>
      <c r="AE2019" s="166"/>
    </row>
    <row r="2020" spans="1:31" s="218" customFormat="1" ht="27" customHeight="1" x14ac:dyDescent="0.15">
      <c r="A2020" s="76">
        <v>1116518489</v>
      </c>
      <c r="B2020" s="406" t="s">
        <v>11996</v>
      </c>
      <c r="C2020" s="434" t="s">
        <v>10926</v>
      </c>
      <c r="D2020" s="434" t="s">
        <v>8077</v>
      </c>
      <c r="E2020" s="406" t="s">
        <v>10927</v>
      </c>
      <c r="F2020" s="168" t="s">
        <v>5811</v>
      </c>
      <c r="G2020" s="76" t="s">
        <v>10928</v>
      </c>
      <c r="H2020" s="76"/>
      <c r="I2020" s="178"/>
      <c r="J2020" s="170"/>
      <c r="K2020" s="170"/>
      <c r="L2020" s="170"/>
      <c r="M2020" s="170" t="s">
        <v>765</v>
      </c>
      <c r="N2020" s="170" t="s">
        <v>765</v>
      </c>
      <c r="O2020" s="170"/>
      <c r="P2020" s="76"/>
      <c r="Q2020" s="70" t="s">
        <v>765</v>
      </c>
      <c r="R2020" s="92"/>
      <c r="S2020" s="76"/>
      <c r="T2020" s="76"/>
      <c r="U2020" s="76"/>
      <c r="V2020" s="70"/>
      <c r="W2020" s="92"/>
      <c r="X2020" s="70"/>
      <c r="Y2020" s="92"/>
      <c r="Z2020" s="76"/>
      <c r="AA2020" s="76"/>
      <c r="AB2020" s="76"/>
      <c r="AC2020" s="76"/>
      <c r="AD2020" s="146">
        <v>45992</v>
      </c>
      <c r="AE2020" s="166" t="s">
        <v>10929</v>
      </c>
    </row>
    <row r="2021" spans="1:31" s="218" customFormat="1" ht="27" customHeight="1" x14ac:dyDescent="0.15">
      <c r="A2021" s="76">
        <v>1116518711</v>
      </c>
      <c r="B2021" s="406" t="s">
        <v>11935</v>
      </c>
      <c r="C2021" s="515" t="s">
        <v>11086</v>
      </c>
      <c r="D2021" s="434" t="s">
        <v>8077</v>
      </c>
      <c r="E2021" s="406" t="s">
        <v>9330</v>
      </c>
      <c r="F2021" s="168" t="s">
        <v>5849</v>
      </c>
      <c r="G2021" s="76" t="s">
        <v>9331</v>
      </c>
      <c r="H2021" s="76" t="s">
        <v>9331</v>
      </c>
      <c r="I2021" s="178" t="s">
        <v>10982</v>
      </c>
      <c r="J2021" s="170" t="s">
        <v>10982</v>
      </c>
      <c r="K2021" s="170" t="s">
        <v>10982</v>
      </c>
      <c r="L2021" s="170" t="s">
        <v>10982</v>
      </c>
      <c r="M2021" s="170" t="s">
        <v>10982</v>
      </c>
      <c r="N2021" s="514" t="s">
        <v>10982</v>
      </c>
      <c r="O2021" s="514"/>
      <c r="P2021" s="76"/>
      <c r="Q2021" s="70"/>
      <c r="R2021" s="92">
        <v>2</v>
      </c>
      <c r="S2021" s="76"/>
      <c r="T2021" s="76"/>
      <c r="U2021" s="76"/>
      <c r="V2021" s="70"/>
      <c r="W2021" s="92"/>
      <c r="X2021" s="70"/>
      <c r="Y2021" s="92"/>
      <c r="Z2021" s="76"/>
      <c r="AA2021" s="76"/>
      <c r="AB2021" s="76"/>
      <c r="AC2021" s="76"/>
      <c r="AD2021" s="146">
        <v>46054</v>
      </c>
      <c r="AE2021" s="166" t="s">
        <v>11087</v>
      </c>
    </row>
    <row r="2022" spans="1:31" s="218" customFormat="1" ht="27" customHeight="1" x14ac:dyDescent="0.15">
      <c r="A2022" s="76">
        <v>1116518802</v>
      </c>
      <c r="B2022" s="406" t="s">
        <v>11923</v>
      </c>
      <c r="C2022" s="434" t="s">
        <v>11142</v>
      </c>
      <c r="D2022" s="434" t="s">
        <v>8077</v>
      </c>
      <c r="E2022" s="406" t="s">
        <v>11143</v>
      </c>
      <c r="F2022" s="168" t="s">
        <v>7446</v>
      </c>
      <c r="G2022" s="76" t="s">
        <v>11144</v>
      </c>
      <c r="H2022" s="76" t="s">
        <v>11145</v>
      </c>
      <c r="I2022" s="178"/>
      <c r="J2022" s="170"/>
      <c r="K2022" s="170"/>
      <c r="L2022" s="170"/>
      <c r="M2022" s="170" t="s">
        <v>10982</v>
      </c>
      <c r="N2022" s="170" t="s">
        <v>10982</v>
      </c>
      <c r="O2022" s="170"/>
      <c r="P2022" s="76"/>
      <c r="Q2022" s="70" t="s">
        <v>765</v>
      </c>
      <c r="R2022" s="92">
        <v>1</v>
      </c>
      <c r="S2022" s="76"/>
      <c r="T2022" s="76"/>
      <c r="U2022" s="76"/>
      <c r="V2022" s="70"/>
      <c r="W2022" s="92"/>
      <c r="X2022" s="70"/>
      <c r="Y2022" s="92"/>
      <c r="Z2022" s="76"/>
      <c r="AA2022" s="76"/>
      <c r="AB2022" s="76"/>
      <c r="AC2022" s="76"/>
      <c r="AD2022" s="146">
        <v>46082</v>
      </c>
      <c r="AE2022" s="166"/>
    </row>
    <row r="2023" spans="1:31" s="218" customFormat="1" ht="27" customHeight="1" x14ac:dyDescent="0.15">
      <c r="A2023" s="76">
        <v>1116518927</v>
      </c>
      <c r="B2023" s="406" t="s">
        <v>11893</v>
      </c>
      <c r="C2023" s="434" t="s">
        <v>11158</v>
      </c>
      <c r="D2023" s="434" t="s">
        <v>8077</v>
      </c>
      <c r="E2023" s="406" t="s">
        <v>11159</v>
      </c>
      <c r="F2023" s="168" t="s">
        <v>7264</v>
      </c>
      <c r="G2023" s="76" t="s">
        <v>11160</v>
      </c>
      <c r="H2023" s="76" t="s">
        <v>11161</v>
      </c>
      <c r="I2023" s="178" t="s">
        <v>10982</v>
      </c>
      <c r="J2023" s="170" t="s">
        <v>10982</v>
      </c>
      <c r="K2023" s="170" t="s">
        <v>10982</v>
      </c>
      <c r="L2023" s="170" t="s">
        <v>10982</v>
      </c>
      <c r="M2023" s="170" t="s">
        <v>10982</v>
      </c>
      <c r="N2023" s="170" t="s">
        <v>10982</v>
      </c>
      <c r="O2023" s="170" t="s">
        <v>10982</v>
      </c>
      <c r="P2023" s="76"/>
      <c r="Q2023" s="70"/>
      <c r="R2023" s="92">
        <v>1</v>
      </c>
      <c r="S2023" s="76"/>
      <c r="T2023" s="76"/>
      <c r="U2023" s="76"/>
      <c r="V2023" s="70"/>
      <c r="W2023" s="92"/>
      <c r="X2023" s="70"/>
      <c r="Y2023" s="92"/>
      <c r="Z2023" s="76"/>
      <c r="AA2023" s="76"/>
      <c r="AB2023" s="76"/>
      <c r="AC2023" s="76"/>
      <c r="AD2023" s="146">
        <v>46082</v>
      </c>
      <c r="AE2023" s="166" t="s">
        <v>11162</v>
      </c>
    </row>
    <row r="2024" spans="1:31" s="218" customFormat="1" ht="27" customHeight="1" x14ac:dyDescent="0.15">
      <c r="A2024" s="76">
        <v>1116518943</v>
      </c>
      <c r="B2024" s="406" t="s">
        <v>11894</v>
      </c>
      <c r="C2024" s="434" t="s">
        <v>11165</v>
      </c>
      <c r="D2024" s="434" t="s">
        <v>8077</v>
      </c>
      <c r="E2024" s="406" t="s">
        <v>11163</v>
      </c>
      <c r="F2024" s="168" t="s">
        <v>11166</v>
      </c>
      <c r="G2024" s="76" t="s">
        <v>4397</v>
      </c>
      <c r="H2024" s="76" t="s">
        <v>4397</v>
      </c>
      <c r="I2024" s="178"/>
      <c r="J2024" s="170"/>
      <c r="K2024" s="170"/>
      <c r="L2024" s="170"/>
      <c r="M2024" s="170" t="s">
        <v>10982</v>
      </c>
      <c r="N2024" s="170"/>
      <c r="O2024" s="170"/>
      <c r="P2024" s="76"/>
      <c r="Q2024" s="70"/>
      <c r="R2024" s="92">
        <v>2</v>
      </c>
      <c r="S2024" s="76"/>
      <c r="T2024" s="76"/>
      <c r="U2024" s="76"/>
      <c r="V2024" s="70"/>
      <c r="W2024" s="92"/>
      <c r="X2024" s="70"/>
      <c r="Y2024" s="92"/>
      <c r="Z2024" s="76"/>
      <c r="AA2024" s="76"/>
      <c r="AB2024" s="76"/>
      <c r="AC2024" s="76"/>
      <c r="AD2024" s="146">
        <v>46082</v>
      </c>
      <c r="AE2024" s="166" t="s">
        <v>11164</v>
      </c>
    </row>
    <row r="2025" spans="1:31" s="218" customFormat="1" ht="27" customHeight="1" x14ac:dyDescent="0.15">
      <c r="A2025" s="76">
        <v>1116519271</v>
      </c>
      <c r="B2025" s="406" t="s">
        <v>11996</v>
      </c>
      <c r="C2025" s="434" t="s">
        <v>11547</v>
      </c>
      <c r="D2025" s="434" t="s">
        <v>105</v>
      </c>
      <c r="E2025" s="406" t="s">
        <v>11548</v>
      </c>
      <c r="F2025" s="168" t="s">
        <v>11544</v>
      </c>
      <c r="G2025" s="76" t="s">
        <v>10928</v>
      </c>
      <c r="H2025" s="76"/>
      <c r="I2025" s="178"/>
      <c r="J2025" s="170"/>
      <c r="K2025" s="170"/>
      <c r="L2025" s="170"/>
      <c r="M2025" s="170" t="s">
        <v>10982</v>
      </c>
      <c r="N2025" s="170" t="s">
        <v>10982</v>
      </c>
      <c r="O2025" s="170" t="s">
        <v>10982</v>
      </c>
      <c r="P2025" s="76"/>
      <c r="Q2025" s="70" t="s">
        <v>11545</v>
      </c>
      <c r="R2025" s="92"/>
      <c r="S2025" s="76"/>
      <c r="T2025" s="76"/>
      <c r="U2025" s="76"/>
      <c r="V2025" s="70"/>
      <c r="W2025" s="92"/>
      <c r="X2025" s="70"/>
      <c r="Y2025" s="92"/>
      <c r="Z2025" s="76"/>
      <c r="AA2025" s="76"/>
      <c r="AB2025" s="76"/>
      <c r="AC2025" s="76"/>
      <c r="AD2025" s="146">
        <v>46143</v>
      </c>
      <c r="AE2025" s="166" t="s">
        <v>11546</v>
      </c>
    </row>
    <row r="2026" spans="1:31" s="218" customFormat="1" ht="27" customHeight="1" x14ac:dyDescent="0.15">
      <c r="A2026" s="76">
        <v>1116519289</v>
      </c>
      <c r="B2026" s="406" t="s">
        <v>11900</v>
      </c>
      <c r="C2026" s="434" t="s">
        <v>11552</v>
      </c>
      <c r="D2026" s="434" t="s">
        <v>105</v>
      </c>
      <c r="E2026" s="406" t="s">
        <v>11553</v>
      </c>
      <c r="F2026" s="168" t="s">
        <v>11549</v>
      </c>
      <c r="G2026" s="76" t="s">
        <v>11550</v>
      </c>
      <c r="H2026" s="76" t="s">
        <v>11551</v>
      </c>
      <c r="I2026" s="178"/>
      <c r="J2026" s="170"/>
      <c r="K2026" s="170"/>
      <c r="L2026" s="170"/>
      <c r="M2026" s="170" t="s">
        <v>10982</v>
      </c>
      <c r="N2026" s="170"/>
      <c r="O2026" s="170"/>
      <c r="P2026" s="76"/>
      <c r="Q2026" s="70" t="s">
        <v>11545</v>
      </c>
      <c r="R2026" s="92">
        <v>1</v>
      </c>
      <c r="S2026" s="76"/>
      <c r="T2026" s="76"/>
      <c r="U2026" s="76"/>
      <c r="V2026" s="70"/>
      <c r="W2026" s="92"/>
      <c r="X2026" s="70"/>
      <c r="Y2026" s="92"/>
      <c r="Z2026" s="76"/>
      <c r="AA2026" s="76"/>
      <c r="AB2026" s="76"/>
      <c r="AC2026" s="76"/>
      <c r="AD2026" s="146">
        <v>46143</v>
      </c>
      <c r="AE2026" s="522" t="s">
        <v>12189</v>
      </c>
    </row>
    <row r="2027" spans="1:31" s="218" customFormat="1" ht="27" customHeight="1" x14ac:dyDescent="0.15">
      <c r="A2027" s="76">
        <v>1116519446</v>
      </c>
      <c r="B2027" s="406" t="s">
        <v>11749</v>
      </c>
      <c r="C2027" s="434" t="s">
        <v>11587</v>
      </c>
      <c r="D2027" s="434" t="s">
        <v>8077</v>
      </c>
      <c r="E2027" s="406" t="s">
        <v>11562</v>
      </c>
      <c r="F2027" s="168" t="s">
        <v>5849</v>
      </c>
      <c r="G2027" s="76" t="s">
        <v>11563</v>
      </c>
      <c r="H2027" s="76" t="s">
        <v>11564</v>
      </c>
      <c r="I2027" s="178"/>
      <c r="J2027" s="170"/>
      <c r="K2027" s="170"/>
      <c r="L2027" s="170"/>
      <c r="M2027" s="170" t="s">
        <v>10982</v>
      </c>
      <c r="N2027" s="170" t="s">
        <v>10982</v>
      </c>
      <c r="O2027" s="170"/>
      <c r="P2027" s="76"/>
      <c r="Q2027" s="70" t="s">
        <v>10982</v>
      </c>
      <c r="R2027" s="92"/>
      <c r="S2027" s="76"/>
      <c r="T2027" s="76"/>
      <c r="U2027" s="76"/>
      <c r="V2027" s="70"/>
      <c r="W2027" s="92"/>
      <c r="X2027" s="70"/>
      <c r="Y2027" s="92"/>
      <c r="Z2027" s="76"/>
      <c r="AA2027" s="76"/>
      <c r="AB2027" s="76"/>
      <c r="AC2027" s="76"/>
      <c r="AD2027" s="146">
        <v>46143</v>
      </c>
      <c r="AE2027" s="166" t="s">
        <v>11565</v>
      </c>
    </row>
    <row r="2028" spans="1:31" ht="27" customHeight="1" x14ac:dyDescent="0.15">
      <c r="A2028" s="76">
        <v>1116519487</v>
      </c>
      <c r="B2028" s="406" t="s">
        <v>12032</v>
      </c>
      <c r="C2028" s="434" t="s">
        <v>11588</v>
      </c>
      <c r="D2028" s="434" t="s">
        <v>8077</v>
      </c>
      <c r="E2028" s="406" t="s">
        <v>11589</v>
      </c>
      <c r="F2028" s="168" t="s">
        <v>11569</v>
      </c>
      <c r="G2028" s="76" t="s">
        <v>11570</v>
      </c>
      <c r="H2028" s="76" t="s">
        <v>11570</v>
      </c>
      <c r="I2028" s="178"/>
      <c r="J2028" s="170"/>
      <c r="K2028" s="170"/>
      <c r="L2028" s="170"/>
      <c r="M2028" s="170" t="s">
        <v>10982</v>
      </c>
      <c r="N2028" s="170" t="s">
        <v>10982</v>
      </c>
      <c r="O2028" s="170"/>
      <c r="P2028" s="76"/>
      <c r="Q2028" s="70"/>
      <c r="R2028" s="92">
        <v>2</v>
      </c>
      <c r="S2028" s="76"/>
      <c r="T2028" s="76"/>
      <c r="U2028" s="76"/>
      <c r="V2028" s="70"/>
      <c r="W2028" s="92"/>
      <c r="X2028" s="70"/>
      <c r="Y2028" s="92"/>
      <c r="Z2028" s="76"/>
      <c r="AA2028" s="76"/>
      <c r="AB2028" s="76"/>
      <c r="AC2028" s="76"/>
      <c r="AD2028" s="146">
        <v>46143</v>
      </c>
      <c r="AE2028" s="166" t="s">
        <v>11571</v>
      </c>
    </row>
    <row r="2029" spans="1:31" ht="26.25" customHeight="1" x14ac:dyDescent="0.15">
      <c r="A2029" s="105">
        <v>1116600097</v>
      </c>
      <c r="B2029" s="130" t="s">
        <v>9020</v>
      </c>
      <c r="C2029" s="130" t="s">
        <v>8602</v>
      </c>
      <c r="D2029" s="108" t="s">
        <v>6300</v>
      </c>
      <c r="E2029" s="281" t="s">
        <v>9021</v>
      </c>
      <c r="F2029" s="132" t="s">
        <v>8603</v>
      </c>
      <c r="G2029" s="139" t="s">
        <v>9022</v>
      </c>
      <c r="H2029" s="139" t="s">
        <v>9023</v>
      </c>
      <c r="I2029" s="141" t="s">
        <v>391</v>
      </c>
      <c r="J2029" s="142" t="s">
        <v>392</v>
      </c>
      <c r="K2029" s="142" t="s">
        <v>393</v>
      </c>
      <c r="L2029" s="142" t="s">
        <v>394</v>
      </c>
      <c r="M2029" s="142" t="s">
        <v>395</v>
      </c>
      <c r="N2029" s="177" t="s">
        <v>396</v>
      </c>
      <c r="O2029" s="177"/>
      <c r="P2029" s="105"/>
      <c r="Q2029" s="137" t="s">
        <v>765</v>
      </c>
      <c r="R2029" s="138"/>
      <c r="S2029" s="105"/>
      <c r="T2029" s="105"/>
      <c r="U2029" s="105"/>
      <c r="V2029" s="137"/>
      <c r="W2029" s="138"/>
      <c r="X2029" s="137"/>
      <c r="Y2029" s="138"/>
      <c r="Z2029" s="105"/>
      <c r="AA2029" s="105"/>
      <c r="AB2029" s="105"/>
      <c r="AC2029" s="105"/>
      <c r="AD2029" s="155">
        <v>44105</v>
      </c>
      <c r="AE2029" s="108" t="s">
        <v>9024</v>
      </c>
    </row>
    <row r="2030" spans="1:31" ht="27" customHeight="1" x14ac:dyDescent="0.15">
      <c r="A2030" s="132">
        <v>1116600147</v>
      </c>
      <c r="B2030" s="130" t="s">
        <v>9941</v>
      </c>
      <c r="C2030" s="108" t="s">
        <v>9943</v>
      </c>
      <c r="D2030" s="108" t="s">
        <v>6300</v>
      </c>
      <c r="E2030" s="108" t="s">
        <v>8396</v>
      </c>
      <c r="F2030" s="264" t="s">
        <v>2068</v>
      </c>
      <c r="G2030" s="137" t="s">
        <v>8397</v>
      </c>
      <c r="H2030" s="137" t="s">
        <v>8398</v>
      </c>
      <c r="I2030" s="141" t="s">
        <v>391</v>
      </c>
      <c r="J2030" s="142" t="s">
        <v>392</v>
      </c>
      <c r="K2030" s="142" t="s">
        <v>393</v>
      </c>
      <c r="L2030" s="142" t="s">
        <v>394</v>
      </c>
      <c r="M2030" s="142" t="s">
        <v>395</v>
      </c>
      <c r="N2030" s="143" t="s">
        <v>396</v>
      </c>
      <c r="O2030" s="138" t="s">
        <v>2178</v>
      </c>
      <c r="P2030" s="105"/>
      <c r="Q2030" s="137"/>
      <c r="R2030" s="138">
        <v>1</v>
      </c>
      <c r="S2030" s="105"/>
      <c r="T2030" s="105"/>
      <c r="U2030" s="105"/>
      <c r="V2030" s="137"/>
      <c r="W2030" s="138"/>
      <c r="X2030" s="137"/>
      <c r="Y2030" s="138"/>
      <c r="Z2030" s="105"/>
      <c r="AA2030" s="105"/>
      <c r="AB2030" s="105"/>
      <c r="AC2030" s="105"/>
      <c r="AD2030" s="118">
        <v>45717</v>
      </c>
      <c r="AE2030" s="108" t="s">
        <v>9944</v>
      </c>
    </row>
    <row r="2031" spans="1:31" ht="30.6" customHeight="1" x14ac:dyDescent="0.15">
      <c r="A2031" s="698" t="s">
        <v>12369</v>
      </c>
      <c r="B2031" s="698"/>
      <c r="C2031" s="698"/>
      <c r="D2031" s="698"/>
      <c r="E2031" s="698"/>
      <c r="F2031" s="698"/>
      <c r="G2031" s="698"/>
      <c r="H2031" s="698"/>
      <c r="I2031" s="266"/>
      <c r="J2031" s="266"/>
      <c r="K2031" s="266"/>
      <c r="L2031" s="266"/>
      <c r="M2031" s="266"/>
      <c r="N2031" s="266"/>
      <c r="O2031" s="266"/>
      <c r="P2031" s="266"/>
      <c r="Q2031" s="266"/>
      <c r="R2031" s="266"/>
      <c r="S2031" s="266"/>
      <c r="T2031" s="266"/>
      <c r="U2031" s="266"/>
      <c r="V2031" s="266"/>
      <c r="W2031" s="266"/>
      <c r="X2031" s="266"/>
      <c r="Y2031" s="266"/>
      <c r="Z2031" s="266"/>
      <c r="AA2031" s="266"/>
      <c r="AB2031" s="266"/>
      <c r="AC2031" s="266"/>
      <c r="AD2031" s="266"/>
      <c r="AE2031" s="198"/>
    </row>
    <row r="2032" spans="1:31" ht="14.25" customHeight="1" x14ac:dyDescent="0.15">
      <c r="E2032" s="69"/>
      <c r="L2032" s="516"/>
      <c r="M2032" s="516"/>
      <c r="N2032" s="516"/>
      <c r="O2032" s="516"/>
      <c r="P2032" s="516"/>
      <c r="Q2032" s="516"/>
      <c r="R2032" s="516"/>
      <c r="S2032" s="516"/>
      <c r="T2032" s="516"/>
      <c r="U2032" s="516"/>
      <c r="V2032" s="516"/>
      <c r="W2032" s="516"/>
      <c r="X2032" s="516"/>
      <c r="Y2032" s="516"/>
      <c r="Z2032" s="516"/>
      <c r="AD2032" s="517"/>
    </row>
    <row r="2033" spans="4:30" ht="0" hidden="1" customHeight="1" x14ac:dyDescent="0.15">
      <c r="E2033" s="69"/>
      <c r="L2033" s="516"/>
      <c r="M2033" s="516"/>
      <c r="N2033" s="516"/>
      <c r="O2033" s="516"/>
      <c r="P2033" s="516"/>
      <c r="Q2033" s="516"/>
      <c r="R2033" s="516"/>
      <c r="S2033" s="516"/>
      <c r="T2033" s="516"/>
      <c r="U2033" s="516"/>
      <c r="V2033" s="516"/>
      <c r="W2033" s="516"/>
      <c r="X2033" s="516"/>
      <c r="Y2033" s="516"/>
      <c r="Z2033" s="516"/>
      <c r="AD2033" s="517"/>
    </row>
    <row r="2034" spans="4:30" ht="0" hidden="1" customHeight="1" x14ac:dyDescent="0.15">
      <c r="E2034" s="69"/>
      <c r="L2034" s="516"/>
      <c r="M2034" s="516"/>
      <c r="N2034" s="516"/>
      <c r="O2034" s="516"/>
      <c r="P2034" s="516"/>
      <c r="Q2034" s="516"/>
      <c r="R2034" s="516"/>
      <c r="S2034" s="516"/>
      <c r="T2034" s="516"/>
      <c r="U2034" s="516"/>
      <c r="V2034" s="516"/>
      <c r="W2034" s="516"/>
      <c r="X2034" s="516"/>
      <c r="Y2034" s="516"/>
      <c r="Z2034" s="516"/>
      <c r="AD2034" s="517"/>
    </row>
    <row r="2035" spans="4:30" ht="0" hidden="1" customHeight="1" x14ac:dyDescent="0.15">
      <c r="E2035" s="69"/>
      <c r="L2035" s="516"/>
      <c r="M2035" s="516"/>
      <c r="N2035" s="516"/>
      <c r="O2035" s="516"/>
      <c r="P2035" s="516"/>
      <c r="Q2035" s="516"/>
      <c r="R2035" s="516"/>
      <c r="S2035" s="516"/>
      <c r="T2035" s="516"/>
      <c r="U2035" s="516"/>
      <c r="V2035" s="516"/>
      <c r="W2035" s="516"/>
      <c r="X2035" s="516"/>
      <c r="Y2035" s="516"/>
      <c r="Z2035" s="516"/>
      <c r="AD2035" s="517"/>
    </row>
    <row r="2036" spans="4:30" ht="0" hidden="1" customHeight="1" x14ac:dyDescent="0.15">
      <c r="E2036" s="69"/>
      <c r="L2036" s="516"/>
      <c r="M2036" s="516"/>
      <c r="N2036" s="516"/>
      <c r="O2036" s="516"/>
      <c r="P2036" s="516"/>
      <c r="Q2036" s="516"/>
      <c r="R2036" s="516"/>
      <c r="S2036" s="516"/>
      <c r="T2036" s="516"/>
      <c r="U2036" s="516"/>
      <c r="V2036" s="516"/>
      <c r="W2036" s="516"/>
      <c r="X2036" s="67"/>
      <c r="Y2036" s="67"/>
      <c r="Z2036" s="516"/>
      <c r="AA2036" s="67"/>
      <c r="AB2036" s="67"/>
      <c r="AC2036" s="67"/>
      <c r="AD2036" s="67"/>
    </row>
    <row r="2047" spans="4:30" ht="0" hidden="1" customHeight="1" x14ac:dyDescent="0.15">
      <c r="D2047" s="67"/>
      <c r="F2047" s="67"/>
      <c r="I2047" s="67"/>
      <c r="J2047" s="67"/>
      <c r="K2047" s="67"/>
      <c r="L2047" s="67"/>
      <c r="M2047" s="67"/>
      <c r="N2047" s="67"/>
      <c r="O2047" s="67"/>
      <c r="P2047" s="67"/>
      <c r="Q2047" s="67"/>
      <c r="R2047" s="67"/>
      <c r="S2047" s="67"/>
      <c r="T2047" s="67"/>
      <c r="U2047" s="67"/>
      <c r="V2047" s="67"/>
      <c r="W2047" s="67"/>
      <c r="X2047" s="67"/>
      <c r="Y2047" s="67"/>
      <c r="Z2047" s="67"/>
      <c r="AA2047" s="67"/>
      <c r="AB2047" s="67"/>
      <c r="AC2047" s="67"/>
      <c r="AD2047" s="67"/>
    </row>
    <row r="2048" spans="4:30" ht="0" hidden="1" customHeight="1" x14ac:dyDescent="0.15">
      <c r="D2048" s="67"/>
      <c r="F2048" s="67"/>
      <c r="I2048" s="67"/>
      <c r="J2048" s="67"/>
      <c r="K2048" s="67"/>
      <c r="L2048" s="67"/>
      <c r="M2048" s="67"/>
      <c r="N2048" s="67"/>
      <c r="O2048" s="67"/>
      <c r="P2048" s="67"/>
      <c r="Q2048" s="67"/>
      <c r="R2048" s="67"/>
      <c r="S2048" s="67"/>
      <c r="T2048" s="67"/>
      <c r="U2048" s="67"/>
      <c r="V2048" s="67"/>
      <c r="W2048" s="67"/>
      <c r="X2048" s="67"/>
      <c r="Y2048" s="67"/>
      <c r="Z2048" s="67"/>
      <c r="AA2048" s="67"/>
      <c r="AB2048" s="67"/>
      <c r="AC2048" s="67"/>
      <c r="AD2048" s="67"/>
    </row>
    <row r="2049" spans="4:30" ht="0" hidden="1" customHeight="1" x14ac:dyDescent="0.15">
      <c r="D2049" s="67"/>
      <c r="F2049" s="67"/>
      <c r="I2049" s="67"/>
      <c r="J2049" s="67"/>
      <c r="K2049" s="67"/>
      <c r="L2049" s="67"/>
      <c r="M2049" s="67"/>
      <c r="N2049" s="67"/>
      <c r="O2049" s="67"/>
      <c r="P2049" s="67"/>
      <c r="Q2049" s="67"/>
      <c r="R2049" s="67"/>
      <c r="S2049" s="67"/>
      <c r="T2049" s="67"/>
      <c r="U2049" s="67"/>
      <c r="V2049" s="67"/>
      <c r="W2049" s="67"/>
      <c r="X2049" s="67"/>
      <c r="Y2049" s="67"/>
      <c r="Z2049" s="67"/>
      <c r="AA2049" s="67"/>
      <c r="AB2049" s="67"/>
      <c r="AC2049" s="67"/>
      <c r="AD2049" s="67"/>
    </row>
    <row r="2050" spans="4:30" ht="0" hidden="1" customHeight="1" x14ac:dyDescent="0.15">
      <c r="D2050" s="67"/>
      <c r="F2050" s="67"/>
      <c r="I2050" s="67"/>
      <c r="J2050" s="67"/>
      <c r="K2050" s="67"/>
      <c r="L2050" s="67"/>
      <c r="M2050" s="67"/>
      <c r="N2050" s="67"/>
      <c r="O2050" s="67"/>
      <c r="P2050" s="67"/>
      <c r="Q2050" s="67"/>
      <c r="R2050" s="67"/>
      <c r="S2050" s="67"/>
      <c r="T2050" s="67"/>
      <c r="U2050" s="67"/>
      <c r="V2050" s="67"/>
      <c r="W2050" s="67"/>
      <c r="X2050" s="67"/>
      <c r="Y2050" s="67"/>
      <c r="Z2050" s="67"/>
      <c r="AA2050" s="67"/>
      <c r="AB2050" s="67"/>
      <c r="AC2050" s="67"/>
      <c r="AD2050" s="67"/>
    </row>
    <row r="2051" spans="4:30" ht="0" hidden="1" customHeight="1" x14ac:dyDescent="0.15"/>
    <row r="2052" spans="4:30" ht="0" hidden="1" customHeight="1" x14ac:dyDescent="0.15"/>
    <row r="2053" spans="4:30" ht="0" hidden="1" customHeight="1" x14ac:dyDescent="0.15"/>
    <row r="2054" spans="4:30" ht="0" hidden="1" customHeight="1" x14ac:dyDescent="0.15"/>
    <row r="2055" spans="4:30" ht="0" hidden="1" customHeight="1" x14ac:dyDescent="0.15"/>
    <row r="2056" spans="4:30" ht="0" hidden="1" customHeight="1" x14ac:dyDescent="0.15"/>
    <row r="2057" spans="4:30" ht="0" hidden="1" customHeight="1" x14ac:dyDescent="0.15"/>
    <row r="2058" spans="4:30" ht="0" hidden="1" customHeight="1" x14ac:dyDescent="0.15"/>
  </sheetData>
  <autoFilter ref="A3:AE2032" xr:uid="{00000000-0009-0000-0000-000000000000}"/>
  <mergeCells count="11">
    <mergeCell ref="P1:P2"/>
    <mergeCell ref="Q1:R1"/>
    <mergeCell ref="I1:N1"/>
    <mergeCell ref="Z1:AA1"/>
    <mergeCell ref="S1:S2"/>
    <mergeCell ref="T1:T2"/>
    <mergeCell ref="U1:W1"/>
    <mergeCell ref="AD1:AD2"/>
    <mergeCell ref="X1:Y1"/>
    <mergeCell ref="AB1:AB2"/>
    <mergeCell ref="AC1:AC2"/>
  </mergeCells>
  <phoneticPr fontId="2"/>
  <dataValidations count="5">
    <dataValidation imeMode="on" allowBlank="1" showInputMessage="1" showErrorMessage="1" sqref="B1477:C1477 B1467:C1469 A1630 HA1628 QW1628 AAS1628 AKO1628 AUK1628 BEG1628 BOC1628 BXY1628 CHU1628 CRQ1628 DBM1628 DLI1628 DVE1628 EFA1628 EOW1628 EYS1628 FIO1628 FSK1628 GCG1628 GMC1628 GVY1628 HFU1628 HPQ1628 HZM1628 IJI1628 ITE1628 JDA1628 JMW1628 JWS1628 KGO1628 KQK1628 LAG1628 LKC1628 LTY1628 MDU1628 MNQ1628 MXM1628 NHI1628 NRE1628 OBA1628 OKW1628 OUS1628 PEO1628 POK1628 PYG1628 QIC1628 QRY1628 RBU1628 RLQ1628 RVM1628 SFI1628 SPE1628 SZA1628 TIW1628 TSS1628 UCO1628 UMK1628 UWG1628 VGC1628 VPY1628 VZU1628 WJQ1628 WTM1628 A1628 HA1626 QW1626 AAS1626 AKO1626 AUK1626 BEG1626 BOC1626 BXY1626 CHU1626 CRQ1626 DBM1626 DLI1626 DVE1626 EFA1626 EOW1626 EYS1626 FIO1626 FSK1626 GCG1626 GMC1626 GVY1626 HFU1626 HPQ1626 HZM1626 IJI1626 ITE1626 JDA1626 JMW1626 JWS1626 KGO1626 KQK1626 LAG1626 LKC1626 LTY1626 MDU1626 MNQ1626 MXM1626 NHI1626 NRE1626 OBA1626 OKW1626 OUS1626 PEO1626 POK1626 PYG1626 QIC1626 QRY1626 RBU1626 RLQ1626 RVM1626 SFI1626 SPE1626 SZA1626 TIW1626 TSS1626 UCO1626 UMK1626 UWG1626 VGC1626 VPY1626 VZU1626 WJQ1626 WTM1626 E1630 HE1628 RA1628 AAW1628 AKS1628 AUO1628 BEK1628 BOG1628 BYC1628 CHY1628 CRU1628 DBQ1628 DLM1628 DVI1628 EFE1628 EPA1628 EYW1628 FIS1628 FSO1628 GCK1628 GMG1628 GWC1628 HFY1628 HPU1628 HZQ1628 IJM1628 ITI1628 JDE1628 JNA1628 JWW1628 KGS1628 KQO1628 LAK1628 LKG1628 LUC1628 MDY1628 MNU1628 MXQ1628 NHM1628 NRI1628 OBE1628 OLA1628 OUW1628 PES1628 POO1628 PYK1628 QIG1628 QSC1628 RBY1628 RLU1628 RVQ1628 SFM1628 SPI1628 SZE1628 TJA1628 TSW1628 UCS1628 UMO1628 UWK1628 VGG1628 VQC1628 VZY1628 WJU1628 WTQ1628 E1628 HE1626 RA1626 AAW1626 AKS1626 AUO1626 BEK1626 BOG1626 BYC1626 CHY1626 CRU1626 DBQ1626 DLM1626 DVI1626 EFE1626 EPA1626 EYW1626 FIS1626 FSO1626 GCK1626 GMG1626 GWC1626 HFY1626 HPU1626 HZQ1626 IJM1626 ITI1626 JDE1626 JNA1626 JWW1626 KGS1626 KQO1626 LAK1626 LKG1626 LUC1626 MDY1626 MNU1626 MXQ1626 NHM1626 NRI1626 OBE1626 OLA1626 OUW1626 PES1626 POO1626 PYK1626 QIG1626 QSC1626 RBY1626 RLU1626 RVQ1626 SFM1626 SPI1626 SZE1626 TJA1626 TSW1626 UCS1626 UMO1626 UWK1626 VGG1626 VQC1626 VZY1626 WJU1626 WTQ1626 AE1632 ID1630 RZ1630 ABV1630 ALR1630 AVN1630 BFJ1630 BPF1630 BZB1630 CIX1630 CST1630 DCP1630 DML1630 DWH1630 EGD1630 EPZ1630 EZV1630 FJR1630 FTN1630 GDJ1630 GNF1630 GXB1630 HGX1630 HQT1630 IAP1630 IKL1630 IUH1630 JED1630 JNZ1630 JXV1630 KHR1630 KRN1630 LBJ1630 LLF1630 LVB1630 MEX1630 MOT1630 MYP1630 NIL1630 NSH1630 OCD1630 OLZ1630 OVV1630 PFR1630 PPN1630 PZJ1630 QJF1630 QTB1630 RCX1630 RMT1630 RWP1630 SGL1630 SQH1630 TAD1630 TJZ1630 TTV1630 UDR1630 UNN1630 UXJ1630 VHF1630 VRB1630 WAX1630 WKT1630 WUP1630 B1628:C1630 HB1626:HC1628 QX1626:QY1628 AAT1626:AAU1628 AKP1626:AKQ1628 AUL1626:AUM1628 BEH1626:BEI1628 BOD1626:BOE1628 BXZ1626:BYA1628 CHV1626:CHW1628 CRR1626:CRS1628 DBN1626:DBO1628 DLJ1626:DLK1628 DVF1626:DVG1628 EFB1626:EFC1628 EOX1626:EOY1628 EYT1626:EYU1628 FIP1626:FIQ1628 FSL1626:FSM1628 GCH1626:GCI1628 GMD1626:GME1628 GVZ1626:GWA1628 HFV1626:HFW1628 HPR1626:HPS1628 HZN1626:HZO1628 IJJ1626:IJK1628 ITF1626:ITG1628 JDB1626:JDC1628 JMX1626:JMY1628 JWT1626:JWU1628 KGP1626:KGQ1628 KQL1626:KQM1628 LAH1626:LAI1628 LKD1626:LKE1628 LTZ1626:LUA1628 MDV1626:MDW1628 MNR1626:MNS1628 MXN1626:MXO1628 NHJ1626:NHK1628 NRF1626:NRG1628 OBB1626:OBC1628 OKX1626:OKY1628 OUT1626:OUU1628 PEP1626:PEQ1628 POL1626:POM1628 PYH1626:PYI1628 QID1626:QIE1628 QRZ1626:QSA1628 RBV1626:RBW1628 RLR1626:RLS1628 RVN1626:RVO1628 SFJ1626:SFK1628 SPF1626:SPG1628 SZB1626:SZC1628 TIX1626:TIY1628 TST1626:TSU1628 UCP1626:UCQ1628 UML1626:UMM1628 UWH1626:UWI1628 VGD1626:VGE1628 VPZ1626:VQA1628 VZV1626:VZW1628 WJR1626:WJS1628 WTN1626:WTO1628 B1632:C1632 HB1630:HC1630 QX1630:QY1630 AAT1630:AAU1630 AKP1630:AKQ1630 AUL1630:AUM1630 BEH1630:BEI1630 BOD1630:BOE1630 BXZ1630:BYA1630 CHV1630:CHW1630 CRR1630:CRS1630 DBN1630:DBO1630 DLJ1630:DLK1630 DVF1630:DVG1630 EFB1630:EFC1630 EOX1630:EOY1630 EYT1630:EYU1630 FIP1630:FIQ1630 FSL1630:FSM1630 GCH1630:GCI1630 GMD1630:GME1630 GVZ1630:GWA1630 HFV1630:HFW1630 HPR1630:HPS1630 HZN1630:HZO1630 IJJ1630:IJK1630 ITF1630:ITG1630 JDB1630:JDC1630 JMX1630:JMY1630 JWT1630:JWU1630 KGP1630:KGQ1630 KQL1630:KQM1630 LAH1630:LAI1630 LKD1630:LKE1630 LTZ1630:LUA1630 MDV1630:MDW1630 MNR1630:MNS1630 MXN1630:MXO1630 NHJ1630:NHK1630 NRF1630:NRG1630 OBB1630:OBC1630 OKX1630:OKY1630 OUT1630:OUU1630 PEP1630:PEQ1630 POL1630:POM1630 PYH1630:PYI1630 QID1630:QIE1630 QRZ1630:QSA1630 RBV1630:RBW1630 RLR1630:RLS1630 RVN1630:RVO1630 SFJ1630:SFK1630 SPF1630:SPG1630 SZB1630:SZC1630 TIX1630:TIY1630 TST1630:TSU1630 UCP1630:UCQ1630 UML1630:UMM1630 UWH1630:UWI1630 VGD1630:VGE1630 VPZ1630:VQA1630 VZV1630:VZW1630 WJR1630:WJS1630 WTN1630:WTO1630 E1637:E1638 A1635 E1635 A1637:C1638 HB1637 QX1637 AAT1637 AKP1637 AUL1637 BEH1637 BOD1637 BXZ1637 CHV1637 CRR1637 DBN1637 DLJ1637 DVF1637 EFB1637 EOX1637 EYT1637 FIP1637 FSL1637 GCH1637 GMD1637 GVZ1637 HFV1637 HPR1637 HZN1637 IJJ1637 ITF1637 JDB1637 JMX1637 JWT1637 KGP1637 KQL1637 LAH1637 LKD1637 LTZ1637 MDV1637 MNR1637 MXN1637 NHJ1637 NRF1637 OBB1637 OKX1637 OUT1637 PEP1637 POL1637 PYH1637 QID1637 QRZ1637 RBV1637 RLR1637 RVN1637 SFJ1637 SPF1637 SZB1637 TIX1637 TST1637 UCP1637 UML1637 UWH1637 VGD1637 VPZ1637 VZV1637 WJR1637 WTN1637 B1639 ID1638 RZ1638 ABV1638 ALR1638 AVN1638 BFJ1638 BPF1638 BZB1638 CIX1638 CST1638 DCP1638 DML1638 DWH1638 EGD1638 EPZ1638 EZV1638 FJR1638 FTN1638 GDJ1638 GNF1638 GXB1638 HGX1638 HQT1638 IAP1638 IKL1638 IUH1638 JED1638 JNZ1638 JXV1638 KHR1638 KRN1638 LBJ1638 LLF1638 LVB1638 MEX1638 MOT1638 MYP1638 NIL1638 NSH1638 OCD1638 OLZ1638 OVV1638 PFR1638 PPN1638 PZJ1638 QJF1638 QTB1638 RCX1638 RMT1638 RWP1638 SGL1638 SQH1638 TAD1638 TJZ1638 TTV1638 UDR1638 UNN1638 UXJ1638 VHF1638 VRB1638 WAX1638 WKT1638 WUP1638 AE1640 HA1639 QW1639 AAS1639 AKO1639 AUK1639 BEG1639 BOC1639 BXY1639 CHU1639 CRQ1639 DBM1639 DLI1639 DVE1639 EFA1639 EOW1639 EYS1639 FIO1639 FSK1639 GCG1639 GMC1639 GVY1639 HFU1639 HPQ1639 HZM1639 IJI1639 ITE1639 JDA1639 JMW1639 JWS1639 KGO1639 KQK1639 LAG1639 LKC1639 LTY1639 MDU1639 MNQ1639 MXM1639 NHI1639 NRE1639 OBA1639 OKW1639 OUS1639 PEO1639 POK1639 PYG1639 QIC1639 QRY1639 RBU1639 RLQ1639 RVM1639 SFI1639 SPE1639 SZA1639 TIW1639 TSS1639 UCO1639 UMK1639 UWG1639 VGC1639 VPY1639 VZU1639 WJQ1639 WTM1639 E1641:E1642 HE1639:HE1640 RA1639:RA1640 AAW1639:AAW1640 AKS1639:AKS1640 AUO1639:AUO1640 BEK1639:BEK1640 BOG1639:BOG1640 BYC1639:BYC1640 CHY1639:CHY1640 CRU1639:CRU1640 DBQ1639:DBQ1640 DLM1639:DLM1640 DVI1639:DVI1640 EFE1639:EFE1640 EPA1639:EPA1640 EYW1639:EYW1640 FIS1639:FIS1640 FSO1639:FSO1640 GCK1639:GCK1640 GMG1639:GMG1640 GWC1639:GWC1640 HFY1639:HFY1640 HPU1639:HPU1640 HZQ1639:HZQ1640 IJM1639:IJM1640 ITI1639:ITI1640 JDE1639:JDE1640 JNA1639:JNA1640 JWW1639:JWW1640 KGS1639:KGS1640 KQO1639:KQO1640 LAK1639:LAK1640 LKG1639:LKG1640 LUC1639:LUC1640 MDY1639:MDY1640 MNU1639:MNU1640 MXQ1639:MXQ1640 NHM1639:NHM1640 NRI1639:NRI1640 OBE1639:OBE1640 OLA1639:OLA1640 OUW1639:OUW1640 PES1639:PES1640 POO1639:POO1640 PYK1639:PYK1640 QIG1639:QIG1640 QSC1639:QSC1640 RBY1639:RBY1640 RLU1639:RLU1640 RVQ1639:RVQ1640 SFM1639:SFM1640 SPI1639:SPI1640 SZE1639:SZE1640 TJA1639:TJA1640 TSW1639:TSW1640 UCS1639:UCS1640 UMO1639:UMO1640 UWK1639:UWK1640 VGG1639:VGG1640 VQC1639:VQC1640 VZY1639:VZY1640 WJU1639:WJU1640 WTQ1639:WTQ1640 A1641 A1642:C1642 HA1640:HC1640 QW1640:QY1640 AAS1640:AAU1640 AKO1640:AKQ1640 AUK1640:AUM1640 BEG1640:BEI1640 BOC1640:BOE1640 BXY1640:BYA1640 CHU1640:CHW1640 CRQ1640:CRS1640 DBM1640:DBO1640 DLI1640:DLK1640 DVE1640:DVG1640 EFA1640:EFC1640 EOW1640:EOY1640 EYS1640:EYU1640 FIO1640:FIQ1640 FSK1640:FSM1640 GCG1640:GCI1640 GMC1640:GME1640 GVY1640:GWA1640 HFU1640:HFW1640 HPQ1640:HPS1640 HZM1640:HZO1640 IJI1640:IJK1640 ITE1640:ITG1640 JDA1640:JDC1640 JMW1640:JMY1640 JWS1640:JWU1640 KGO1640:KGQ1640 KQK1640:KQM1640 LAG1640:LAI1640 LKC1640:LKE1640 LTY1640:LUA1640 MDU1640:MDW1640 MNQ1640:MNS1640 MXM1640:MXO1640 NHI1640:NHK1640 NRE1640:NRG1640 OBA1640:OBC1640 OKW1640:OKY1640 OUS1640:OUU1640 PEO1640:PEQ1640 POK1640:POM1640 PYG1640:PYI1640 QIC1640:QIE1640 QRY1640:QSA1640 RBU1640:RBW1640 RLQ1640:RLS1640 RVM1640:RVO1640 SFI1640:SFK1640 SPE1640:SPG1640 SZA1640:SZC1640 TIW1640:TIY1640 TSS1640:TSU1640 UCO1640:UCQ1640 UMK1640:UMM1640 UWG1640:UWI1640 VGC1640:VGE1640 VPY1640:VQA1640 VZU1640:VZW1640 WJQ1640:WJS1640 WTM1640:WTO1640" xr:uid="{00000000-0002-0000-0000-000000000000}"/>
    <dataValidation allowBlank="1" showInputMessage="1" showErrorMessage="1" sqref="B1481 F1478:H1478 WTN1861:WTO1863 B1986:C1986 B1442:C1442 B1523:C1524 B1504 E1502:H1502 B852:C852 WJT1605:WJU1605 B1502 E1504:H1504 F1503 C1498 C1502:C1505 B1429:C1429 A1539:A1540 B1418:C1418 B1455:C1455 C1465 A1465 E1465:H1466 A1466:C1466 E1498:H1498 F1505 A1502:A1505 B1513:C1513 B1511:C1511 F1991:F1992 C1991:C1992 C1402 G1991:H1991 E1993 B1991 WJS1582 A1402 F1402 C1379 A1379 F1379 B1993:C1993 WTO1880:WTO1881 G1522:H1522 WTN1932:WTO1933 A1498 B1896 E1522 B1522 E1991 B1527:C1527 G1526:H1526 E1526 B1899:C1899 C1829 C1539:C1540 F1540 C1580:C1582 E1583:F1583 B1806:C1806 C1431 C1956:C1957 A1991:A1992 E1518:H1519 A1518:C1519 WTO1582 F1574:H1574 A1574 C1574 B1575:C1576 C1577 F1577 A1577 F1578:H1578 F1580:H1582 A1580:A1582 H1583 A1526:C1526 F2002:F2003 F1548:H1548 WTR2016 WTN1553:WTO1553 B1580 AAW1594:AAW1595 WTN1826:WTO1826 B1515:C1516 F1517:H1517 HF1515:HH1515 RB1515:RD1515 AAX1515:AAZ1515 AKT1515:AKV1515 AUP1515:AUR1515 BEL1515:BEN1515 BOH1515:BOJ1515 BYD1515:BYF1515 CHZ1515:CIB1515 CRV1515:CRX1515 DBR1515:DBT1515 DLN1515:DLP1515 DVJ1515:DVL1515 EFF1515:EFH1515 EPB1515:EPD1515 EYX1515:EYZ1515 FIT1515:FIV1515 FSP1515:FSR1515 GCL1515:GCN1515 GMH1515:GMJ1515 GWD1515:GWF1515 HFZ1515:HGB1515 HPV1515:HPX1515 HZR1515:HZT1515 IJN1515:IJP1515 ITJ1515:ITL1515 JDF1515:JDH1515 JNB1515:JND1515 JWX1515:JWZ1515 KGT1515:KGV1515 KQP1515:KQR1515 LAL1515:LAN1515 LKH1515:LKJ1515 LUD1515:LUF1515 MDZ1515:MEB1515 MNV1515:MNX1515 MXR1515:MXT1515 NHN1515:NHP1515 NRJ1515:NRL1515 OBF1515:OBH1515 OLB1515:OLD1515 OUX1515:OUZ1515 PET1515:PEV1515 POP1515:POR1515 PYL1515:PYN1515 QIH1515:QIJ1515 QSD1515:QSF1515 RBZ1515:RCB1515 RLV1515:RLX1515 RVR1515:RVT1515 SFN1515:SFP1515 SPJ1515:SPL1515 SZF1515:SZH1515 TJB1515:TJD1515 TSX1515:TSZ1515 UCT1515:UCV1515 UMP1515:UMR1515 UWL1515:UWN1515 VGH1515:VGJ1515 VQD1515:VQF1515 VZZ1515:WAB1515 WJV1515:WJX1515 WTR1515:WTT1515 A1517 HA1515 QW1515 AAS1515 AKO1515 AUK1515 BEG1515 BOC1515 BXY1515 CHU1515 CRQ1515 DBM1515 DLI1515 DVE1515 EFA1515 EOW1515 EYS1515 FIO1515 FSK1515 GCG1515 GMC1515 GVY1515 HFU1515 HPQ1515 HZM1515 IJI1515 ITE1515 JDA1515 JMW1515 JWS1515 KGO1515 KQK1515 LAG1515 LKC1515 LTY1515 MDU1515 MNQ1515 MXM1515 NHI1515 NRE1515 OBA1515 OKW1515 OUS1515 PEO1515 POK1515 PYG1515 QIC1515 QRY1515 RBU1515 RLQ1515 RVM1515 SFI1515 SPE1515 SZA1515 TIW1515 TSS1515 UCO1515 UMK1515 UWG1515 VGC1515 VPY1515 VZU1515 WJQ1515 WTM1515 C1517 HC1515 QY1515 AAU1515 AKQ1515 AUM1515 BEI1515 BOE1515 BYA1515 CHW1515 CRS1515 DBO1515 DLK1515 DVG1515 EFC1515 EOY1515 EYU1515 FIQ1515 FSM1515 GCI1515 GME1515 GWA1515 HFW1515 HPS1515 HZO1515 IJK1515 ITG1515 JDC1515 JMY1515 JWU1515 KGQ1515 KQM1515 LAI1515 LKE1515 LUA1515 MDW1515 MNS1515 MXO1515 NHK1515 NRG1515 OBC1515 OKY1515 OUU1515 PEQ1515 POM1515 PYI1515 QIE1515 QSA1515 RBW1515 RLS1515 RVO1515 SFK1515 SPG1515 SZC1515 TIY1515 TSU1515 UCQ1515 UMM1515 UWI1515 VGE1515 VQA1515 VZW1515 WJS1515 WTO1515 F1539:H1539 HF1537:HH1537 RB1537:RD1537 AAX1537:AAZ1537 AKT1537:AKV1537 AUP1537:AUR1537 BEL1537:BEN1537 BOH1537:BOJ1537 BYD1537:BYF1537 CHZ1537:CIB1537 CRV1537:CRX1537 DBR1537:DBT1537 DLN1537:DLP1537 DVJ1537:DVL1537 EFF1537:EFH1537 EPB1537:EPD1537 EYX1537:EYZ1537 FIT1537:FIV1537 FSP1537:FSR1537 GCL1537:GCN1537 GMH1537:GMJ1537 GWD1537:GWF1537 HFZ1537:HGB1537 HPV1537:HPX1537 HZR1537:HZT1537 IJN1537:IJP1537 ITJ1537:ITL1537 JDF1537:JDH1537 JNB1537:JND1537 JWX1537:JWZ1537 KGT1537:KGV1537 KQP1537:KQR1537 LAL1537:LAN1537 LKH1537:LKJ1537 LUD1537:LUF1537 MDZ1537:MEB1537 MNV1537:MNX1537 MXR1537:MXT1537 NHN1537:NHP1537 NRJ1537:NRL1537 OBF1537:OBH1537 OLB1537:OLD1537 OUX1537:OUZ1537 PET1537:PEV1537 POP1537:POR1537 PYL1537:PYN1537 QIH1537:QIJ1537 QSD1537:QSF1537 RBZ1537:RCB1537 RLV1537:RLX1537 RVR1537:RVT1537 SFN1537:SFP1537 SPJ1537:SPL1537 SZF1537:SZH1537 TJB1537:TJD1537 TSX1537:TSZ1537 UCT1537:UCV1537 UMP1537:UMR1537 UWL1537:UWN1537 VGH1537:VGJ1537 VQD1537:VQF1537 VZZ1537:WAB1537 WJV1537:WJX1537 WTR1537:WTT1537 HA1537 QW1537 AAS1537 AKO1537 AUK1537 BEG1537 BOC1537 BXY1537 CHU1537 CRQ1537 DBM1537 DLI1537 DVE1537 EFA1537 EOW1537 EYS1537 FIO1537 FSK1537 GCG1537 GMC1537 GVY1537 HFU1537 HPQ1537 HZM1537 IJI1537 ITE1537 JDA1537 JMW1537 JWS1537 KGO1537 KQK1537 LAG1537 LKC1537 LTY1537 MDU1537 MNQ1537 MXM1537 NHI1537 NRE1537 OBA1537 OKW1537 OUS1537 PEO1537 POK1537 PYG1537 QIC1537 QRY1537 RBU1537 RLQ1537 RVM1537 SFI1537 SPE1537 SZA1537 TIW1537 TSS1537 UCO1537 UMK1537 UWG1537 VGC1537 VPY1537 VZU1537 WJQ1537 WTM1537 HC1537 QY1537 AAU1537 AKQ1537 AUM1537 BEI1537 BOE1537 BYA1537 CHW1537 CRS1537 DBO1537 DLK1537 DVG1537 EFC1537 EOY1537 EYU1537 FIQ1537 FSM1537 GCI1537 GME1537 GWA1537 HFW1537 HPS1537 HZO1537 IJK1537 ITG1537 JDC1537 JMY1537 JWU1537 KGQ1537 KQM1537 LAI1537 LKE1537 LUA1537 MDW1537 MNS1537 MXO1537 NHK1537 NRG1537 OBC1537 OKY1537 OUU1537 PEQ1537 POM1537 PYI1537 QIE1537 QSA1537 RBW1537 RLS1537 RVO1537 SFK1537 SPG1537 SZC1537 TIY1537 TSU1537 UCQ1537 UMM1537 UWI1537 VGE1537 VQA1537 VZW1537 WJS1537 WTO1537 E1555:F1555 HE1553:HF1553 RA1553:RB1553 AAW1553:AAX1553 AKS1553:AKT1553 AUO1553:AUP1553 BEK1553:BEL1553 BOG1553:BOH1553 BYC1553:BYD1553 CHY1553:CHZ1553 CRU1553:CRV1553 DBQ1553:DBR1553 DLM1553:DLN1553 DVI1553:DVJ1553 EFE1553:EFF1553 EPA1553:EPB1553 EYW1553:EYX1553 FIS1553:FIT1553 FSO1553:FSP1553 GCK1553:GCL1553 GMG1553:GMH1553 GWC1553:GWD1553 HFY1553:HFZ1553 HPU1553:HPV1553 HZQ1553:HZR1553 IJM1553:IJN1553 ITI1553:ITJ1553 JDE1553:JDF1553 JNA1553:JNB1553 JWW1553:JWX1553 KGS1553:KGT1553 KQO1553:KQP1553 LAK1553:LAL1553 LKG1553:LKH1553 LUC1553:LUD1553 MDY1553:MDZ1553 MNU1553:MNV1553 MXQ1553:MXR1553 NHM1553:NHN1553 NRI1553:NRJ1553 OBE1553:OBF1553 OLA1553:OLB1553 OUW1553:OUX1553 PES1553:PET1553 POO1553:POP1553 PYK1553:PYL1553 QIG1553:QIH1553 QSC1553:QSD1553 RBY1553:RBZ1553 RLU1553:RLV1553 RVQ1553:RVR1553 SFM1553:SFN1553 SPI1553:SPJ1553 SZE1553:SZF1553 TJA1553:TJB1553 TSW1553:TSX1553 UCS1553:UCT1553 UMO1553:UMP1553 UWK1553:UWL1553 VGG1553:VGH1553 VQC1553:VQD1553 VZY1553:VZZ1553 WJU1553:WJV1553 WTQ1553:WTR1553 H1555 HH1553 RD1553 AAZ1553 AKV1553 AUR1553 BEN1553 BOJ1553 BYF1553 CIB1553 CRX1553 DBT1553 DLP1553 DVL1553 EFH1553 EPD1553 EYZ1553 FIV1553 FSR1553 GCN1553 GMJ1553 GWF1553 HGB1553 HPX1553 HZT1553 IJP1553 ITL1553 JDH1553 JND1553 JWZ1553 KGV1553 KQR1553 LAN1553 LKJ1553 LUF1553 MEB1553 MNX1553 MXT1553 NHP1553 NRL1553 OBH1553 OLD1553 OUZ1553 PEV1553 POR1553 PYN1553 QIJ1553 QSF1553 RCB1553 RLX1553 RVT1553 SFP1553 SPL1553 SZH1553 TJD1553 TSZ1553 UCV1553 UMR1553 UWN1553 VGJ1553 VQF1553 WAB1553 WJX1553 WTT1553 B1555:C1555 HB1553:HC1553 QX1553:QY1553 AAT1553:AAU1553 AKP1553:AKQ1553 AUL1553:AUM1553 BEH1553:BEI1553 BOD1553:BOE1553 BXZ1553:BYA1553 CHV1553:CHW1553 CRR1553:CRS1553 DBN1553:DBO1553 DLJ1553:DLK1553 DVF1553:DVG1553 EFB1553:EFC1553 EOX1553:EOY1553 EYT1553:EYU1553 FIP1553:FIQ1553 FSL1553:FSM1553 GCH1553:GCI1553 GMD1553:GME1553 GVZ1553:GWA1553 HFV1553:HFW1553 HPR1553:HPS1553 HZN1553:HZO1553 IJJ1553:IJK1553 ITF1553:ITG1553 JDB1553:JDC1553 JMX1553:JMY1553 JWT1553:JWU1553 KGP1553:KGQ1553 KQL1553:KQM1553 LAH1553:LAI1553 LKD1553:LKE1553 LTZ1553:LUA1553 MDV1553:MDW1553 MNR1553:MNS1553 MXN1553:MXO1553 NHJ1553:NHK1553 NRF1553:NRG1553 OBB1553:OBC1553 OKX1553:OKY1553 OUT1553:OUU1553 PEP1553:PEQ1553 POL1553:POM1553 PYH1553:PYI1553 QID1553:QIE1553 QRZ1553:QSA1553 RBV1553:RBW1553 RLR1553:RLS1553 RVN1553:RVO1553 SFJ1553:SFK1553 SPF1553:SPG1553 SZB1553:SZC1553 TIX1553:TIY1553 TST1553:TSU1553 UCP1553:UCQ1553 UML1553:UMM1553 UWH1553:UWI1553 VGD1553:VGE1553 VPZ1553:VQA1553 VZV1553:VZW1553 WJR1553:WJS1553 HF1582:HH1583 RB1582:RD1583 AAX1582:AAZ1583 AKT1582:AKV1583 AUP1582:AUR1583 BEL1582:BEN1583 BOH1582:BOJ1583 BYD1582:BYF1583 CHZ1582:CIB1583 CRV1582:CRX1583 DBR1582:DBT1583 DLN1582:DLP1583 DVJ1582:DVL1583 EFF1582:EFH1583 EPB1582:EPD1583 EYX1582:EYZ1583 FIT1582:FIV1583 FSP1582:FSR1583 GCL1582:GCN1583 GMH1582:GMJ1583 GWD1582:GWF1583 HFZ1582:HGB1583 HPV1582:HPX1583 HZR1582:HZT1583 IJN1582:IJP1583 ITJ1582:ITL1583 JDF1582:JDH1583 JNB1582:JND1583 JWX1582:JWZ1583 KGT1582:KGV1583 KQP1582:KQR1583 LAL1582:LAN1583 LKH1582:LKJ1583 LUD1582:LUF1583 MDZ1582:MEB1583 MNV1582:MNX1583 MXR1582:MXT1583 NHN1582:NHP1583 NRJ1582:NRL1583 OBF1582:OBH1583 OLB1582:OLD1583 OUX1582:OUZ1583 PET1582:PEV1583 POP1582:POR1583 PYL1582:PYN1583 QIH1582:QIJ1583 QSD1582:QSF1583 RBZ1582:RCB1583 RLV1582:RLX1583 RVR1582:RVT1583 SFN1582:SFP1583 SPJ1582:SPL1583 SZF1582:SZH1583 TJB1582:TJD1583 TSX1582:TSZ1583 UCT1582:UCV1583 UMP1582:UMR1583 UWL1582:UWN1583 VGH1582:VGJ1583 VQD1582:VQF1583 VZZ1582:WAB1583 WJV1582:WJX1583 WTR1582:WTT1583 E1585 HA1582 QW1582 AAS1582 AKO1582 AUK1582 BEG1582 BOC1582 BXY1582 CHU1582 CRQ1582 DBM1582 DLI1582 DVE1582 EFA1582 EOW1582 EYS1582 FIO1582 FSK1582 GCG1582 GMC1582 GVY1582 HFU1582 HPQ1582 HZM1582 IJI1582 ITE1582 JDA1582 JMW1582 JWS1582 KGO1582 KQK1582 LAG1582 LKC1582 LTY1582 MDU1582 MNQ1582 MXM1582 NHI1582 NRE1582 OBA1582 OKW1582 OUS1582 PEO1582 POK1582 PYG1582 QIC1582 QRY1582 RBU1582 RLQ1582 RVM1582 SFI1582 SPE1582 SZA1582 TIW1582 TSS1582 UCO1582 UMK1582 UWG1582 VGC1582 VPY1582 VZU1582 WJQ1582 WTM1582 QY1585:QY1586 AAU1585:AAU1586 AKQ1585:AKQ1586 AUM1585:AUM1586 BEI1585:BEI1586 BOE1585:BOE1586 BYA1585:BYA1586 CHW1585:CHW1586 CRS1585:CRS1586 DBO1585:DBO1586 DLK1585:DLK1586 DVG1585:DVG1586 EFC1585:EFC1586 EOY1585:EOY1586 EYU1585:EYU1586 FIQ1585:FIQ1586 FSM1585:FSM1586 GCI1585:GCI1586 GME1585:GME1586 GWA1585:GWA1586 HFW1585:HFW1586 HPS1585:HPS1586 HZO1585:HZO1586 IJK1585:IJK1586 ITG1585:ITG1586 JDC1585:JDC1586 JMY1585:JMY1586 JWU1585:JWU1586 KGQ1585:KGQ1586 KQM1585:KQM1586 LAI1585:LAI1586 LKE1585:LKE1586 LUA1585:LUA1586 MDW1585:MDW1586 MNS1585:MNS1586 MXO1585:MXO1586 NHK1585:NHK1586 NRG1585:NRG1586 OBC1585:OBC1586 OKY1585:OKY1586 OUU1585:OUU1586 PEQ1585:PEQ1586 POM1585:POM1586 PYI1585:PYI1586 QIE1585:QIE1586 QSA1585:QSA1586 RBW1585:RBW1586 RLS1585:RLS1586 RVO1585:RVO1586 SFK1585:SFK1586 SPG1585:SPG1586 SZC1585:SZC1586 TIY1585:TIY1586 TSU1585:TSU1586 UCQ1585:UCQ1586 UMM1585:UMM1586 UWI1585:UWI1586 VGE1585:VGE1586 VQA1585:VQA1586 VZW1585:VZW1586 WJS1585:WJS1586 WTO1585:WTO1586 A1587:A1588 F1587 HF1585 RB1585 AAX1585 AKT1585 AUP1585 BEL1585 BOH1585 BYD1585 CHZ1585 CRV1585 DBR1585 DLN1585 DVJ1585 EFF1585 EPB1585 EYX1585 FIT1585 FSP1585 GCL1585 GMH1585 GWD1585 HFZ1585 HPV1585 HZR1585 IJN1585 ITJ1585 JDF1585 JNB1585 JWX1585 KGT1585 KQP1585 LAL1585 LKH1585 LUD1585 MDZ1585 MNV1585 MXR1585 NHN1585 NRJ1585 OBF1585 OLB1585 OUX1585 PET1585 POP1585 PYL1585 QIH1585 QSD1585 RBZ1585 RLV1585 RVR1585 SFN1585 SPJ1585 SZF1585 TJB1585 TSX1585 UCT1585 UMP1585 UWL1585 VGH1585 VQD1585 VZZ1585 WJV1585 WTR1585 HA1585:HA1586 QW1585:QW1586 AAS1585:AAS1586 AKO1585:AKO1586 AUK1585:AUK1586 BEG1585:BEG1586 BOC1585:BOC1586 BXY1585:BXY1586 CHU1585:CHU1586 CRQ1585:CRQ1586 DBM1585:DBM1586 DLI1585:DLI1586 DVE1585:DVE1586 EFA1585:EFA1586 EOW1585:EOW1586 EYS1585:EYS1586 FIO1585:FIO1586 FSK1585:FSK1586 GCG1585:GCG1586 GMC1585:GMC1586 GVY1585:GVY1586 HFU1585:HFU1586 HPQ1585:HPQ1586 HZM1585:HZM1586 IJI1585:IJI1586 ITE1585:ITE1586 JDA1585:JDA1586 JMW1585:JMW1586 JWS1585:JWS1586 KGO1585:KGO1586 KQK1585:KQK1586 LAG1585:LAG1586 LKC1585:LKC1586 LTY1585:LTY1586 MDU1585:MDU1586 MNQ1585:MNQ1586 MXM1585:MXM1586 NHI1585:NHI1586 NRE1585:NRE1586 OBA1585:OBA1586 OKW1585:OKW1586 OUS1585:OUS1586 PEO1585:PEO1586 POK1585:POK1586 PYG1585:PYG1586 QIC1585:QIC1586 QRY1585:QRY1586 RBU1585:RBU1586 RLQ1585:RLQ1586 RVM1585:RVM1586 SFI1585:SFI1586 SPE1585:SPE1586 SZA1585:SZA1586 TIW1585:TIW1586 TSS1585:TSS1586 UCO1585:UCO1586 UMK1585:UMK1586 UWG1585:UWG1586 VGC1585:VGC1586 VPY1585:VPY1586 VZU1585:VZU1586 WJQ1585:WJQ1586 WTM1585:WTM1586 C1587:C1588 A1520:A1522 HE1583 RA1583 AAW1583 AKS1583 AUO1583 BEK1583 BOG1583 BYC1583 CHY1583 CRU1583 DBQ1583 DLM1583 DVI1583 EFE1583 EPA1583 EYW1583 FIS1583 FSO1583 GCK1583 GMG1583 GWC1583 HFY1583 HPU1583 HZQ1583 IJM1583 ITI1583 JDE1583 JNA1583 JWW1583 KGS1583 KQO1583 LAK1583 LKG1583 LUC1583 MDY1583 MNU1583 MXQ1583 NHM1583 NRI1583 OBE1583 OLA1583 OUW1583 PES1583 POO1583 PYK1583 QIG1583 QSC1583 RBY1583 RLU1583 RVQ1583 SFM1583 SPI1583 SZE1583 TJA1583 TSW1583 UCS1583 UMO1583 UWK1583 VGG1583 VQC1583 VZY1583 WJU1583 WTQ1583 B1585:C1585 HB1583:HC1583 QX1583:QY1583 AAT1583:AAU1583 AKP1583:AKQ1583 AUL1583:AUM1583 BEH1583:BEI1583 BOD1583:BOE1583 BXZ1583:BYA1583 CHV1583:CHW1583 CRR1583:CRS1583 DBN1583:DBO1583 DLJ1583:DLK1583 DVF1583:DVG1583 EFB1583:EFC1583 EOX1583:EOY1583 EYT1583:EYU1583 FIP1583:FIQ1583 FSL1583:FSM1583 GCH1583:GCI1583 GMD1583:GME1583 GVZ1583:GWA1583 HFV1583:HFW1583 HPR1583:HPS1583 HZN1583:HZO1583 IJJ1583:IJK1583 ITF1583:ITG1583 JDB1583:JDC1583 JMX1583:JMY1583 JWT1583:JWU1583 KGP1583:KGQ1583 KQL1583:KQM1583 LAH1583:LAI1583 LKD1583:LKE1583 LTZ1583:LUA1583 MDV1583:MDW1583 MNR1583:MNS1583 MXN1583:MXO1583 NHJ1583:NHK1583 NRF1583:NRG1583 OBB1583:OBC1583 OKX1583:OKY1583 OUT1583:OUU1583 PEP1583:PEQ1583 POL1583:POM1583 PYH1583:PYI1583 QID1583:QIE1583 QRZ1583:QSA1583 RBV1583:RBW1583 RLR1583:RLS1583 RVN1583:RVO1583 SFJ1583:SFK1583 SPF1583:SPG1583 SZB1583:SZC1583 TIX1583:TIY1583 TST1583:TSU1583 UCP1583:UCQ1583 UML1583:UMM1583 UWH1583:UWI1583 VGD1583:VGE1583 VPZ1583:VQA1583 VZV1583:VZW1583 WJR1583:WJS1583 WTN1583:WTO1583 WTN1587:WTO1588 HC1582 QY1582 AAU1582 AKQ1582 AUM1582 BEI1582 BOE1582 BYA1582 CHW1582 CRS1582 DBO1582 DLK1582 DVG1582 EFC1582 EOY1582 EYU1582 FIQ1582 FSM1582 GCI1582 GME1582 GWA1582 HFW1582 HPS1582 HZO1582 IJK1582 ITG1582 JDC1582 JMY1582 JWU1582 KGQ1582 KQM1582 LAI1582 LKE1582 LUA1582 MDW1582 MNS1582 MXO1582 NHK1582 NRG1582 OBC1582 OKY1582 OUU1582 PEQ1582 POM1582 PYI1582 QIE1582 QSA1582 RBW1582 RLS1582 RVO1582 SFK1582 SPG1582 SZC1582 TIY1582 TSU1582 UCQ1582 UMM1582 UWI1582 VGE1582 VQA1582 VZW1582 B1817:C1818 C1520:C1522 F1520:F1521 HC1585:HC1586 E1593 C1590 F1590 A1590 HE1587:HE1588 RA1587:RA1588 AAW1587:AAW1588 AKS1587:AKS1588 AUO1587:AUO1588 BEK1587:BEK1588 BOG1587:BOG1588 BYC1587:BYC1588 CHY1587:CHY1588 CRU1587:CRU1588 DBQ1587:DBQ1588 DLM1587:DLM1588 DVI1587:DVI1588 EFE1587:EFE1588 EPA1587:EPA1588 EYW1587:EYW1588 FIS1587:FIS1588 FSO1587:FSO1588 GCK1587:GCK1588 GMG1587:GMG1588 GWC1587:GWC1588 HFY1587:HFY1588 HPU1587:HPU1588 HZQ1587:HZQ1588 IJM1587:IJM1588 ITI1587:ITI1588 JDE1587:JDE1588 JNA1587:JNA1588 JWW1587:JWW1588 KGS1587:KGS1588 KQO1587:KQO1588 LAK1587:LAK1588 LKG1587:LKG1588 LUC1587:LUC1588 MDY1587:MDY1588 MNU1587:MNU1588 MXQ1587:MXQ1588 NHM1587:NHM1588 NRI1587:NRI1588 OBE1587:OBE1588 OLA1587:OLA1588 OUW1587:OUW1588 PES1587:PES1588 POO1587:POO1588 PYK1587:PYK1588 QIG1587:QIG1588 QSC1587:QSC1588 RBY1587:RBY1588 RLU1587:RLU1588 RVQ1587:RVQ1588 SFM1587:SFM1588 SPI1587:SPI1588 SZE1587:SZE1588 TJA1587:TJA1588 TSW1587:TSW1588 UCS1587:UCS1588 UMO1587:UMO1588 UWK1587:UWK1588 VGG1587:VGG1588 VQC1587:VQC1588 VZY1587:VZY1588 WJU1587:WJU1588 WTQ1587:WTQ1588 HB1587:HC1588 QX1587:QY1588 AAT1587:AAU1588 AKP1587:AKQ1588 AUL1587:AUM1588 BEH1587:BEI1588 BOD1587:BOE1588 BXZ1587:BYA1588 CHV1587:CHW1588 CRR1587:CRS1588 DBN1587:DBO1588 DLJ1587:DLK1588 DVF1587:DVG1588 EFB1587:EFC1588 EOX1587:EOY1588 EYT1587:EYU1588 FIP1587:FIQ1588 FSL1587:FSM1588 GCH1587:GCI1588 GMD1587:GME1588 GVZ1587:GWA1588 HFV1587:HFW1588 HPR1587:HPS1588 HZN1587:HZO1588 IJJ1587:IJK1588 ITF1587:ITG1588 JDB1587:JDC1588 JMX1587:JMY1588 JWT1587:JWU1588 KGP1587:KGQ1588 KQL1587:KQM1588 LAH1587:LAI1588 LKD1587:LKE1588 LTZ1587:LUA1588 MDV1587:MDW1588 MNR1587:MNS1588 MXN1587:MXO1588 NHJ1587:NHK1588 NRF1587:NRG1588 OBB1587:OBC1588 OKX1587:OKY1588 OUT1587:OUU1588 PEP1587:PEQ1588 POL1587:POM1588 PYH1587:PYI1588 QID1587:QIE1588 QRZ1587:QSA1588 RBV1587:RBW1588 RLR1587:RLS1588 RVN1587:RVO1588 SFJ1587:SFK1588 SPF1587:SPG1588 SZB1587:SZC1588 TIX1587:TIY1588 TST1587:TSU1588 UCP1587:UCQ1588 UML1587:UMM1588 UWH1587:UWI1588 VGD1587:VGE1588 VPZ1587:VQA1588 VZV1587:VZW1588 WJR1587:WJS1588 A1592 HA1590 QW1590 AAS1590 AKO1590 AUK1590 BEG1590 BOC1590 BXY1590 CHU1590 CRQ1590 DBM1590 DLI1590 DVE1590 EFA1590 EOW1590 EYS1590 FIO1590 FSK1590 GCG1590 GMC1590 GVY1590 HFU1590 HPQ1590 HZM1590 IJI1590 ITE1590 JDA1590 JMW1590 JWS1590 KGO1590 KQK1590 LAG1590 LKC1590 LTY1590 MDU1590 MNQ1590 MXM1590 NHI1590 NRE1590 OBA1590 OKW1590 OUS1590 PEO1590 POK1590 PYG1590 QIC1590 QRY1590 RBU1590 RLQ1590 RVM1590 SFI1590 SPE1590 SZA1590 TIW1590 TSS1590 UCO1590 UMK1590 UWG1590 VGC1590 VPY1590 VZU1590 WJQ1590 WTM1590 C1592 HC1590 QY1590 AAU1590 AKQ1590 AUM1590 BEI1590 BOE1590 BYA1590 CHW1590 CRS1590 DBO1590 DLK1590 DVG1590 EFC1590 EOY1590 EYU1590 FIQ1590 FSM1590 GCI1590 GME1590 GWA1590 HFW1590 HPS1590 HZO1590 IJK1590 ITG1590 JDC1590 JMY1590 JWU1590 KGQ1590 KQM1590 LAI1590 LKE1590 LUA1590 MDW1590 MNS1590 MXO1590 NHK1590 NRG1590 OBC1590 OKY1590 OUU1590 PEQ1590 POM1590 PYI1590 QIE1590 QSA1590 RBW1590 RLS1590 RVO1590 SFK1590 SPG1590 SZC1590 TIY1590 TSU1590 UCQ1590 UMM1590 UWI1590 VGE1590 VQA1590 VZW1590 WJS1590 WTO1590 AKS1594:AKS1595 B1593:C1593 AUO1594:AUO1595 BEK1594:BEK1595 BOG1594:BOG1595 BYC1594:BYC1595 CHY1594:CHY1595 CRU1594:CRU1595 DBQ1594:DBQ1595 DLM1594:DLM1595 DVI1594:DVI1595 EFE1594:EFE1595 EPA1594:EPA1595 EYW1594:EYW1595 FIS1594:FIS1595 FSO1594:FSO1595 GCK1594:GCK1595 GMG1594:GMG1595 GWC1594:GWC1595 HFY1594:HFY1595 HPU1594:HPU1595 HZQ1594:HZQ1595 IJM1594:IJM1595 ITI1594:ITI1595 JDE1594:JDE1595 JNA1594:JNA1595 JWW1594:JWW1595 KGS1594:KGS1595 KQO1594:KQO1595 LAK1594:LAK1595 LKG1594:LKG1595 LUC1594:LUC1595 MDY1594:MDY1595 MNU1594:MNU1595 MXQ1594:MXQ1595 NHM1594:NHM1595 NRI1594:NRI1595 OBE1594:OBE1595 OLA1594:OLA1595 OUW1594:OUW1595 PES1594:PES1595 POO1594:POO1595 PYK1594:PYK1595 QIG1594:QIG1595 QSC1594:QSC1595 RBY1594:RBY1595 RLU1594:RLU1595 RVQ1594:RVQ1595 SFM1594:SFM1595 SPI1594:SPI1595 SZE1594:SZE1595 TJA1594:TJA1595 TSW1594:TSW1595 UCS1594:UCS1595 UMO1594:UMO1595 UWK1594:UWK1595 VGG1594:VGG1595 VQC1594:VQC1595 VZY1594:VZY1595 WJU1594:WJU1595 WTQ1594:WTQ1595 HB1594:HC1595 QX1594:QY1595 AAT1594:AAU1595 AKP1594:AKQ1595 HB1826:HC1826 AUL1594:AUM1595 BEH1594:BEI1595 BOD1594:BOE1595 BXZ1594:BYA1595 CHV1594:CHW1595 CRR1594:CRS1595 DBN1594:DBO1595 DLJ1594:DLK1595 DVF1594:DVG1595 EFB1594:EFC1595 EOX1594:EOY1595 EYT1594:EYU1595 FIP1594:FIQ1595 FSL1594:FSM1595 GCH1594:GCI1595 GMD1594:GME1595 GVZ1594:GWA1595 HFV1594:HFW1595 HPR1594:HPS1595 HZN1594:HZO1595 IJJ1594:IJK1595 ITF1594:ITG1595 JDB1594:JDC1595 JMX1594:JMY1595 JWT1594:JWU1595 KGP1594:KGQ1595 KQL1594:KQM1595 LAH1594:LAI1595 LKD1594:LKE1595 LTZ1594:LUA1595 MDV1594:MDW1595 MNR1594:MNS1595 MXN1594:MXO1595 NHJ1594:NHK1595 NRF1594:NRG1595 OBB1594:OBC1595 OKX1594:OKY1595 OUT1594:OUU1595 PEP1594:PEQ1595 POL1594:POM1595 PYH1594:PYI1595 QID1594:QIE1595 QRZ1594:QSA1595 RBV1594:RBW1595 RLR1594:RLS1595 RVN1594:RVO1595 SFJ1594:SFK1595 SPF1594:SPG1595 SZB1594:SZC1595 TIX1594:TIY1595 TST1594:TSU1595 UCP1594:UCQ1595 UML1594:UMM1595 UWH1594:UWI1595 VGD1594:VGE1595 VPZ1594:VQA1595 VZV1594:VZW1595 WJR1594:WJS1595 E1596:E1597 B1596:C1597 WTN1594:WTO1595 B1766:C1767 WJR1591:WJS1592 VZV1591:VZW1592 VPZ1591:VQA1592 VGD1591:VGE1592 UWH1591:UWI1592 UML1591:UMM1592 UCP1591:UCQ1592 TST1591:TSU1592 TIX1591:TIY1592 SZB1591:SZC1592 SPF1591:SPG1592 SFJ1591:SFK1592 RVN1591:RVO1592 RLR1591:RLS1592 RBV1591:RBW1592 QRZ1591:QSA1592 QID1591:QIE1592 PYH1591:PYI1592 POL1591:POM1592 PEP1591:PEQ1592 OUT1591:OUU1592 OKX1591:OKY1592 OBB1591:OBC1592 NRF1591:NRG1592 NHJ1591:NHK1592 MXN1591:MXO1592 MNR1591:MNS1592 MDV1591:MDW1592 LTZ1591:LUA1592 LKD1591:LKE1592 LAH1591:LAI1592 KQL1591:KQM1592 KGP1591:KGQ1592 JWT1591:JWU1592 JMX1591:JMY1592 JDB1591:JDC1592 ITF1591:ITG1592 IJJ1591:IJK1592 HZN1591:HZO1592 HPR1591:HPS1592 HFV1591:HFW1592 GVZ1591:GWA1592 GMD1591:GME1592 GCH1591:GCI1592 FSL1591:FSM1592 FIP1591:FIQ1592 EYT1591:EYU1592 EOX1591:EOY1592 EFB1591:EFC1592 DVF1591:DVG1592 DLJ1591:DLK1592 DBN1591:DBO1592 CRR1591:CRS1592 CHV1591:CHW1592 BXZ1591:BYA1592 BOD1591:BOE1592 BEH1591:BEI1592 AUL1591:AUM1592 AKP1591:AKQ1592 AAT1591:AAU1592 QX1591:QY1592 HB1591:HC1592 WTQ1591:WTQ1592 WJU1591:WJU1592 VZY1591:VZY1592 VQC1591:VQC1592 VGG1591:VGG1592 UWK1591:UWK1592 UMO1591:UMO1592 UCS1591:UCS1592 TSW1591:TSW1592 TJA1591:TJA1592 SZE1591:SZE1592 SPI1591:SPI1592 SFM1591:SFM1592 RVQ1591:RVQ1592 RLU1591:RLU1592 RBY1591:RBY1592 QSC1591:QSC1592 QIG1591:QIG1592 PYK1591:PYK1592 POO1591:POO1592 PES1591:PES1592 OUW1591:OUW1592 OLA1591:OLA1592 OBE1591:OBE1592 NRI1591:NRI1592 NHM1591:NHM1592 MXQ1591:MXQ1592 MNU1591:MNU1592 MDY1591:MDY1592 LUC1591:LUC1592 LKG1591:LKG1592 LAK1591:LAK1592 KQO1591:KQO1592 KGS1591:KGS1592 JWW1591:JWW1592 JNA1591:JNA1592 JDE1591:JDE1592 ITI1591:ITI1592 IJM1591:IJM1592 HZQ1591:HZQ1592 HPU1591:HPU1592 HFY1591:HFY1592 GWC1591:GWC1592 GMG1591:GMG1592 GCK1591:GCK1592 FSO1591:FSO1592 FIS1591:FIS1592 EYW1591:EYW1592 EPA1591:EPA1592 EFE1591:EFE1592 DVI1591:DVI1592 DLM1591:DLM1592 DBQ1591:DBQ1592 CRU1591:CRU1592 CHY1591:CHY1592 BYC1591:BYC1592 BOG1591:BOG1592 BEK1591:BEK1592 AUO1591:AUO1592 AKS1591:AKS1592 AAW1591:AAW1592 RA1591:RA1592 HE1591:HE1592 WTN1591:WTO1592 WTO1593 HA1593 QW1593 AAS1593 AKO1593 AUK1593 BEG1593 BOC1593 BXY1593 CHU1593 CRQ1593 DBM1593 DLI1593 DVE1593 EFA1593 EOW1593 EYS1593 FIO1593 FSK1593 GCG1593 GMC1593 GVY1593 HFU1593 HPQ1593 HZM1593 IJI1593 ITE1593 JDA1593 JMW1593 JWS1593 KGO1593 KQK1593 LAG1593 LKC1593 LTY1593 MDU1593 MNQ1593 MXM1593 NHI1593 NRE1593 OBA1593 OKW1593 OUS1593 PEO1593 POK1593 PYG1593 QIC1593 QRY1593 RBU1593 RLQ1593 RVM1593 SFI1593 SPE1593 SZA1593 TIW1593 TSS1593 UCO1593 UMK1593 UWG1593 VGC1593 VPY1593 VZU1593 WJQ1593 WTM1593 HC1593 QY1593 AAU1593 AKQ1593 AUM1593 BEI1593 BOE1593 BYA1593 CHW1593 CRS1593 DBO1593 DLK1593 DVG1593 EFC1593 EOY1593 EYU1593 FIQ1593 FSM1593 GCI1593 GME1593 GWA1593 HFW1593 HPS1593 HZO1593 IJK1593 ITG1593 JDC1593 JMY1593 JWU1593 KGQ1593 KQM1593 LAI1593 LKE1593 LUA1593 MDW1593 MNS1593 MXO1593 NHK1593 NRG1593 OBC1593 OKY1593 OUU1593 PEQ1593 POM1593 PYI1593 QIE1593 QSA1593 RBW1593 RLS1593 RVO1593 SFK1593 SPG1593 SZC1593 TIY1593 TSU1593 UCQ1593 UMM1593 UWI1593 VGE1593 VQA1593 VZW1593 WJS1593 RA1594:RA1595 HF1586:HH1593 A1594:A1595 C1594:C1595 B1762:B1764 F2004:H2004 C2002:C2004 A2002:A2004 HE1594:HH1595 A1598 HA1596 QW1596 AAS1596 AKO1596 AUK1596 BEG1596 BOC1596 BXY1596 CHU1596 CRQ1596 DBM1596 DLI1596 DVE1596 EFA1596 EOW1596 EYS1596 FIO1596 FSK1596 GCG1596 GMC1596 GVY1596 HFU1596 HPQ1596 HZM1596 IJI1596 ITE1596 JDA1596 JMW1596 JWS1596 KGO1596 KQK1596 LAG1596 LKC1596 LTY1596 MDU1596 MNQ1596 MXM1596 NHI1596 NRE1596 OBA1596 OKW1596 OUS1596 PEO1596 POK1596 PYG1596 QIC1596 QRY1596 RBU1596 RLQ1596 RVM1596 SFI1596 SPE1596 SZA1596 TIW1596 TSS1596 UCO1596 UMK1596 UWG1596 VGC1596 VPY1596 VZU1596 WJQ1596 WTM1596 C1598 HC1596 QY1596 AAU1596 AKQ1596 AUM1596 BEI1596 BOE1596 BYA1596 CHW1596 CRS1596 DBO1596 DLK1596 DVG1596 EFC1596 EOY1596 EYU1596 FIQ1596 FSM1596 GCI1596 GME1596 GWA1596 HFW1596 HPS1596 HZO1596 IJK1596 ITG1596 JDC1596 JMY1596 JWU1596 KGQ1596 KQM1596 LAI1596 LKE1596 LUA1596 MDW1596 MNS1596 MXO1596 NHK1596 NRG1596 OBC1596 OKY1596 OUU1596 PEQ1596 POM1596 PYI1596 QIE1596 QSA1596 RBW1596 RLS1596 RVO1596 SFK1596 SPG1596 SZC1596 TIY1596 TSU1596 UCQ1596 UMM1596 UWI1596 VGE1596 VQA1596 VZW1596 WJS1596 WTO1596 E1599:E1602 HE1597:HE1600 RA1597:RA1600 AAW1597:AAW1600 AKS1597:AKS1600 AUO1597:AUO1600 BEK1597:BEK1600 BOG1597:BOG1600 BYC1597:BYC1600 CHY1597:CHY1600 CRU1597:CRU1600 DBQ1597:DBQ1600 DLM1597:DLM1600 DVI1597:DVI1600 EFE1597:EFE1600 EPA1597:EPA1600 EYW1597:EYW1600 FIS1597:FIS1600 FSO1597:FSO1600 GCK1597:GCK1600 GMG1597:GMG1600 GWC1597:GWC1600 HFY1597:HFY1600 HPU1597:HPU1600 HZQ1597:HZQ1600 IJM1597:IJM1600 ITI1597:ITI1600 JDE1597:JDE1600 JNA1597:JNA1600 JWW1597:JWW1600 KGS1597:KGS1600 KQO1597:KQO1600 LAK1597:LAK1600 LKG1597:LKG1600 LUC1597:LUC1600 MDY1597:MDY1600 MNU1597:MNU1600 MXQ1597:MXQ1600 NHM1597:NHM1600 NRI1597:NRI1600 OBE1597:OBE1600 OLA1597:OLA1600 OUW1597:OUW1600 PES1597:PES1600 POO1597:POO1600 PYK1597:PYK1600 QIG1597:QIG1600 QSC1597:QSC1600 RBY1597:RBY1600 RLU1597:RLU1600 RVQ1597:RVQ1600 SFM1597:SFM1600 SPI1597:SPI1600 SZE1597:SZE1600 TJA1597:TJA1600 TSW1597:TSW1600 UCS1597:UCS1600 UMO1597:UMO1600 UWK1597:UWK1600 VGG1597:VGG1600 VQC1597:VQC1600 VZY1597:VZY1600 WJU1597:WJU1600 WTQ1597:WTQ1600 B1890:C1890 A1584 C1548 B1583 B1478:C1478 C1584 F1584:H1585 F1398:G1398 WTN1893:WTO1893 HB1887:HC1887 QX1887:QY1887 AAT1887:AAU1887 AKP1887:AKQ1887 AUL1887:AUM1887 BEH1887:BEI1887 BOD1887:BOE1887 BXZ1887:BYA1887 CHV1887:CHW1887 CRR1887:CRS1887 DBN1887:DBO1887 DLJ1887:DLK1887 DVF1887:DVG1887 EFB1887:EFC1887 EOX1887:EOY1887 EYT1887:EYU1887 FIP1887:FIQ1887 FSL1887:FSM1887 GCH1887:GCI1887 GMD1887:GME1887 GVZ1887:GWA1887 HFV1887:HFW1887 HPR1887:HPS1887 HZN1887:HZO1887 IJJ1887:IJK1887 ITF1887:ITG1887 JDB1887:JDC1887 JMX1887:JMY1887 JWT1887:JWU1887 KGP1887:KGQ1887 KQL1887:KQM1887 LAH1887:LAI1887 LKD1887:LKE1887 LTZ1887:LUA1887 MDV1887:MDW1887 MNR1887:MNS1887 MXN1887:MXO1887 NHJ1887:NHK1887 NRF1887:NRG1887 OBB1887:OBC1887 OKX1887:OKY1887 OUT1887:OUU1887 PEP1887:PEQ1887 POL1887:POM1887 PYH1887:PYI1887 QID1887:QIE1887 QRZ1887:QSA1887 RBV1887:RBW1887 RLR1887:RLS1887 RVN1887:RVO1887 SFJ1887:SFK1887 SPF1887:SPG1887 SZB1887:SZC1887 TIX1887:TIY1887 TST1887:TSU1887 UCP1887:UCQ1887 UML1887:UMM1887 UWH1887:UWI1887 VGD1887:VGE1887 VPZ1887:VQA1887 VZV1887:VZW1887 WJR1887:WJS1887 WTN1887:WTO1887 WTN1597:WTO1601 WJR1597:WJS1601 VZV1597:VZW1601 VPZ1597:VQA1601 VGD1597:VGE1601 UWH1597:UWI1601 UML1597:UMM1601 UCP1597:UCQ1601 TST1597:TSU1601 TIX1597:TIY1601 SZB1597:SZC1601 SPF1597:SPG1601 SFJ1597:SFK1601 RVN1597:RVO1601 RLR1597:RLS1601 RBV1597:RBW1601 QRZ1597:QSA1601 QID1597:QIE1601 PYH1597:PYI1601 POL1597:POM1601 PEP1597:PEQ1601 OUT1597:OUU1601 OKX1597:OKY1601 OBB1597:OBC1601 NRF1597:NRG1601 NHJ1597:NHK1601 MXN1597:MXO1601 MNR1597:MNS1601 MDV1597:MDW1601 LTZ1597:LUA1601 LKD1597:LKE1601 LAH1597:LAI1601 KQL1597:KQM1601 KGP1597:KGQ1601 JWT1597:JWU1601 JMX1597:JMY1601 JDB1597:JDC1601 ITF1597:ITG1601 IJJ1597:IJK1601 HZN1597:HZO1601 HPR1597:HPS1601 HFV1597:HFW1601 GVZ1597:GWA1601 GMD1597:GME1601 GCH1597:GCI1601 FSL1597:FSM1601 FIP1597:FIQ1601 EYT1597:EYU1601 EOX1597:EOY1601 EFB1597:EFC1601 DVF1597:DVG1601 DLJ1597:DLK1601 DBN1597:DBO1601 CRR1597:CRS1601 CHV1597:CHW1601 BXZ1597:BYA1601 BOD1597:BOE1601 BEH1597:BEI1601 AUL1597:AUM1601 AKP1597:AKQ1601 AAT1597:AAU1601 QX1597:QY1601 HB1597:HC1601 B1599:C1603 WTO1602 B1605:E1605 HB1603:HE1603 QX1603:RA1603 AAT1603:AAW1603 AKP1603:AKS1603 AUL1603:AUO1603 BEH1603:BEK1603 BOD1603:BOG1603 BXZ1603:BYC1603 CHV1603:CHY1603 CRR1603:CRU1603 DBN1603:DBQ1603 DLJ1603:DLM1603 DVF1603:DVI1603 EFB1603:EFE1603 EOX1603:EPA1603 EYT1603:EYW1603 FIP1603:FIS1603 FSL1603:FSO1603 GCH1603:GCK1603 GMD1603:GMG1603 GVZ1603:GWC1603 HFV1603:HFY1603 HPR1603:HPU1603 HZN1603:HZQ1603 IJJ1603:IJM1603 ITF1603:ITI1603 JDB1603:JDE1603 JMX1603:JNA1603 JWT1603:JWW1603 KGP1603:KGS1603 KQL1603:KQO1603 LAH1603:LAK1603 LKD1603:LKG1603 LTZ1603:LUC1603 MDV1603:MDY1603 MNR1603:MNU1603 MXN1603:MXQ1603 NHJ1603:NHM1603 NRF1603:NRI1603 OBB1603:OBE1603 OKX1603:OLA1603 OUT1603:OUW1603 PEP1603:PES1603 POL1603:POO1603 PYH1603:PYK1603 QID1603:QIG1603 QRZ1603:QSC1603 RBV1603:RBY1603 RLR1603:RLU1603 RVN1603:RVQ1603 SFJ1603:SFM1603 SPF1603:SPI1603 SZB1603:SZE1603 TIX1603:TJA1603 TST1603:TSW1603 UCP1603:UCS1603 UML1603:UMO1603 UWH1603:UWK1603 VGD1603:VGG1603 VPZ1603:VQC1603 VZV1603:VZY1603 WJR1603:WJU1603 WTN1603:WTQ1603 A1604 HA1602 QW1602 AAS1602 AKO1602 AUK1602 BEG1602 BOC1602 BXY1602 CHU1602 CRQ1602 DBM1602 DLI1602 DVE1602 EFA1602 EOW1602 EYS1602 FIO1602 FSK1602 GCG1602 GMC1602 GVY1602 HFU1602 HPQ1602 HZM1602 IJI1602 ITE1602 JDA1602 JMW1602 JWS1602 KGO1602 KQK1602 LAG1602 LKC1602 LTY1602 MDU1602 MNQ1602 MXM1602 NHI1602 NRE1602 OBA1602 OKW1602 OUS1602 PEO1602 POK1602 PYG1602 QIC1602 QRY1602 RBU1602 RLQ1602 RVM1602 SFI1602 SPE1602 SZA1602 TIW1602 TSS1602 UCO1602 UMK1602 UWG1602 VGC1602 VPY1602 VZU1602 WJQ1602 WTM1602 C1604 HC1602 QY1602 AAU1602 AKQ1602 AUM1602 BEI1602 BOE1602 BYA1602 CHW1602 CRS1602 DBO1602 DLK1602 DVG1602 EFC1602 EOY1602 EYU1602 FIQ1602 FSM1602 GCI1602 GME1602 GWA1602 HFW1602 HPS1602 HZO1602 IJK1602 ITG1602 JDC1602 JMY1602 JWU1602 KGQ1602 KQM1602 LAI1602 LKE1602 LUA1602 MDW1602 MNS1602 MXO1602 NHK1602 NRG1602 OBC1602 OKY1602 OUU1602 PEQ1602 POM1602 PYI1602 QIE1602 QSA1602 RBW1602 RLS1602 RVO1602 SFK1602 SPG1602 SZC1602 TIY1602 TSU1602 UCQ1602 UMM1602 UWI1602 VGE1602 VQA1602 VZW1602 WJS1602 B672:C672 WTP1605:WTQ1605 D1607:E1607 HD1605:HE1605 QZ1605:RA1605 AAV1605:AAW1605 AKR1605:AKS1605 AUN1605:AUO1605 BEJ1605:BEK1605 BOF1605:BOG1605 BYB1605:BYC1605 CHX1605:CHY1605 CRT1605:CRU1605 DBP1605:DBQ1605 DLL1605:DLM1605 DVH1605:DVI1605 EFD1605:EFE1605 EOZ1605:EPA1605 EYV1605:EYW1605 FIR1605:FIS1605 FSN1605:FSO1605 GCJ1605:GCK1605 GMF1605:GMG1605 GWB1605:GWC1605 HFX1605:HFY1605 HPT1605:HPU1605 HZP1605:HZQ1605 IJL1605:IJM1605 ITH1605:ITI1605 JDD1605:JDE1605 JMZ1605:JNA1605 JWV1605:JWW1605 KGR1605:KGS1605 KQN1605:KQO1605 LAJ1605:LAK1605 LKF1605:LKG1605 LUB1605:LUC1605 MDX1605:MDY1605 MNT1605:MNU1605 MXP1605:MXQ1605 NHL1605:NHM1605 NRH1605:NRI1605 OBD1605:OBE1605 OKZ1605:OLA1605 OUV1605:OUW1605 PER1605:PES1605 PON1605:POO1605 PYJ1605:PYK1605 QIF1605:QIG1605 QSB1605:QSC1605 RBX1605:RBY1605 RLT1605:RLU1605 RVP1605:RVQ1605 SFL1605:SFM1605 SPH1605:SPI1605 SZD1605:SZE1605 TIZ1605:TJA1605 TSV1605:TSW1605 UCR1605:UCS1605 UMN1605:UMO1605 UWJ1605:UWK1605 VGF1605:VGG1605 VQB1605:VQC1605 VZX1605:VZY1605 H1512 F1474 A1512 QX1792:QY1792 AAT1792:AAU1792 AKP1792:AKQ1792 AUL1792:AUM1792 BEH1792:BEI1792 BOD1792:BOE1792 BXZ1792:BYA1792 CHV1792:CHW1792 CRR1792:CRS1792 DBN1792:DBO1792 DLJ1792:DLK1792 DVF1792:DVG1792 EFB1792:EFC1792 EOX1792:EOY1792 EYT1792:EYU1792 FIP1792:FIQ1792 FSL1792:FSM1792 GCH1792:GCI1792 GMD1792:GME1792 GVZ1792:GWA1792 HFV1792:HFW1792 HPR1792:HPS1792 HZN1792:HZO1792 IJJ1792:IJK1792 ITF1792:ITG1792 JDB1792:JDC1792 JMX1792:JMY1792 JWT1792:JWU1792 KGP1792:KGQ1792 KQL1792:KQM1792 LAH1792:LAI1792 LKD1792:LKE1792 LTZ1792:LUA1792 MDV1792:MDW1792 MNR1792:MNS1792 MXN1792:MXO1792 NHJ1792:NHK1792 NRF1792:NRG1792 OBB1792:OBC1792 OKX1792:OKY1792 OUT1792:OUU1792 PEP1792:PEQ1792 POL1792:POM1792 PYH1792:PYI1792 QID1792:QIE1792 QRZ1792:QSA1792 RBV1792:RBW1792 RLR1792:RLS1792 RVN1792:RVO1792 SFJ1792:SFK1792 SPF1792:SPG1792 SZB1792:SZC1792 TIX1792:TIY1792 TST1792:TSU1792 UCP1792:UCQ1792 UML1792:UMM1792 UWH1792:UWI1792 VGD1792:VGE1792 VPZ1792:VQA1792 VZV1792:VZW1792 WJR1792:WJS1792 WTN1792:WTO1792 C1793:C1794 QX1826:QY1826 AAT1826:AAU1826 AKP1826:AKQ1826 AUL1826:AUM1826 BEH1826:BEI1826 BOD1826:BOE1826 BXZ1826:BYA1826 CHV1826:CHW1826 CRR1826:CRS1826 DBN1826:DBO1826 DLJ1826:DLK1826 DVF1826:DVG1826 EFB1826:EFC1826 EOX1826:EOY1826 EYT1826:EYU1826 FIP1826:FIQ1826 FSL1826:FSM1826 GCH1826:GCI1826 GMD1826:GME1826 GVZ1826:GWA1826 HFV1826:HFW1826 HPR1826:HPS1826 HZN1826:HZO1826 IJJ1826:IJK1826 ITF1826:ITG1826 JDB1826:JDC1826 JMX1826:JMY1826 JWT1826:JWU1826 KGP1826:KGQ1826 KQL1826:KQM1826 LAH1826:LAI1826 LKD1826:LKE1826 LTZ1826:LUA1826 MDV1826:MDW1826 MNR1826:MNS1826 MXN1826:MXO1826 NHJ1826:NHK1826 NRF1826:NRG1826 OBB1826:OBC1826 OKX1826:OKY1826 OUT1826:OUU1826 PEP1826:PEQ1826 POL1826:POM1826 PYH1826:PYI1826 QID1826:QIE1826 QRZ1826:QSA1826 RBV1826:RBW1826 RLR1826:RLS1826 RVN1826:RVO1826 SFJ1826:SFK1826 SPF1826:SPG1826 SZB1826:SZC1826 TIX1826:TIY1826 TST1826:TSU1826 UCP1826:UCQ1826 UML1826:UMM1826 UWH1826:UWI1826 VGD1826:VGE1826 VPZ1826:VQA1826 VZV1826:VZW1826 WJR1826:WJS1826 B1500:C1500 E1614 HE1612 RA1612 AAW1612 AKS1612 AUO1612 BEK1612 BOG1612 BYC1612 CHY1612 CRU1612 DBQ1612 DLM1612 DVI1612 EFE1612 EPA1612 EYW1612 FIS1612 FSO1612 GCK1612 GMG1612 GWC1612 HFY1612 HPU1612 HZQ1612 IJM1612 ITI1612 JDE1612 JNA1612 JWW1612 KGS1612 KQO1612 LAK1612 LKG1612 LUC1612 MDY1612 MNU1612 MXQ1612 NHM1612 NRI1612 OBE1612 OLA1612 OUW1612 PES1612 POO1612 PYK1612 QIG1612 QSC1612 RBY1612 RLU1612 RVQ1612 SFM1612 SPI1612 SZE1612 TJA1612 TSW1612 UCS1612 UMO1612 UWK1612 VGG1612 VQC1612 VZY1612 WJU1612 WTQ1612 AAX1586:AAZ1612 AKT1586:AKV1612 AUP1586:AUR1612 BEL1586:BEN1612 BOH1586:BOJ1612 BYD1586:BYF1612 CHZ1586:CIB1612 CRV1586:CRX1612 DBR1586:DBT1612 DLN1586:DLP1612 DVJ1586:DVL1612 EFF1586:EFH1612 EPB1586:EPD1612 EYX1586:EYZ1612 FIT1586:FIV1612 FSP1586:FSR1612 GCL1586:GCN1612 GMH1586:GMJ1612 GWD1586:GWF1612 HFZ1586:HGB1612 HPV1586:HPX1612 HZR1586:HZT1612 IJN1586:IJP1612 ITJ1586:ITL1612 JDF1586:JDH1612 JNB1586:JND1612 JWX1586:JWZ1612 KGT1586:KGV1612 KQP1586:KQR1612 LAL1586:LAN1612 LKH1586:LKJ1612 LUD1586:LUF1612 MDZ1586:MEB1612 MNV1586:MNX1612 MXR1586:MXT1612 NHN1586:NHP1612 NRJ1586:NRL1612 OBF1586:OBH1612 OLB1586:OLD1612 OUX1586:OUZ1612 PET1586:PEV1612 POP1586:POR1612 PYL1586:PYN1612 QIH1586:QIJ1612 QSD1586:QSF1612 RBZ1586:RCB1612 RLV1586:RLX1612 RVR1586:RVT1612 SFN1586:SFP1612 SPJ1586:SPL1612 SZF1586:SZH1612 TJB1586:TJD1612 TSX1586:TSZ1612 UCT1586:UCV1612 UMP1586:UMR1612 UWL1586:UWN1612 VGH1586:VGJ1612 VQD1586:VQF1612 VZZ1586:WAB1612 WJV1586:WJX1612 WTR1586:WTT1612 F1591:H1614 HF1596:HH1612 RB1586:RD1612 C1843:C1844 C1883:C1886 HB1893:HC1893 QX1893:QY1893 AAT1893:AAU1893 AKP1893:AKQ1893 AUL1893:AUM1893 BEH1893:BEI1893 BOD1893:BOE1893 BXZ1893:BYA1893 CHV1893:CHW1893 CRR1893:CRS1893 DBN1893:DBO1893 DLJ1893:DLK1893 DVF1893:DVG1893 EFB1893:EFC1893 EOX1893:EOY1893 EYT1893:EYU1893 FIP1893:FIQ1893 FSL1893:FSM1893 GCH1893:GCI1893 GMD1893:GME1893 GVZ1893:GWA1893 HFV1893:HFW1893 HPR1893:HPS1893 HZN1893:HZO1893 IJJ1893:IJK1893 ITF1893:ITG1893 JDB1893:JDC1893 JMX1893:JMY1893 JWT1893:JWU1893 KGP1893:KGQ1893 KQL1893:KQM1893 LAH1893:LAI1893 LKD1893:LKE1893 LTZ1893:LUA1893 MDV1893:MDW1893 MNR1893:MNS1893 MXN1893:MXO1893 NHJ1893:NHK1893 NRF1893:NRG1893 OBB1893:OBC1893 OKX1893:OKY1893 OUT1893:OUU1893 PEP1893:PEQ1893 POL1893:POM1893 PYH1893:PYI1893 QID1893:QIE1893 QRZ1893:QSA1893 RBV1893:RBW1893 RLR1893:RLS1893 RVN1893:RVO1893 SFJ1893:SFK1893 SPF1893:SPG1893 SZB1893:SZC1893 TIX1893:TIY1893 TST1893:TSU1893 UCP1893:UCQ1893 UML1893:UMM1893 UWH1893:UWI1893 VGD1893:VGE1893 VPZ1893:VQA1893 VZV1893:VZW1893 WJR1893:WJS1893 WTN1882:WTO1883 WJR1882:WJS1883 VZV1882:VZW1883 VPZ1882:VQA1883 VGD1882:VGE1883 UWH1882:UWI1883 UML1882:UMM1883 UCP1882:UCQ1883 TST1882:TSU1883 TIX1882:TIY1883 SZB1882:SZC1883 SPF1882:SPG1883 SFJ1882:SFK1883 RVN1882:RVO1883 RLR1882:RLS1883 RBV1882:RBW1883 QRZ1882:QSA1883 QID1882:QIE1883 PYH1882:PYI1883 POL1882:POM1883 PEP1882:PEQ1883 OUT1882:OUU1883 OKX1882:OKY1883 OBB1882:OBC1883 NRF1882:NRG1883 NHJ1882:NHK1883 MXN1882:MXO1883 MNR1882:MNS1883 MDV1882:MDW1883 LTZ1882:LUA1883 LKD1882:LKE1883 LAH1882:LAI1883 KQL1882:KQM1883 KGP1882:KGQ1883 JWT1882:JWU1883 JMX1882:JMY1883 JDB1882:JDC1883 ITF1882:ITG1883 IJJ1882:IJK1883 HZN1882:HZO1883 HPR1882:HPS1883 HFV1882:HFW1883 GVZ1882:GWA1883 GMD1882:GME1883 GCH1882:GCI1883 FSL1882:FSM1883 FIP1882:FIQ1883 EYT1882:EYU1883 EOX1882:EOY1883 EFB1882:EFC1883 DVF1882:DVG1883 DLJ1882:DLK1883 DBN1882:DBO1883 CRR1882:CRS1883 CHV1882:CHW1883 BXZ1882:BYA1883 BOD1882:BOE1883 BEH1882:BEI1883 AUL1882:AUM1883 AKP1882:AKQ1883 AAT1882:AAU1883 QX1882:QY1883 HB1882:HC1883 C1876 B1936:C1936 HB1932:HC1933 QX1932:QY1933 AAT1932:AAU1933 AKP1932:AKQ1933 AUL1932:AUM1933 BEH1932:BEI1933 BOD1932:BOE1933 BXZ1932:BYA1933 CHV1932:CHW1933 CRR1932:CRS1933 DBN1932:DBO1933 DLJ1932:DLK1933 DVF1932:DVG1933 EFB1932:EFC1933 EOX1932:EOY1933 EYT1932:EYU1933 FIP1932:FIQ1933 FSL1932:FSM1933 GCH1932:GCI1933 GMD1932:GME1933 GVZ1932:GWA1933 HFV1932:HFW1933 HPR1932:HPS1933 HZN1932:HZO1933 IJJ1932:IJK1933 ITF1932:ITG1933 JDB1932:JDC1933 JMX1932:JMY1933 JWT1932:JWU1933 KGP1932:KGQ1933 KQL1932:KQM1933 LAH1932:LAI1933 LKD1932:LKE1933 LTZ1932:LUA1933 MDV1932:MDW1933 MNR1932:MNS1933 MXN1932:MXO1933 NHJ1932:NHK1933 NRF1932:NRG1933 OBB1932:OBC1933 OKX1932:OKY1933 OUT1932:OUU1933 PEP1932:PEQ1933 POL1932:POM1933 PYH1932:PYI1933 QID1932:QIE1933 QRZ1932:QSA1933 RBV1932:RBW1933 RLR1932:RLS1933 RVN1932:RVO1933 SFJ1932:SFK1933 SPF1932:SPG1933 SZB1932:SZC1933 TIX1932:TIY1933 TST1932:TSU1933 UCP1932:UCQ1933 UML1932:UMM1933 UWH1932:UWI1933 VGD1932:VGE1933 VPZ1932:VQA1933 VZV1932:VZW1933 WJR1932:WJS1933 C1860:C1861 HB1861:HC1863 QX1861:QY1863 AAT1861:AAU1863 AKP1861:AKQ1863 AUL1861:AUM1863 BEH1861:BEI1863 BOD1861:BOE1863 BXZ1861:BYA1863 CHV1861:CHW1863 CRR1861:CRS1863 DBN1861:DBO1863 DLJ1861:DLK1863 DVF1861:DVG1863 EFB1861:EFC1863 EOX1861:EOY1863 EYT1861:EYU1863 FIP1861:FIQ1863 FSL1861:FSM1863 GCH1861:GCI1863 GMD1861:GME1863 GVZ1861:GWA1863 HFV1861:HFW1863 HPR1861:HPS1863 HZN1861:HZO1863 IJJ1861:IJK1863 ITF1861:ITG1863 JDB1861:JDC1863 JMX1861:JMY1863 JWT1861:JWU1863 KGP1861:KGQ1863 KQL1861:KQM1863 LAH1861:LAI1863 LKD1861:LKE1863 LTZ1861:LUA1863 MDV1861:MDW1863 MNR1861:MNS1863 MXN1861:MXO1863 NHJ1861:NHK1863 NRF1861:NRG1863 OBB1861:OBC1863 OKX1861:OKY1863 OUT1861:OUU1863 PEP1861:PEQ1863 POL1861:POM1863 PYH1861:PYI1863 QID1861:QIE1863 QRZ1861:QSA1863 RBV1861:RBW1863 RLR1861:RLS1863 RVN1861:RVO1863 SFJ1861:SFK1863 SPF1861:SPG1863 SZB1861:SZC1863 TIX1861:TIY1863 TST1861:TSU1863 UCP1861:UCQ1863 UML1861:UMM1863 UWH1861:UWI1863 VGD1861:VGE1863 VPZ1861:VQA1863 VZV1861:VZW1863 WJR1861:WJS1863 C1762:C1765 C1535 C1800:C1801 HC1880:HC1881 QY1880:QY1881 AAU1880:AAU1881 AKQ1880:AKQ1881 AUM1880:AUM1881 BEI1880:BEI1881 BOE1880:BOE1881 BYA1880:BYA1881 CHW1880:CHW1881 CRS1880:CRS1881 DBO1880:DBO1881 DLK1880:DLK1881 DVG1880:DVG1881 EFC1880:EFC1881 EOY1880:EOY1881 EYU1880:EYU1881 FIQ1880:FIQ1881 FSM1880:FSM1881 GCI1880:GCI1881 GME1880:GME1881 GWA1880:GWA1881 HFW1880:HFW1881 HPS1880:HPS1881 HZO1880:HZO1881 IJK1880:IJK1881 ITG1880:ITG1881 JDC1880:JDC1881 JMY1880:JMY1881 JWU1880:JWU1881 KGQ1880:KGQ1881 KQM1880:KQM1881 LAI1880:LAI1881 LKE1880:LKE1881 LUA1880:LUA1881 MDW1880:MDW1881 MNS1880:MNS1881 MXO1880:MXO1881 NHK1880:NHK1881 NRG1880:NRG1881 OBC1880:OBC1881 OKY1880:OKY1881 OUU1880:OUU1881 PEQ1880:PEQ1881 POM1880:POM1881 PYI1880:PYI1881 QIE1880:QIE1881 QSA1880:QSA1881 RBW1880:RBW1881 RLS1880:RLS1881 RVO1880:RVO1881 SFK1880:SFK1881 SPG1880:SPG1881 SZC1880:SZC1881 TIY1880:TIY1881 TSU1880:TSU1881 UCQ1880:UCQ1881 UMM1880:UMM1881 UWI1880:UWI1881 VGE1880:VGE1881 VQA1880:VQA1881 VZW1880:VZW1881 WJS1880:WJS1881 AAX2016 F1622:H1622 HF1620:HH1620 RB1620:RD1620 AAX1620:AAZ1620 AKT1620:AKV1620 AUP1620:AUR1620 BEL1620:BEN1620 BOH1620:BOJ1620 BYD1620:BYF1620 CHZ1620:CIB1620 CRV1620:CRX1620 DBR1620:DBT1620 DLN1620:DLP1620 DVJ1620:DVL1620 EFF1620:EFH1620 EPB1620:EPD1620 EYX1620:EYZ1620 FIT1620:FIV1620 FSP1620:FSR1620 GCL1620:GCN1620 GMH1620:GMJ1620 GWD1620:GWF1620 HFZ1620:HGB1620 HPV1620:HPX1620 HZR1620:HZT1620 IJN1620:IJP1620 ITJ1620:ITL1620 JDF1620:JDH1620 JNB1620:JND1620 JWX1620:JWZ1620 KGT1620:KGV1620 KQP1620:KQR1620 LAL1620:LAN1620 LKH1620:LKJ1620 LUD1620:LUF1620 MDZ1620:MEB1620 MNV1620:MNX1620 MXR1620:MXT1620 NHN1620:NHP1620 NRJ1620:NRL1620 OBF1620:OBH1620 OLB1620:OLD1620 OUX1620:OUZ1620 PET1620:PEV1620 POP1620:POR1620 PYL1620:PYN1620 QIH1620:QIJ1620 QSD1620:QSF1620 RBZ1620:RCB1620 RLV1620:RLX1620 RVR1620:RVT1620 SFN1620:SFP1620 SPJ1620:SPL1620 SZF1620:SZH1620 TJB1620:TJD1620 TSX1620:TSZ1620 UCT1620:UCV1620 UMP1620:UMR1620 UWL1620:UWN1620 VGH1620:VGJ1620 VQD1620:VQF1620 VZZ1620:WAB1620 WJV1620:WJX1620 WTR1620:WTT1620 G1623:H1623 HG1621:HH1621 RC1621:RD1621 AAY1621:AAZ1621 AKU1621:AKV1621 AUQ1621:AUR1621 BEM1621:BEN1621 BOI1621:BOJ1621 BYE1621:BYF1621 CIA1621:CIB1621 CRW1621:CRX1621 DBS1621:DBT1621 DLO1621:DLP1621 DVK1621:DVL1621 EFG1621:EFH1621 EPC1621:EPD1621 EYY1621:EYZ1621 FIU1621:FIV1621 FSQ1621:FSR1621 GCM1621:GCN1621 GMI1621:GMJ1621 GWE1621:GWF1621 HGA1621:HGB1621 HPW1621:HPX1621 HZS1621:HZT1621 IJO1621:IJP1621 ITK1621:ITL1621 JDG1621:JDH1621 JNC1621:JND1621 JWY1621:JWZ1621 KGU1621:KGV1621 KQQ1621:KQR1621 LAM1621:LAN1621 LKI1621:LKJ1621 LUE1621:LUF1621 MEA1621:MEB1621 MNW1621:MNX1621 MXS1621:MXT1621 NHO1621:NHP1621 NRK1621:NRL1621 OBG1621:OBH1621 OLC1621:OLD1621 OUY1621:OUZ1621 PEU1621:PEV1621 POQ1621:POR1621 PYM1621:PYN1621 QII1621:QIJ1621 QSE1621:QSF1621 RCA1621:RCB1621 RLW1621:RLX1621 RVS1621:RVT1621 SFO1621:SFP1621 SPK1621:SPL1621 SZG1621:SZH1621 TJC1621:TJD1621 TSY1621:TSZ1621 UCU1621:UCV1621 UMQ1621:UMR1621 UWM1621:UWN1621 VGI1621:VGJ1621 VQE1621:VQF1621 WAA1621:WAB1621 WJW1621:WJX1621 WTS1621:WTT1621 HF1622:HH1625 RB1622:RD1625 AAX1622:AAZ1625 AKT1622:AKV1625 AUP1622:AUR1625 BEL1622:BEN1625 BOH1622:BOJ1625 BYD1622:BYF1625 CHZ1622:CIB1625 CRV1622:CRX1625 DBR1622:DBT1625 DLN1622:DLP1625 DVJ1622:DVL1625 EFF1622:EFH1625 EPB1622:EPD1625 EYX1622:EYZ1625 FIT1622:FIV1625 FSP1622:FSR1625 GCL1622:GCN1625 GMH1622:GMJ1625 GWD1622:GWF1625 HFZ1622:HGB1625 HPV1622:HPX1625 HZR1622:HZT1625 IJN1622:IJP1625 ITJ1622:ITL1625 JDF1622:JDH1625 JNB1622:JND1625 JWX1622:JWZ1625 KGT1622:KGV1625 KQP1622:KQR1625 LAL1622:LAN1625 LKH1622:LKJ1625 LUD1622:LUF1625 MDZ1622:MEB1625 MNV1622:MNX1625 MXR1622:MXT1625 NHN1622:NHP1625 NRJ1622:NRL1625 OBF1622:OBH1625 OLB1622:OLD1625 OUX1622:OUZ1625 PET1622:PEV1625 POP1622:POR1625 PYL1622:PYN1625 QIH1622:QIJ1625 QSD1622:QSF1625 RBZ1622:RCB1625 RLV1622:RLX1625 RVR1622:RVT1625 SFN1622:SFP1625 SPJ1622:SPL1625 SZF1622:SZH1625 TJB1622:TJD1625 TSX1622:TSZ1625 UCT1622:UCV1625 UMP1622:UMR1625 UWL1622:UWN1625 VGH1622:VGJ1625 VQD1622:VQF1625 VZZ1622:WAB1625 WJV1622:WJX1625 WTR1622:WTT1625 E1623:E1627 C1622 HC1620 QY1620 AAU1620 AKQ1620 AUM1620 BEI1620 BOE1620 BYA1620 CHW1620 CRS1620 DBO1620 DLK1620 DVG1620 EFC1620 EOY1620 EYU1620 FIQ1620 FSM1620 GCI1620 GME1620 GWA1620 HFW1620 HPS1620 HZO1620 IJK1620 ITG1620 JDC1620 JMY1620 JWU1620 KGQ1620 KQM1620 LAI1620 LKE1620 LUA1620 MDW1620 MNS1620 MXO1620 NHK1620 NRG1620 OBC1620 OKY1620 OUU1620 PEQ1620 POM1620 PYI1620 QIE1620 QSA1620 RBW1620 RLS1620 RVO1620 SFK1620 SPG1620 SZC1620 TIY1620 TSU1620 UCQ1620 UMM1620 UWI1620 VGE1620 VQA1620 VZW1620 WJS1620 WTO1620 HE1621:HE1625 RA1621:RA1625 AAW1621:AAW1625 AKS1621:AKS1625 AUO1621:AUO1625 BEK1621:BEK1625 BOG1621:BOG1625 BYC1621:BYC1625 CHY1621:CHY1625 CRU1621:CRU1625 DBQ1621:DBQ1625 DLM1621:DLM1625 DVI1621:DVI1625 EFE1621:EFE1625 EPA1621:EPA1625 EYW1621:EYW1625 FIS1621:FIS1625 FSO1621:FSO1625 GCK1621:GCK1625 GMG1621:GMG1625 GWC1621:GWC1625 HFY1621:HFY1625 HPU1621:HPU1625 HZQ1621:HZQ1625 IJM1621:IJM1625 ITI1621:ITI1625 JDE1621:JDE1625 JNA1621:JNA1625 JWW1621:JWW1625 KGS1621:KGS1625 KQO1621:KQO1625 LAK1621:LAK1625 LKG1621:LKG1625 LUC1621:LUC1625 MDY1621:MDY1625 MNU1621:MNU1625 MXQ1621:MXQ1625 NHM1621:NHM1625 NRI1621:NRI1625 OBE1621:OBE1625 OLA1621:OLA1625 OUW1621:OUW1625 PES1621:PES1625 POO1621:POO1625 PYK1621:PYK1625 QIG1621:QIG1625 QSC1621:QSC1625 RBY1621:RBY1625 RLU1621:RLU1625 RVQ1621:RVQ1625 SFM1621:SFM1625 SPI1621:SPI1625 SZE1621:SZE1625 TJA1621:TJA1625 TSW1621:TSW1625 UCS1621:UCS1625 UMO1621:UMO1625 UWK1621:UWK1625 VGG1621:VGG1625 VQC1621:VQC1625 VZY1621:VZY1625 WJU1621:WJU1625 WTQ1621:WTQ1625 WTN1621:WTO1625 WJR1621:WJS1625 VZV1621:VZW1625 VPZ1621:VQA1625 VGD1621:VGE1625 UWH1621:UWI1625 UML1621:UMM1625 UCP1621:UCQ1625 TST1621:TSU1625 TIX1621:TIY1625 SZB1621:SZC1625 SPF1621:SPG1625 SFJ1621:SFK1625 RVN1621:RVO1625 RLR1621:RLS1625 RBV1621:RBW1625 QRZ1621:QSA1625 QID1621:QIE1625 PYH1621:PYI1625 POL1621:POM1625 PEP1621:PEQ1625 OUT1621:OUU1625 OKX1621:OKY1625 OBB1621:OBC1625 NRF1621:NRG1625 NHJ1621:NHK1625 MXN1621:MXO1625 MNR1621:MNS1625 MDV1621:MDW1625 LTZ1621:LUA1625 LKD1621:LKE1625 LAH1621:LAI1625 KQL1621:KQM1625 KGP1621:KGQ1625 JWT1621:JWU1625 JMX1621:JMY1625 JDB1621:JDC1625 ITF1621:ITG1625 IJJ1621:IJK1625 HZN1621:HZO1625 HPR1621:HPS1625 HFV1621:HFW1625 GVZ1621:GWA1625 GMD1621:GME1625 GCH1621:GCI1625 FSL1621:FSM1625 FIP1621:FIQ1625 EYT1621:EYU1625 EOX1621:EOY1625 EFB1621:EFC1625 DVF1621:DVG1625 DLJ1621:DLK1625 DBN1621:DBO1625 CRR1621:CRS1625 CHV1621:CHW1625 BXZ1621:BYA1625 BOD1621:BOE1625 BEH1621:BEI1625 AUL1621:AUM1625 AKP1621:AKQ1625 AAT1621:AAU1625 QX1621:QY1625 HB1621:HC1625 B1623:C1627 QX2010:QY2015 AAT2010:AAU2015 AKP2010:AKQ2015 AUL2010:AUM2015 BEH2010:BEI2015 BOD2010:BOE2015 BXZ2010:BYA2015 CHV2010:CHW2015 CRR2010:CRS2015 DBN2010:DBO2015 DLJ2010:DLK2015 DVF2010:DVG2015 EFB2010:EFC2015 EOX2010:EOY2015 EYT2010:EYU2015 FIP2010:FIQ2015 FSL2010:FSM2015 GCH2010:GCI2015 GMD2010:GME2015 GVZ2010:GWA2015 HFV2010:HFW2015 HPR2010:HPS2015 HZN2010:HZO2015 IJJ2010:IJK2015 ITF2010:ITG2015 JDB2010:JDC2015 JMX2010:JMY2015 JWT2010:JWU2015 KGP2010:KGQ2015 KQL2010:KQM2015 LAH2010:LAI2015 LKD2010:LKE2015 LTZ2010:LUA2015 MDV2010:MDW2015 MNR2010:MNS2015 MXN2010:MXO2015 NHJ2010:NHK2015 NRF2010:NRG2015 OBB2010:OBC2015 OKX2010:OKY2015 OUT2010:OUU2015 PEP2010:PEQ2015 POL2010:POM2015 PYH2010:PYI2015 QID2010:QIE2015 QRZ2010:QSA2015 RBV2010:RBW2015 RLR2010:RLS2015 RVN2010:RVO2015 SFJ2010:SFK2015 SPF2010:SPG2015 SZB2010:SZC2015 TIX2010:TIY2015 TST2010:TSU2015 UCP2010:UCQ2015 UML2010:UMM2015 UWH2010:UWI2015 VGD2010:VGE2015 VPZ2010:VQA2015 VZV2010:VZW2015 WJR2010:WJS2015 WTN2010:WTO2015 RA2010:RD2015 F1624:H1627 HE2010:HH2015 E2013:H2018 WTQ2010:WTT2015 WJU2010:WJX2015 VZY2010:WAB2015 VQC2010:VQF2015 VGG2010:VGJ2015 UWK2010:UWN2015 UMO2010:UMR2015 UCS2010:UCV2015 TSW2010:TSZ2015 TJA2010:TJD2015 SZE2010:SZH2015 SPI2010:SPL2015 SFM2010:SFP2015 RVQ2010:RVT2015 RLU2010:RLX2015 RBY2010:RCB2015 QSC2010:QSF2015 QIG2010:QIJ2015 PYK2010:PYN2015 POO2010:POR2015 PES2010:PEV2015 OUW2010:OUZ2015 OLA2010:OLD2015 OBE2010:OBH2015 NRI2010:NRL2015 NHM2010:NHP2015 MXQ2010:MXT2015 MNU2010:MNX2015 MDY2010:MEB2015 LUC2010:LUF2015 LKG2010:LKJ2015 LAK2010:LAN2015 KQO2010:KQR2015 KGS2010:KGV2015 JWW2010:JWZ2015 JNA2010:JND2015 JDE2010:JDH2015 ITI2010:ITL2015 IJM2010:IJP2015 HZQ2010:HZT2015 HPU2010:HPX2015 HFY2010:HGB2015 GWC2010:GWF2015 GMG2010:GMJ2015 GCK2010:GCN2015 FSO2010:FSR2015 FIS2010:FIV2015 EYW2010:EYZ2015 EPA2010:EPD2015 EFE2010:EFH2015 DVI2010:DVL2015 DLM2010:DLP2015 DBQ2010:DBT2015 CRU2010:CRX2015 CHY2010:CIB2015 BYC2010:BYF2015 BOG2010:BOJ2015 BEK2010:BEN2015 AUO2010:AUR2015 AKS2010:AKV2015 AAW2010:AAZ2015 C1414 C1476 B1788:C1790 B1880:C1881 HB1792:HC1792 WTO1948 C1680 WTO1929 C1912:C1913 B1909:C1909 B1942:C1942 AAW2006:AAZ2008 AKS2006:AKV2008 AUO2006:AUR2008 BEK2006:BEN2008 BOG2006:BOJ2008 BYC2006:BYF2008 CHY2006:CIB2008 CRU2006:CRX2008 DBQ2006:DBT2008 DLM2006:DLP2008 DVI2006:DVL2008 EFE2006:EFH2008 EPA2006:EPD2008 EYW2006:EYZ2008 FIS2006:FIV2008 FSO2006:FSR2008 GCK2006:GCN2008 GMG2006:GMJ2008 GWC2006:GWF2008 HFY2006:HGB2008 HPU2006:HPX2008 HZQ2006:HZT2008 IJM2006:IJP2008 ITI2006:ITL2008 JDE2006:JDH2008 JNA2006:JND2008 JWW2006:JWZ2008 KGS2006:KGV2008 KQO2006:KQR2008 LAK2006:LAN2008 LKG2006:LKJ2008 LUC2006:LUF2008 MDY2006:MEB2008 MNU2006:MNX2008 MXQ2006:MXT2008 NHM2006:NHP2008 NRI2006:NRL2008 OBE2006:OBH2008 OLA2006:OLD2008 OUW2006:OUZ2008 PES2006:PEV2008 POO2006:POR2008 PYK2006:PYN2008 QIG2006:QIJ2008 QSC2006:QSF2008 RBY2006:RCB2008 RLU2006:RLX2008 RVQ2006:RVT2008 SFM2006:SFP2008 SPI2006:SPL2008 SZE2006:SZH2008 TJA2006:TJD2008 TSW2006:TSZ2008 UCS2006:UCV2008 UMO2006:UMR2008 UWK2006:UWN2008 VGG2006:VGJ2008 VQC2006:VQF2008 VZY2006:WAB2008 WJU2006:WJX2008 WTQ2006:WTT2008 HE2006:HH2008 RA2006:RD2008 AKT2016 AUP2016 BEL2016 BOH2016 BYD2016 CHZ2016 CRV2016 DBR2016 DLN2016 DVJ2016 EFF2016 EPB2016 EYX2016 FIT2016 FSP2016 GCL2016 GMH2016 GWD2016 HFZ2016 HPV2016 HZR2016 IJN2016 ITJ2016 JDF2016 JNB2016 JWX2016 KGT2016 KQP2016 LAL2016 LKH2016 LUD2016 MDZ2016 MNV2016 MXR2016 NHN2016 NRJ2016 OBF2016 OLB2016 OUX2016 PET2016 POP2016 PYL2016 QIH2016 QSD2016 RBZ2016 RLV2016 RVR2016 SFN2016 SPJ2016 SZF2016 TJB2016 TSX2016 UCT2016 UMP2016 UWL2016 VGH2016 VQD2016 VZZ2016 WJV2016 B247:C247 B1589:C1589 E1589 F1588:H1589 E2010:E2011 HC1798 QY1798 AAU1798 AKQ1798 AUM1798 BEI1798 BOE1798 BYA1798 CHW1798 CRS1798 DBO1798 DLK1798 DVG1798 EFC1798 EOY1798 EYU1798 FIQ1798 FSM1798 GCI1798 GME1798 GWA1798 HFW1798 HPS1798 HZO1798 IJK1798 ITG1798 JDC1798 JMY1798 JWU1798 KGQ1798 KQM1798 LAI1798 LKE1798 LUA1798 MDW1798 MNS1798 MXO1798 NHK1798 NRG1798 OBC1798 OKY1798 OUU1798 PEQ1798 POM1798 PYI1798 QIE1798 QSA1798 RBW1798 RLS1798 RVO1798 SFK1798 SPG1798 SZC1798 TIY1798 TSU1798 UCQ1798 UMM1798 UWI1798 VGE1798 VQA1798 VZW1798 WJS1798 WTO1798 B2006:C2011 C1871 HC1942 QY1942 AAU1942 AKQ1942 AUM1942 BEI1942 BOE1942 BYA1942 CHW1942 CRS1942 DBO1942 DLK1942 DVG1942 EFC1942 EOY1942 EYU1942 FIQ1942 FSM1942 GCI1942 GME1942 GWA1942 HFW1942 HPS1942 HZO1942 IJK1942 ITG1942 JDC1942 JMY1942 JWU1942 KGQ1942 KQM1942 LAI1942 LKE1942 LUA1942 MDW1942 MNS1942 MXO1942 NHK1942 NRG1942 OBC1942 OKY1942 OUU1942 PEQ1942 POM1942 PYI1942 QIE1942 QSA1942 RBW1942 RLS1942 RVO1942 SFK1942 SPG1942 SZC1942 TIY1942 TSU1942 UCQ1942 UMM1942 UWI1942 VGE1942 VQA1942 VZW1942 WJS1942 WTO1942 C1932 HC1840 HC1948 QY1948 AAU1948 AKQ1948 AUM1948 BEI1948 BOE1948 BYA1948 CHW1948 CRS1948 DBO1948 DLK1948 DVG1948 EFC1948 EOY1948 EYU1948 FIQ1948 FSM1948 GCI1948 GME1948 GWA1948 HFW1948 HPS1948 HZO1948 IJK1948 ITG1948 JDC1948 JMY1948 JWU1948 KGQ1948 KQM1948 LAI1948 LKE1948 LUA1948 MDW1948 MNS1948 MXO1948 NHK1948 NRG1948 OBC1948 OKY1948 OUU1948 PEQ1948 POM1948 PYI1948 QIE1948 QSA1948 RBW1948 RLS1948 RVO1948 SFK1948 SPG1948 SZC1948 TIY1948 TSU1948 UCQ1948 UMM1948 UWI1948 VGE1948 VQA1948 VZW1948 WJS1948 HC1868 QY1868 AAU1868 AKQ1868 AUM1868 BEI1868 BOE1868 BYA1868 CHW1868 CRS1868 DBO1868 DLK1868 DVG1868 EFC1868 EOY1868 EYU1868 FIQ1868 FSM1868 GCI1868 GME1868 GWA1868 HFW1868 HPS1868 HZO1868 IJK1868 ITG1868 JDC1868 JMY1868 JWU1868 KGQ1868 KQM1868 LAI1868 LKE1868 LUA1868 MDW1868 MNS1868 MXO1868 NHK1868 NRG1868 OBC1868 OKY1868 OUU1868 PEQ1868 POM1868 PYI1868 QIE1868 QSA1868 RBW1868 RLS1868 RVO1868 SFK1868 SPG1868 SZC1868 TIY1868 TSU1868 UCQ1868 UMM1868 UWI1868 VGE1868 VQA1868 VZW1868 WJS1868 C1822:C1823 C1945:C1947 E1653:H1653 B1869:C1870 B2013:C2015 AAU1929 AKQ1929 AUM1929 BEI1929 BOE1929 BYA1929 CHW1929 CRS1929 DBO1929 DLK1929 DVG1929 EFC1929 EOY1929 EYU1929 FIQ1929 FSM1929 GCI1929 GME1929 GWA1929 HFW1929 HPS1929 HZO1929 IJK1929 ITG1929 JDC1929 JMY1929 JWU1929 KGQ1929 KQM1929 LAI1929 LKE1929 LUA1929 MDW1929 MNS1929 MXO1929 NHK1929 NRG1929 OBC1929 OKY1929 OUU1929 PEQ1929 POM1929 PYI1929 QIE1929 QSA1929 RBW1929 RLS1929 RVO1929 SFK1929 SPG1929 SZC1929 TIY1929 TSU1929 UCQ1929 UMM1929 UWI1929 VGE1929 VQA1929 VZW1929 WJS1929 C1896:C1897 B1961:C1961 WTO1868 B1855:C1855 A1994:A2000 C1994:C2000 F1994:F2000 HC1929 QY1929 WTN1878:WTO1878 HB1878:HC1878 QX1878:QY1878 AAT1878:AAU1878 AKP1878:AKQ1878 AUL1878:AUM1878 BEH1878:BEI1878 BOD1878:BOE1878 BXZ1878:BYA1878 CHV1878:CHW1878 CRR1878:CRS1878 DBN1878:DBO1878 DLJ1878:DLK1878 DVF1878:DVG1878 EFB1878:EFC1878 EOX1878:EOY1878 EYT1878:EYU1878 FIP1878:FIQ1878 FSL1878:FSM1878 GCH1878:GCI1878 GMD1878:GME1878 GVZ1878:GWA1878 HFV1878:HFW1878 HPR1878:HPS1878 HZN1878:HZO1878 IJJ1878:IJK1878 ITF1878:ITG1878 JDB1878:JDC1878 JMX1878:JMY1878 JWT1878:JWU1878 KGP1878:KGQ1878 KQL1878:KQM1878 LAH1878:LAI1878 LKD1878:LKE1878 LTZ1878:LUA1878 MDV1878:MDW1878 MNR1878:MNS1878 MXN1878:MXO1878 NHJ1878:NHK1878 NRF1878:NRG1878 OBB1878:OBC1878 OKX1878:OKY1878 OUT1878:OUU1878 PEP1878:PEQ1878 POL1878:POM1878 PYH1878:PYI1878 QID1878:QIE1878 QRZ1878:QSA1878 RBV1878:RBW1878 RLR1878:RLS1878 RVN1878:RVO1878 SFJ1878:SFK1878 SPF1878:SPG1878 SZB1878:SZC1878 TIX1878:TIY1878 TST1878:TSU1878 UCP1878:UCQ1878 UML1878:UMM1878 UWH1878:UWI1878 VGD1878:VGE1878 VPZ1878:VQA1878 VZV1878:VZW1878 WJR1878:WJS1878 E1649:F1649 HE1647:HF1647 RA1647:RB1647 AAW1647:AAX1647 AKS1647:AKT1647 AUO1647:AUP1647 BEK1647:BEL1647 BOG1647:BOH1647 BYC1647:BYD1647 CHY1647:CHZ1647 CRU1647:CRV1647 DBQ1647:DBR1647 DLM1647:DLN1647 DVI1647:DVJ1647 EFE1647:EFF1647 EPA1647:EPB1647 EYW1647:EYX1647 FIS1647:FIT1647 FSO1647:FSP1647 GCK1647:GCL1647 GMG1647:GMH1647 GWC1647:GWD1647 HFY1647:HFZ1647 HPU1647:HPV1647 HZQ1647:HZR1647 IJM1647:IJN1647 ITI1647:ITJ1647 JDE1647:JDF1647 JNA1647:JNB1647 JWW1647:JWX1647 KGS1647:KGT1647 KQO1647:KQP1647 LAK1647:LAL1647 LKG1647:LKH1647 LUC1647:LUD1647 MDY1647:MDZ1647 MNU1647:MNV1647 MXQ1647:MXR1647 NHM1647:NHN1647 NRI1647:NRJ1647 OBE1647:OBF1647 OLA1647:OLB1647 OUW1647:OUX1647 PES1647:PET1647 POO1647:POP1647 PYK1647:PYL1647 QIG1647:QIH1647 QSC1647:QSD1647 RBY1647:RBZ1647 RLU1647:RLV1647 RVQ1647:RVR1647 SFM1647:SFN1647 SPI1647:SPJ1647 SZE1647:SZF1647 TJA1647:TJB1647 TSW1647:TSX1647 UCS1647:UCT1647 UMO1647:UMP1647 UWK1647:UWL1647 VGG1647:VGH1647 VQC1647:VQD1647 VZY1647:VZZ1647 WJU1647:WJV1647 WTQ1647:WTR1647 F1651:H1651 HF1649:HH1649 RB1649:RD1649 AAX1649:AAZ1649 AKT1649:AKV1649 AUP1649:AUR1649 BEL1649:BEN1649 BOH1649:BOJ1649 BYD1649:BYF1649 CHZ1649:CIB1649 CRV1649:CRX1649 DBR1649:DBT1649 DLN1649:DLP1649 DVJ1649:DVL1649 EFF1649:EFH1649 EPB1649:EPD1649 EYX1649:EYZ1649 FIT1649:FIV1649 FSP1649:FSR1649 GCL1649:GCN1649 GMH1649:GMJ1649 GWD1649:GWF1649 HFZ1649:HGB1649 HPV1649:HPX1649 HZR1649:HZT1649 IJN1649:IJP1649 ITJ1649:ITL1649 JDF1649:JDH1649 JNB1649:JND1649 JWX1649:JWZ1649 KGT1649:KGV1649 KQP1649:KQR1649 LAL1649:LAN1649 LKH1649:LKJ1649 LUD1649:LUF1649 MDZ1649:MEB1649 MNV1649:MNX1649 MXR1649:MXT1649 NHN1649:NHP1649 NRJ1649:NRL1649 OBF1649:OBH1649 OLB1649:OLD1649 OUX1649:OUZ1649 PET1649:PEV1649 POP1649:POR1649 PYL1649:PYN1649 QIH1649:QIJ1649 QSD1649:QSF1649 RBZ1649:RCB1649 RLV1649:RLX1649 RVR1649:RVT1649 SFN1649:SFP1649 SPJ1649:SPL1649 SZF1649:SZH1649 TJB1649:TJD1649 TSX1649:TSZ1649 UCT1649:UCV1649 UMP1649:UMR1649 UWL1649:UWN1649 VGH1649:VGJ1649 VQD1649:VQF1649 VZZ1649:WAB1649 WJV1649:WJX1649 WTR1649:WTT1649 A1649 HA1647 QW1647 AAS1647 AKO1647 AUK1647 BEG1647 BOC1647 BXY1647 CHU1647 CRQ1647 DBM1647 DLI1647 DVE1647 EFA1647 EOW1647 EYS1647 FIO1647 FSK1647 GCG1647 GMC1647 GVY1647 HFU1647 HPQ1647 HZM1647 IJI1647 ITE1647 JDA1647 JMW1647 JWS1647 KGO1647 KQK1647 LAG1647 LKC1647 LTY1647 MDU1647 MNQ1647 MXM1647 NHI1647 NRE1647 OBA1647 OKW1647 OUS1647 PEO1647 POK1647 PYG1647 QIC1647 QRY1647 RBU1647 RLQ1647 RVM1647 SFI1647 SPE1647 SZA1647 TIW1647 TSS1647 UCO1647 UMK1647 UWG1647 VGC1647 VPY1647 VZU1647 WJQ1647 WTM1647 HE1649:HE1650 RA1649:RA1650 AAW1649:AAW1650 AKS1649:AKS1650 AUO1649:AUO1650 BEK1649:BEK1650 BOG1649:BOG1650 BYC1649:BYC1650 CHY1649:CHY1650 CRU1649:CRU1650 DBQ1649:DBQ1650 DLM1649:DLM1650 DVI1649:DVI1650 EFE1649:EFE1650 EPA1649:EPA1650 EYW1649:EYW1650 FIS1649:FIS1650 FSO1649:FSO1650 GCK1649:GCK1650 GMG1649:GMG1650 GWC1649:GWC1650 HFY1649:HFY1650 HPU1649:HPU1650 HZQ1649:HZQ1650 IJM1649:IJM1650 ITI1649:ITI1650 JDE1649:JDE1650 JNA1649:JNA1650 JWW1649:JWW1650 KGS1649:KGS1650 KQO1649:KQO1650 LAK1649:LAK1650 LKG1649:LKG1650 LUC1649:LUC1650 MDY1649:MDY1650 MNU1649:MNU1650 MXQ1649:MXQ1650 NHM1649:NHM1650 NRI1649:NRI1650 OBE1649:OBE1650 OLA1649:OLA1650 OUW1649:OUW1650 PES1649:PES1650 POO1649:POO1650 PYK1649:PYK1650 QIG1649:QIG1650 QSC1649:QSC1650 RBY1649:RBY1650 RLU1649:RLU1650 RVQ1649:RVQ1650 SFM1649:SFM1650 SPI1649:SPI1650 SZE1649:SZE1650 TJA1649:TJA1650 TSW1649:TSW1650 UCS1649:UCS1650 UMO1649:UMO1650 UWK1649:UWK1650 VGG1649:VGG1650 VQC1649:VQC1650 VZY1649:VZY1650 WJU1649:WJU1650 WTQ1649:WTQ1650 A1651:C1652 B1650 HB1648 QX1648 AAT1648 AKP1648 AUL1648 BEH1648 BOD1648 BXZ1648 CHV1648 CRR1648 DBN1648 DLJ1648 DVF1648 EFB1648 EOX1648 EYT1648 FIP1648 FSL1648 GCH1648 GMD1648 GVZ1648 HFV1648 HPR1648 HZN1648 IJJ1648 ITF1648 JDB1648 JMX1648 JWT1648 KGP1648 KQL1648 LAH1648 LKD1648 LTZ1648 MDV1648 MNR1648 MXN1648 NHJ1648 NRF1648 OBB1648 OKX1648 OUT1648 PEP1648 POL1648 PYH1648 QID1648 QRZ1648 RBV1648 RLR1648 RVN1648 SFJ1648 SPF1648 SZB1648 TIX1648 TST1648 UCP1648 UML1648 UWH1648 VGD1648 VPZ1648 VZV1648 WJR1648 WTN1648 HA1649:HC1650 QW1649:QY1650 AAS1649:AAU1650 AKO1649:AKQ1650 AUK1649:AUM1650 BEG1649:BEI1650 BOC1649:BOE1650 BXY1649:BYA1650 CHU1649:CHW1650 CRQ1649:CRS1650 DBM1649:DBO1650 DLI1649:DLK1650 DVE1649:DVG1650 EFA1649:EFC1650 EOW1649:EOY1650 EYS1649:EYU1650 FIO1649:FIQ1650 FSK1649:FSM1650 GCG1649:GCI1650 GMC1649:GME1650 GVY1649:GWA1650 HFU1649:HFW1650 HPQ1649:HPS1650 HZM1649:HZO1650 IJI1649:IJK1650 ITE1649:ITG1650 JDA1649:JDC1650 JMW1649:JMY1650 JWS1649:JWU1650 KGO1649:KGQ1650 KQK1649:KQM1650 LAG1649:LAI1650 LKC1649:LKE1650 LTY1649:LUA1650 MDU1649:MDW1650 MNQ1649:MNS1650 MXM1649:MXO1650 NHI1649:NHK1650 NRE1649:NRG1650 OBA1649:OBC1650 OKW1649:OKY1650 OUS1649:OUU1650 PEO1649:PEQ1650 POK1649:POM1650 PYG1649:PYI1650 QIC1649:QIE1650 QRY1649:QSA1650 RBU1649:RBW1650 RLQ1649:RLS1650 RVM1649:RVO1650 SFI1649:SFK1650 SPE1649:SPG1650 SZA1649:SZC1650 TIW1649:TIY1650 TSS1649:TSU1650 UCO1649:UCQ1650 UMK1649:UMM1650 UWG1649:UWI1650 VGC1649:VGE1650 VPY1649:VQA1650 VZU1649:VZW1650 WJQ1649:WJS1650 WTM1649:WTO1650 E1651:E1652 HE1651:HH1651 RA1651:RD1651 AAW1651:AAZ1651 AKS1651:AKV1651 AUO1651:AUR1651 BEK1651:BEN1651 BOG1651:BOJ1651 BYC1651:BYF1651 CHY1651:CIB1651 CRU1651:CRX1651 DBQ1651:DBT1651 DLM1651:DLP1651 DVI1651:DVL1651 EFE1651:EFH1651 EPA1651:EPD1651 EYW1651:EYZ1651 FIS1651:FIV1651 FSO1651:FSR1651 GCK1651:GCN1651 GMG1651:GMJ1651 GWC1651:GWF1651 HFY1651:HGB1651 HPU1651:HPX1651 HZQ1651:HZT1651 IJM1651:IJP1651 ITI1651:ITL1651 JDE1651:JDH1651 JNA1651:JND1651 JWW1651:JWZ1651 KGS1651:KGV1651 KQO1651:KQR1651 LAK1651:LAN1651 LKG1651:LKJ1651 LUC1651:LUF1651 MDY1651:MEB1651 MNU1651:MNX1651 MXQ1651:MXT1651 NHM1651:NHP1651 NRI1651:NRL1651 OBE1651:OBH1651 OLA1651:OLD1651 OUW1651:OUZ1651 PES1651:PEV1651 POO1651:POR1651 PYK1651:PYN1651 QIG1651:QIJ1651 QSC1651:QSF1651 RBY1651:RCB1651 RLU1651:RLX1651 RVQ1651:RVT1651 SFM1651:SFP1651 SPI1651:SPL1651 SZE1651:SZH1651 TJA1651:TJD1651 TSW1651:TSZ1651 UCS1651:UCV1651 UMO1651:UMR1651 UWK1651:UWN1651 VGG1651:VGJ1651 VQC1651:VQF1651 VZY1651:WAB1651 WJU1651:WJX1651 WTQ1651:WTT1651 B1653:C1653 HB1651:HC1651 QX1651:QY1651 AAT1651:AAU1651 AKP1651:AKQ1651 AUL1651:AUM1651 BEH1651:BEI1651 BOD1651:BOE1651 BXZ1651:BYA1651 CHV1651:CHW1651 CRR1651:CRS1651 DBN1651:DBO1651 DLJ1651:DLK1651 DVF1651:DVG1651 EFB1651:EFC1651 EOX1651:EOY1651 EYT1651:EYU1651 FIP1651:FIQ1651 FSL1651:FSM1651 GCH1651:GCI1651 GMD1651:GME1651 GVZ1651:GWA1651 HFV1651:HFW1651 HPR1651:HPS1651 HZN1651:HZO1651 IJJ1651:IJK1651 ITF1651:ITG1651 JDB1651:JDC1651 JMX1651:JMY1651 JWT1651:JWU1651 KGP1651:KGQ1651 KQL1651:KQM1651 LAH1651:LAI1651 LKD1651:LKE1651 LTZ1651:LUA1651 MDV1651:MDW1651 MNR1651:MNS1651 MXN1651:MXO1651 NHJ1651:NHK1651 NRF1651:NRG1651 OBB1651:OBC1651 OKX1651:OKY1651 OUT1651:OUU1651 PEP1651:PEQ1651 POL1651:POM1651 PYH1651:PYI1651 QID1651:QIE1651 QRZ1651:QSA1651 RBV1651:RBW1651 RLR1651:RLS1651 RVN1651:RVO1651 SFJ1651:SFK1651 SPF1651:SPG1651 SZB1651:SZC1651 TIX1651:TIY1651 TST1651:TSU1651 UCP1651:UCQ1651 UML1651:UMM1651 UWH1651:UWI1651 VGD1651:VGE1651 VPZ1651:VQA1651 VZV1651:VZW1651 WJR1651:WJS1651 WTN1651:WTO1651 WTN1652:WTN1662 C1951 HB1652:HB1662 QX1652:QX1662 AAT1652:AAT1662 AKP1652:AKP1662 AUL1652:AUL1662 BEH1652:BEH1662 BOD1652:BOD1662 BXZ1652:BXZ1662 CHV1652:CHV1662 CRR1652:CRR1662 DBN1652:DBN1662 DLJ1652:DLJ1662 DVF1652:DVF1662 EFB1652:EFB1662 EOX1652:EOX1662 EYT1652:EYT1662 FIP1652:FIP1662 FSL1652:FSL1662 GCH1652:GCH1662 GMD1652:GMD1662 GVZ1652:GVZ1662 HFV1652:HFV1662 HPR1652:HPR1662 HZN1652:HZN1662 IJJ1652:IJJ1662 ITF1652:ITF1662 JDB1652:JDB1662 JMX1652:JMX1662 JWT1652:JWT1662 KGP1652:KGP1662 KQL1652:KQL1662 LAH1652:LAH1662 LKD1652:LKD1662 LTZ1652:LTZ1662 MDV1652:MDV1662 MNR1652:MNR1662 MXN1652:MXN1662 NHJ1652:NHJ1662 NRF1652:NRF1662 OBB1652:OBB1662 OKX1652:OKX1662 OUT1652:OUT1662 PEP1652:PEP1662 POL1652:POL1662 PYH1652:PYH1662 QID1652:QID1662 QRZ1652:QRZ1662 RBV1652:RBV1662 RLR1652:RLR1662 RVN1652:RVN1662 SFJ1652:SFJ1662 SPF1652:SPF1662 SZB1652:SZB1662 TIX1652:TIX1662 TST1652:TST1662 UCP1652:UCP1662 UML1652:UML1662 UWH1652:UWH1662 VGD1652:VGD1662 VPZ1652:VPZ1662 VZV1652:VZV1662 WJR1652:WJR1662 B2017:C2018 HB2010:HC2015 F2019:F2028 HF2016 RB2016 C1840:C1841 QY1840 AAU1840 AKQ1840 AUM1840 BEI1840 BOE1840 BYA1840 CHW1840 CRS1840 DBO1840 DLK1840 DVG1840 EFC1840 EOY1840 EYU1840 FIQ1840 FSM1840 GCI1840 GME1840 GWA1840 HFW1840 HPS1840 HZO1840 IJK1840 ITG1840 JDC1840 JMY1840 JWU1840 KGQ1840 KQM1840 LAI1840 LKE1840 LUA1840 MDW1840 MNS1840 MXO1840 NHK1840 NRG1840 OBC1840 OKY1840 OUU1840 PEQ1840 POM1840 PYI1840 QIE1840 QSA1840 RBW1840 RLS1840 RVO1840 SFK1840 SPG1840 SZC1840 TIY1840 TSU1840 UCQ1840 UMM1840 UWI1840 VGE1840 VQA1840 VZW1840 WJS1840 WTO1840 HF2003:HH2008 B1863:C1866 F2006:H2011 WTN2003:WTO2008 WJR2003:WJS2008 VZV2003:VZW2008 VPZ2003:VQA2008 VGD2003:VGE2008 UWH2003:UWI2008 UML2003:UMM2008 UCP2003:UCQ2008 TST2003:TSU2008 TIX2003:TIY2008 SZB2003:SZC2008 SPF2003:SPG2008 SFJ2003:SFK2008 RVN2003:RVO2008 RLR2003:RLS2008 RBV2003:RBW2008 QRZ2003:QSA2008 QID2003:QIE2008 PYH2003:PYI2008 POL2003:POM2008 PEP2003:PEQ2008 OUT2003:OUU2008 OKX2003:OKY2008 OBB2003:OBC2008 NRF2003:NRG2008 NHJ2003:NHK2008 MXN2003:MXO2008 MNR2003:MNS2008 MDV2003:MDW2008 LTZ2003:LUA2008 LKD2003:LKE2008 LAH2003:LAI2008 KQL2003:KQM2008 KGP2003:KGQ2008 JWT2003:JWU2008 JMX2003:JMY2008 JDB2003:JDC2008 ITF2003:ITG2008 IJJ2003:IJK2008 HZN2003:HZO2008 HPR2003:HPS2008 HFV2003:HFW2008 GVZ2003:GWA2008 GMD2003:GME2008 GCH2003:GCI2008 FSL2003:FSM2008 FIP2003:FIQ2008 EYT2003:EYU2008 EOX2003:EOY2008 EFB2003:EFC2008 DVF2003:DVG2008 DLJ2003:DLK2008 DBN2003:DBO2008 CRR2003:CRS2008 CHV2003:CHW2008 BXZ2003:BYA2008 BOD2003:BOE2008 BEH2003:BEI2008 AUL2003:AUM2008 AKP2003:AKQ2008 AAT2003:AAU2008 QX2003:QY2008 HB2003:HC2008 WTR2003:WTT2008 WJV2003:WJX2008 VZZ2003:WAB2008 VQD2003:VQF2008 VGH2003:VGJ2008 UWL2003:UWN2008 UMP2003:UMR2008 UCT2003:UCV2008 TSX2003:TSZ2008 TJB2003:TJD2008 SZF2003:SZH2008 SPJ2003:SPL2008 SFN2003:SFP2008 RVR2003:RVT2008 RLV2003:RLX2008 RBZ2003:RCB2008 QSD2003:QSF2008 QIH2003:QIJ2008 PYL2003:PYN2008 POP2003:POR2008 PET2003:PEV2008 OUX2003:OUZ2008 OLB2003:OLD2008 OBF2003:OBH2008 NRJ2003:NRL2008 NHN2003:NHP2008 MXR2003:MXT2008 MNV2003:MNX2008 MDZ2003:MEB2008 LUD2003:LUF2008 LKH2003:LKJ2008 LAL2003:LAN2008 KQP2003:KQR2008 KGT2003:KGV2008 JWX2003:JWZ2008 JNB2003:JND2008 JDF2003:JDH2008 ITJ2003:ITL2008 IJN2003:IJP2008 HZR2003:HZT2008 HPV2003:HPX2008 HFZ2003:HGB2008 GWD2003:GWF2008 GMH2003:GMJ2008 GCL2003:GCN2008 FSP2003:FSR2008 FIT2003:FIV2008 EYX2003:EYZ2008 EPB2003:EPD2008 EFF2003:EFH2008 DVJ2003:DVL2008 DLN2003:DLP2008 DBR2003:DBT2008 CRV2003:CRX2008 CHZ2003:CIB2008 BYD2003:BYF2008 BOH2003:BOJ2008 BEL2003:BEN2008 AUP2003:AUR2008 AKT2003:AKV2008 AAX2003:AAZ2008 RB2003:RD2008 F1687:H1687 HE1687:HG1687 RA1687:RC1687 AAW1687:AAY1687 AKS1687:AKU1687 AUO1687:AUQ1687 BEK1687:BEM1687 BOG1687:BOI1687 BYC1687:BYE1687 CHY1687:CIA1687 CRU1687:CRW1687 DBQ1687:DBS1687 DLM1687:DLO1687 DVI1687:DVK1687 EFE1687:EFG1687 EPA1687:EPC1687 EYW1687:EYY1687 FIS1687:FIU1687 FSO1687:FSQ1687 GCK1687:GCM1687 GMG1687:GMI1687 GWC1687:GWE1687 HFY1687:HGA1687 HPU1687:HPW1687 HZQ1687:HZS1687 IJM1687:IJO1687 ITI1687:ITK1687 JDE1687:JDG1687 JNA1687:JNC1687 JWW1687:JWY1687 KGS1687:KGU1687 KQO1687:KQQ1687 LAK1687:LAM1687 LKG1687:LKI1687 LUC1687:LUE1687 MDY1687:MEA1687 MNU1687:MNW1687 MXQ1687:MXS1687 NHM1687:NHO1687 NRI1687:NRK1687 OBE1687:OBG1687 OLA1687:OLC1687 OUW1687:OUY1687 PES1687:PEU1687 POO1687:POQ1687 PYK1687:PYM1687 QIG1687:QII1687 QSC1687:QSE1687 RBY1687:RCA1687 RLU1687:RLW1687 RVQ1687:RVS1687 SFM1687:SFO1687 SPI1687:SPK1687 SZE1687:SZG1687 TJA1687:TJC1687 TSW1687:TSY1687 UCS1687:UCU1687 UMO1687:UMQ1687 UWK1687:UWM1687 VGG1687:VGI1687 VQC1687:VQE1687 VZY1687:WAA1687 WJU1687:WJW1687 WTQ1687:WTS1687 HA1688:HA1689 QW1688:QW1689 AAS1688:AAS1689 AKO1688:AKO1689 AUK1688:AUK1689 BEG1688:BEG1689 BOC1688:BOC1689 BXY1688:BXY1689 CHU1688:CHU1689 CRQ1688:CRQ1689 DBM1688:DBM1689 DLI1688:DLI1689 DVE1688:DVE1689 EFA1688:EFA1689 EOW1688:EOW1689 EYS1688:EYS1689 FIO1688:FIO1689 FSK1688:FSK1689 GCG1688:GCG1689 GMC1688:GMC1689 GVY1688:GVY1689 HFU1688:HFU1689 HPQ1688:HPQ1689 HZM1688:HZM1689 IJI1688:IJI1689 ITE1688:ITE1689 JDA1688:JDA1689 JMW1688:JMW1689 JWS1688:JWS1689 KGO1688:KGO1689 KQK1688:KQK1689 LAG1688:LAG1689 LKC1688:LKC1689 LTY1688:LTY1689 MDU1688:MDU1689 MNQ1688:MNQ1689 MXM1688:MXM1689 NHI1688:NHI1689 NRE1688:NRE1689 OBA1688:OBA1689 OKW1688:OKW1689 OUS1688:OUS1689 PEO1688:PEO1689 POK1688:POK1689 PYG1688:PYG1689 QIC1688:QIC1689 QRY1688:QRY1689 RBU1688:RBU1689 RLQ1688:RLQ1689 RVM1688:RVM1689 SFI1688:SFI1689 SPE1688:SPE1689 SZA1688:SZA1689 TIW1688:TIW1689 TSS1688:TSS1689 UCO1688:UCO1689 UMK1688:UMK1689 UWG1688:UWG1689 VGC1688:VGC1689 VPY1688:VPY1689 VZU1688:VZU1689 WJQ1688:WJQ1689 WTM1688:WTM1689 WTM1687:WTN1687 B1687:C1687 HA1687:HB1687 QW1687:QX1687 AAS1687:AAT1687 AKO1687:AKP1687 AUK1687:AUL1687 BEG1687:BEH1687 BOC1687:BOD1687 BXY1687:BXZ1687 CHU1687:CHV1687 CRQ1687:CRR1687 DBM1687:DBN1687 DLI1687:DLJ1687 DVE1687:DVF1687 EFA1687:EFB1687 EOW1687:EOX1687 EYS1687:EYT1687 FIO1687:FIP1687 FSK1687:FSL1687 GCG1687:GCH1687 GMC1687:GMD1687 GVY1687:GVZ1687 HFU1687:HFV1687 HPQ1687:HPR1687 HZM1687:HZN1687 IJI1687:IJJ1687 ITE1687:ITF1687 JDA1687:JDB1687 JMW1687:JMX1687 JWS1687:JWT1687 KGO1687:KGP1687 KQK1687:KQL1687 LAG1687:LAH1687 LKC1687:LKD1687 LTY1687:LTZ1687 MDU1687:MDV1687 MNQ1687:MNR1687 MXM1687:MXN1687 NHI1687:NHJ1687 NRE1687:NRF1687 OBA1687:OBB1687 OKW1687:OKX1687 OUS1687:OUT1687 PEO1687:PEP1687 POK1687:POL1687 PYG1687:PYH1687 QIC1687:QID1687 QRY1687:QRZ1687 RBU1687:RBV1687 RLQ1687:RLR1687 RVM1687:RVN1687 SFI1687:SFJ1687 SPE1687:SPF1687 SZA1687:SZB1687 TIW1687:TIX1687 TSS1687:TST1687 UCO1687:UCP1687 UMK1687:UML1687 UWG1687:UWH1687 VGC1687:VGD1687 VPY1687:VPZ1687 VZU1687:VZV1687 WJQ1687:WJR1687 B1688:B1689 HD1690:HG1690 QZ1690:RC1690 AAV1690:AAY1690 AKR1690:AKU1690 AUN1690:AUQ1690 BEJ1690:BEM1690 BOF1690:BOI1690 BYB1690:BYE1690 CHX1690:CIA1690 CRT1690:CRW1690 DBP1690:DBS1690 DLL1690:DLO1690 DVH1690:DVK1690 EFD1690:EFG1690 EOZ1690:EPC1690 EYV1690:EYY1690 FIR1690:FIU1690 FSN1690:FSQ1690 GCJ1690:GCM1690 GMF1690:GMI1690 GWB1690:GWE1690 HFX1690:HGA1690 HPT1690:HPW1690 HZP1690:HZS1690 IJL1690:IJO1690 ITH1690:ITK1690 JDD1690:JDG1690 JMZ1690:JNC1690 JWV1690:JWY1690 KGR1690:KGU1690 KQN1690:KQQ1690 LAJ1690:LAM1690 LKF1690:LKI1690 LUB1690:LUE1690 MDX1690:MEA1690 MNT1690:MNW1690 MXP1690:MXS1690 NHL1690:NHO1690 NRH1690:NRK1690 OBD1690:OBG1690 OKZ1690:OLC1690 OUV1690:OUY1690 PER1690:PEU1690 PON1690:POQ1690 PYJ1690:PYM1690 QIF1690:QII1690 QSB1690:QSE1690 RBX1690:RCA1690 RLT1690:RLW1690 RVP1690:RVS1690 SFL1690:SFO1690 SPH1690:SPK1690 SZD1690:SZG1690 TIZ1690:TJC1690 TSV1690:TSY1690 UCR1690:UCU1690 UMN1690:UMQ1690 UWJ1690:UWM1690 VGF1690:VGI1690 VQB1690:VQE1690 VZX1690:WAA1690 WJT1690:WJW1690 WTP1690:WTS1690 A1690 GZ1690 QV1690 AAR1690 AKN1690 AUJ1690 BEF1690 BOB1690 BXX1690 CHT1690 CRP1690 DBL1690 DLH1690 DVD1690 EEZ1690 EOV1690 EYR1690 FIN1690 FSJ1690 GCF1690 GMB1690 GVX1690 HFT1690 HPP1690 HZL1690 IJH1690 ITD1690 JCZ1690 JMV1690 JWR1690 KGN1690 KQJ1690 LAF1690 LKB1690 LTX1690 MDT1690 MNP1690 MXL1690 NHH1690 NRD1690 OAZ1690 OKV1690 OUR1690 PEN1690 POJ1690 PYF1690 QIB1690 QRX1690 RBT1690 RLP1690 RVL1690 SFH1690 SPD1690 SYZ1690 TIV1690 TSR1690 UCN1690 UMJ1690 UWF1690 VGB1690 VPX1690 VZT1690 WJP1690 WTL1690 E1690:H1690 QW1691:QW1692 AAS1691:AAS1692 AKO1691:AKO1692 AUK1691:AUK1692 BEG1691:BEG1692 BOC1691:BOC1692 BXY1691:BXY1692 CHU1691:CHU1692 CRQ1691:CRQ1692 DBM1691:DBM1692 DLI1691:DLI1692 DVE1691:DVE1692 EFA1691:EFA1692 EOW1691:EOW1692 EYS1691:EYS1692 FIO1691:FIO1692 FSK1691:FSK1692 GCG1691:GCG1692 GMC1691:GMC1692 GVY1691:GVY1692 HFU1691:HFU1692 HPQ1691:HPQ1692 HZM1691:HZM1692 IJI1691:IJI1692 ITE1691:ITE1692 JDA1691:JDA1692 JMW1691:JMW1692 JWS1691:JWS1692 KGO1691:KGO1692 KQK1691:KQK1692 LAG1691:LAG1692 LKC1691:LKC1692 LTY1691:LTY1692 MDU1691:MDU1692 MNQ1691:MNQ1692 MXM1691:MXM1692 NHI1691:NHI1692 NRE1691:NRE1692 OBA1691:OBA1692 OKW1691:OKW1692 OUS1691:OUS1692 PEO1691:PEO1692 POK1691:POK1692 PYG1691:PYG1692 QIC1691:QIC1692 QRY1691:QRY1692 RBU1691:RBU1692 RLQ1691:RLQ1692 RVM1691:RVM1692 SFI1691:SFI1692 SPE1691:SPE1692 SZA1691:SZA1692 TIW1691:TIW1692 TSS1691:TSS1692 UCO1691:UCO1692 UMK1691:UMK1692 UWG1691:UWG1692 VGC1691:VGC1692 VPY1691:VPY1692 VZU1691:VZU1692 WJQ1691:WJQ1692 WTM1691:WTM1692 B1691:B1692 HA1693:HB1693 QW1693:QX1693 AAS1693:AAT1693 AKO1693:AKP1693 AUK1693:AUL1693 BEG1693:BEH1693 BOC1693:BOD1693 BXY1693:BXZ1693 CHU1693:CHV1693 CRQ1693:CRR1693 DBM1693:DBN1693 DLI1693:DLJ1693 DVE1693:DVF1693 EFA1693:EFB1693 EOW1693:EOX1693 EYS1693:EYT1693 FIO1693:FIP1693 FSK1693:FSL1693 GCG1693:GCH1693 GMC1693:GMD1693 GVY1693:GVZ1693 HFU1693:HFV1693 HPQ1693:HPR1693 HZM1693:HZN1693 IJI1693:IJJ1693 ITE1693:ITF1693 JDA1693:JDB1693 JMW1693:JMX1693 JWS1693:JWT1693 KGO1693:KGP1693 KQK1693:KQL1693 LAG1693:LAH1693 LKC1693:LKD1693 LTY1693:LTZ1693 MDU1693:MDV1693 MNQ1693:MNR1693 MXM1693:MXN1693 NHI1693:NHJ1693 NRE1693:NRF1693 OBA1693:OBB1693 OKW1693:OKX1693 OUS1693:OUT1693 PEO1693:PEP1693 POK1693:POL1693 PYG1693:PYH1693 QIC1693:QID1693 QRY1693:QRZ1693 RBU1693:RBV1693 RLQ1693:RLR1693 RVM1693:RVN1693 SFI1693:SFJ1693 SPE1693:SPF1693 SZA1693:SZB1693 TIW1693:TIX1693 TSS1693:TST1693 UCO1693:UCP1693 UMK1693:UML1693 UWG1693:UWH1693 VGC1693:VGD1693 VPY1693:VPZ1693 VZU1693:VZV1693 WJQ1693:WJR1693 WTM1693:WTN1693 B1693:C1693 A1480:A1482 HA1691:HA1692 G1692:H1692 HF1692:HG1692 RB1692:RC1692 AAX1692:AAY1692 AKT1692:AKU1692 AUP1692:AUQ1692 BEL1692:BEM1692 BOH1692:BOI1692 BYD1692:BYE1692 CHZ1692:CIA1692 CRV1692:CRW1692 DBR1692:DBS1692 DLN1692:DLO1692 DVJ1692:DVK1692 EFF1692:EFG1692 EPB1692:EPC1692 EYX1692:EYY1692 FIT1692:FIU1692 FSP1692:FSQ1692 GCL1692:GCM1692 GMH1692:GMI1692 GWD1692:GWE1692 HFZ1692:HGA1692 HPV1692:HPW1692 HZR1692:HZS1692 IJN1692:IJO1692 ITJ1692:ITK1692 JDF1692:JDG1692 JNB1692:JNC1692 JWX1692:JWY1692 KGT1692:KGU1692 KQP1692:KQQ1692 LAL1692:LAM1692 LKH1692:LKI1692 LUD1692:LUE1692 MDZ1692:MEA1692 MNV1692:MNW1692 MXR1692:MXS1692 NHN1692:NHO1692 NRJ1692:NRK1692 OBF1692:OBG1692 OLB1692:OLC1692 OUX1692:OUY1692 PET1692:PEU1692 POP1692:POQ1692 PYL1692:PYM1692 QIH1692:QII1692 QSD1692:QSE1692 RBZ1692:RCA1692 RLV1692:RLW1692 RVR1692:RVS1692 SFN1692:SFO1692 SPJ1692:SPK1692 SZF1692:SZG1692 TJB1692:TJC1692 TSX1692:TSY1692 UCT1692:UCU1692 UMP1692:UMQ1692 UWL1692:UWM1692 VGH1692:VGI1692 VQD1692:VQE1692 VZZ1692:WAA1692 WJV1692:WJW1692 WTR1692:WTS1692 E1692 HD1692 QZ1692 AAV1692 AKR1692 AUN1692 BEJ1692 BOF1692 BYB1692 CHX1692 CRT1692 DBP1692 DLL1692 DVH1692 EFD1692 EOZ1692 EYV1692 FIR1692 FSN1692 GCJ1692 GMF1692 GWB1692 HFX1692 HPT1692 HZP1692 IJL1692 ITH1692 JDD1692 JMZ1692 JWV1692 KGR1692 KQN1692 LAJ1692 LKF1692 LUB1692 MDX1692 MNT1692 MXP1692 NHL1692 NRH1692 OBD1692 OKZ1692 OUV1692 PER1692 PON1692 PYJ1692 QIF1692 QSB1692 RBX1692 RLT1692 RVP1692 SFL1692 SPH1692 SZD1692 TIZ1692 TSV1692 UCR1692 UMN1692 UWJ1692 VGF1692 VQB1692 VZX1692 WJT1692 WTP1692 C1480:C1482 E1480:H1482 E1697:H1697 HD1697:HG1697 QZ1697:RC1697 AAV1697:AAY1697 AKR1697:AKU1697 AUN1697:AUQ1697 BEJ1697:BEM1697 BOF1697:BOI1697 BYB1697:BYE1697 CHX1697:CIA1697 CRT1697:CRW1697 DBP1697:DBS1697 DLL1697:DLO1697 DVH1697:DVK1697 EFD1697:EFG1697 EOZ1697:EPC1697 EYV1697:EYY1697 FIR1697:FIU1697 FSN1697:FSQ1697 GCJ1697:GCM1697 GMF1697:GMI1697 GWB1697:GWE1697 HFX1697:HGA1697 HPT1697:HPW1697 HZP1697:HZS1697 IJL1697:IJO1697 ITH1697:ITK1697 JDD1697:JDG1697 JMZ1697:JNC1697 JWV1697:JWY1697 KGR1697:KGU1697 KQN1697:KQQ1697 LAJ1697:LAM1697 LKF1697:LKI1697 LUB1697:LUE1697 MDX1697:MEA1697 MNT1697:MNW1697 MXP1697:MXS1697 NHL1697:NHO1697 NRH1697:NRK1697 OBD1697:OBG1697 OKZ1697:OLC1697 OUV1697:OUY1697 PER1697:PEU1697 PON1697:POQ1697 PYJ1697:PYM1697 QIF1697:QII1697 QSB1697:QSE1697 RBX1697:RCA1697 RLT1697:RLW1697 RVP1697:RVS1697 SFL1697:SFO1697 SPH1697:SPK1697 SZD1697:SZG1697 TIZ1697:TJC1697 TSV1697:TSY1697 UCR1697:UCU1697 UMN1697:UMQ1697 UWJ1697:UWM1697 VGF1697:VGI1697 VQB1697:VQE1697 VZX1697:WAA1697 WJT1697:WJW1697 WTP1697:WTS1697 A1697 GZ1697 QV1697 AAR1697 AKN1697 AUJ1697 BEF1697 BOB1697 BXX1697 CHT1697 CRP1697 DBL1697 DLH1697 DVD1697 EEZ1697 EOV1697 EYR1697 FIN1697 FSJ1697 GCF1697 GMB1697 GVX1697 HFT1697 HPP1697 HZL1697 IJH1697 ITD1697 JCZ1697 JMV1697 JWR1697 KGN1697 KQJ1697 LAF1697 LKB1697 LTX1697 MDT1697 MNP1697 MXL1697 NHH1697 NRD1697 OAZ1697 OKV1697 OUR1697 PEN1697 POJ1697 PYF1697 QIB1697 QRX1697 RBT1697 RLP1697 RVL1697 SFH1697 SPD1697 SYZ1697 TIV1697 TSR1697 UCN1697 UMJ1697 UWF1697 VGB1697 VPX1697 VZT1697 WJP1697 WTQ2025:WTS2027 B1694:B1696 WTM1694:WTM1696 WJQ1694:WJQ1696 VZU1694:VZU1696 VPY1694:VPY1696 VGC1694:VGC1696 UWG1694:UWG1696 UMK1694:UMK1696 UCO1694:UCO1696 TSS1694:TSS1696 TIW1694:TIW1696 SZA1694:SZA1696 SPE1694:SPE1696 SFI1694:SFI1696 RVM1694:RVM1696 RLQ1694:RLQ1696 RBU1694:RBU1696 QRY1694:QRY1696 QIC1694:QIC1696 PYG1694:PYG1696 POK1694:POK1696 PEO1694:PEO1696 OUS1694:OUS1696 OKW1694:OKW1696 OBA1694:OBA1696 NRE1694:NRE1696 NHI1694:NHI1696 MXM1694:MXM1696 MNQ1694:MNQ1696 MDU1694:MDU1696 LTY1694:LTY1696 LKC1694:LKC1696 LAG1694:LAG1696 KQK1694:KQK1696 KGO1694:KGO1696 JWS1694:JWS1696 JMW1694:JMW1696 JDA1694:JDA1696 ITE1694:ITE1696 IJI1694:IJI1696 HZM1694:HZM1696 HPQ1694:HPQ1696 HFU1694:HFU1696 GVY1694:GVY1696 GMC1694:GMC1696 GCG1694:GCG1696 FSK1694:FSK1696 FIO1694:FIO1696 EYS1694:EYS1696 EOW1694:EOW1696 EFA1694:EFA1696 DVE1694:DVE1696 DLI1694:DLI1696 DBM1694:DBM1696 CRQ1694:CRQ1696 CHU1694:CHU1696 BXY1694:BXY1696 BOC1694:BOC1696 BEG1694:BEG1696 AUK1694:AUK1696 AKO1694:AKO1696 AAS1694:AAS1696 QW1694:QW1696 HA1694:HA1696 HA2024:HB2027 QW2024:QX2027 AAS2024:AAT2027 AKO2024:AKP2027 AUK2024:AUL2027 BEG2024:BEH2027 BOC2024:BOD2027 BXY2024:BXZ2027 CHU2024:CHV2027 CRQ2024:CRR2027 DBM2024:DBN2027 DLI2024:DLJ2027 DVE2024:DVF2027 EFA2024:EFB2027 EOW2024:EOX2027 EYS2024:EYT2027 FIO2024:FIP2027 FSK2024:FSL2027 GCG2024:GCH2027 GMC2024:GMD2027 GVY2024:GVZ2027 HFU2024:HFV2027 HPQ2024:HPR2027 HZM2024:HZN2027 IJI2024:IJJ2027 ITE2024:ITF2027 JDA2024:JDB2027 JMW2024:JMX2027 JWS2024:JWT2027 KGO2024:KGP2027 KQK2024:KQL2027 LAG2024:LAH2027 LKC2024:LKD2027 LTY2024:LTZ2027 MDU2024:MDV2027 MNQ2024:MNR2027 MXM2024:MXN2027 NHI2024:NHJ2027 NRE2024:NRF2027 OBA2024:OBB2027 OKW2024:OKX2027 OUS2024:OUT2027 PEO2024:PEP2027 POK2024:POL2027 PYG2024:PYH2027 QIC2024:QID2027 QRY2024:QRZ2027 RBU2024:RBV2027 RLQ2024:RLR2027 RVM2024:RVN2027 SFI2024:SFJ2027 SPE2024:SPF2027 SZA2024:SZB2027 TIW2024:TIX2027 TSS2024:TST2027 UCO2024:UCP2027 UMK2024:UML2027 UWG2024:UWH2027 VGC2024:VGD2027 VPY2024:VPZ2027 VZU2024:VZV2027 WJQ2024:WJR2027 WTM2024:WTN2027 B2025:C2029 F2026:H2028 HE2025:HG2027 RA2025:RC2027 AAW2025:AAY2027 AKS2025:AKU2027 AUO2025:AUQ2027 BEK2025:BEM2027 BOG2025:BOI2027 BYC2025:BYE2027 CHY2025:CIA2027 CRU2025:CRW2027 DBQ2025:DBS2027 DLM2025:DLO2027 DVI2025:DVK2027 EFE2025:EFG2027 EPA2025:EPC2027 EYW2025:EYY2027 FIS2025:FIU2027 FSO2025:FSQ2027 GCK2025:GCM2027 GMG2025:GMI2027 GWC2025:GWE2027 HFY2025:HGA2027 HPU2025:HPW2027 HZQ2025:HZS2027 IJM2025:IJO2027 ITI2025:ITK2027 JDE2025:JDG2027 JNA2025:JNC2027 JWW2025:JWY2027 KGS2025:KGU2027 KQO2025:KQQ2027 LAK2025:LAM2027 LKG2025:LKI2027 LUC2025:LUE2027 MDY2025:MEA2027 MNU2025:MNW2027 MXQ2025:MXS2027 NHM2025:NHO2027 NRI2025:NRK2027 OBE2025:OBG2027 OLA2025:OLC2027 OUW2025:OUY2027 PES2025:PEU2027 POO2025:POQ2027 PYK2025:PYM2027 QIG2025:QII2027 QSC2025:QSE2027 RBY2025:RCA2027 RLU2025:RLW2027 RVQ2025:RVS2027 SFM2025:SFO2027 SPI2025:SPK2027 SZE2025:SZG2027 TJA2025:TJC2027 TSW2025:TSY2027 UCS2025:UCU2027 UMO2025:UMQ2027 UWK2025:UWM2027 VGG2025:VGI2027 VQC2025:VQE2027 VZY2025:WAA2027 WJU2025:WJW2027 WTL1697 HA1681:HA1686 QW1681:QW1686 AAS1681:AAS1686 AKO1681:AKO1686 AUK1681:AUK1686 BEG1681:BEG1686 BOC1681:BOC1686 BXY1681:BXY1686 CHU1681:CHU1686 CRQ1681:CRQ1686 DBM1681:DBM1686 DLI1681:DLI1686 DVE1681:DVE1686 EFA1681:EFA1686 EOW1681:EOW1686 EYS1681:EYS1686 FIO1681:FIO1686 FSK1681:FSK1686 GCG1681:GCG1686 GMC1681:GMC1686 GVY1681:GVY1686 HFU1681:HFU1686 HPQ1681:HPQ1686 HZM1681:HZM1686 IJI1681:IJI1686 ITE1681:ITE1686 JDA1681:JDA1686 JMW1681:JMW1686 JWS1681:JWS1686 KGO1681:KGO1686 KQK1681:KQK1686 LAG1681:LAG1686 LKC1681:LKC1686 LTY1681:LTY1686 MDU1681:MDU1686 MNQ1681:MNQ1686 MXM1681:MXM1686 NHI1681:NHI1686 NRE1681:NRE1686 OBA1681:OBA1686 OKW1681:OKW1686 OUS1681:OUS1686 PEO1681:PEO1686 POK1681:POK1686 PYG1681:PYG1686 QIC1681:QIC1686 QRY1681:QRY1686 RBU1681:RBU1686 RLQ1681:RLQ1686 RVM1681:RVM1686 SFI1681:SFI1686 SPE1681:SPE1686 SZA1681:SZA1686 TIW1681:TIW1686 TSS1681:TSS1686 UCO1681:UCO1686 UMK1681:UMK1686 UWG1681:UWG1686 VGC1681:VGC1686 VPY1681:VPY1686 VZU1681:VZU1686 WJQ1681:WJQ1686 WTM1681:WTM1686 B1654:B1686 WJQ2021:WJQ2027 WTM2021:WTM2027 WTM1698:WTM1707 B2020:B2028 B1698:B1707 HA2021:HA2027 HA1698:HA1707 QW2021:QW2027 QW1698:QW1707 AAS2021:AAS2027 AAS1698:AAS1707 AKO2021:AKO2027 AKO1698:AKO1707 AUK2021:AUK2027 AUK1698:AUK1707 BEG2021:BEG2027 BEG1698:BEG1707 BOC2021:BOC2027 BOC1698:BOC1707 BXY2021:BXY2027 BXY1698:BXY1707 CHU2021:CHU2027 CHU1698:CHU1707 CRQ2021:CRQ2027 CRQ1698:CRQ1707 DBM2021:DBM2027 DBM1698:DBM1707 DLI2021:DLI2027 DLI1698:DLI1707 DVE2021:DVE2027 DVE1698:DVE1707 EFA2021:EFA2027 EFA1698:EFA1707 EOW2021:EOW2027 EOW1698:EOW1707 EYS2021:EYS2027 EYS1698:EYS1707 FIO2021:FIO2027 FIO1698:FIO1707 FSK2021:FSK2027 FSK1698:FSK1707 GCG2021:GCG2027 GCG1698:GCG1707 GMC2021:GMC2027 GMC1698:GMC1707 GVY2021:GVY2027 GVY1698:GVY1707 HFU2021:HFU2027 HFU1698:HFU1707 HPQ2021:HPQ2027 HPQ1698:HPQ1707 HZM2021:HZM2027 HZM1698:HZM1707 IJI2021:IJI2027 IJI1698:IJI1707 ITE2021:ITE2027 ITE1698:ITE1707 JDA2021:JDA2027 JDA1698:JDA1707 JMW2021:JMW2027 JMW1698:JMW1707 JWS2021:JWS2027 JWS1698:JWS1707 KGO2021:KGO2027 KGO1698:KGO1707 KQK2021:KQK2027 KQK1698:KQK1707 LAG2021:LAG2027 LAG1698:LAG1707 LKC2021:LKC2027 LKC1698:LKC1707 LTY2021:LTY2027 LTY1698:LTY1707 MDU2021:MDU2027 MDU1698:MDU1707 MNQ2021:MNQ2027 MNQ1698:MNQ1707 MXM2021:MXM2027 MXM1698:MXM1707 NHI2021:NHI2027 NHI1698:NHI1707 NRE2021:NRE2027 NRE1698:NRE1707 OBA2021:OBA2027 OBA1698:OBA1707 OKW2021:OKW2027 OKW1698:OKW1707 OUS2021:OUS2027 OUS1698:OUS1707 PEO2021:PEO2027 PEO1698:PEO1707 POK2021:POK2027 POK1698:POK1707 PYG2021:PYG2027 PYG1698:PYG1707 QIC2021:QIC2027 QIC1698:QIC1707 QRY2021:QRY2027 QRY1698:QRY1707 RBU2021:RBU2027 RBU1698:RBU1707 RLQ2021:RLQ2027 RLQ1698:RLQ1707 RVM2021:RVM2027 RVM1698:RVM1707 SFI2021:SFI2027 SFI1698:SFI1707 SPE2021:SPE2027 SPE1698:SPE1707 SZA2021:SZA2027 SZA1698:SZA1707 TIW2021:TIW2027 TIW1698:TIW1707 TSS2021:TSS2027 TSS1698:TSS1707 UCO2021:UCO2027 UCO1698:UCO1707 UMK2021:UMK2027 UMK1698:UMK1707 UWG2021:UWG2027 UWG1698:UWG1707 VGC2021:VGC2027 VGC1698:VGC1707 VPY2021:VPY2027 VPY1698:VPY1707 VZU2021:VZU2027 VZU1698:VZU1707 WJQ1698:WJQ1707 E1708:H1708 HD1708:HG1708 QZ1708:RC1708 AAV1708:AAY1708 AKR1708:AKU1708 AUN1708:AUQ1708 BEJ1708:BEM1708 BOF1708:BOI1708 BYB1708:BYE1708 CHX1708:CIA1708 CRT1708:CRW1708 DBP1708:DBS1708 DLL1708:DLO1708 DVH1708:DVK1708 EFD1708:EFG1708 EOZ1708:EPC1708 EYV1708:EYY1708 FIR1708:FIU1708 FSN1708:FSQ1708 GCJ1708:GCM1708 GMF1708:GMI1708 GWB1708:GWE1708 HFX1708:HGA1708 HPT1708:HPW1708 HZP1708:HZS1708 IJL1708:IJO1708 ITH1708:ITK1708 JDD1708:JDG1708 JMZ1708:JNC1708 JWV1708:JWY1708 KGR1708:KGU1708 KQN1708:KQQ1708 LAJ1708:LAM1708 LKF1708:LKI1708 LUB1708:LUE1708 MDX1708:MEA1708 MNT1708:MNW1708 MXP1708:MXS1708 NHL1708:NHO1708 NRH1708:NRK1708 OBD1708:OBG1708 OKZ1708:OLC1708 OUV1708:OUY1708 PER1708:PEU1708 PON1708:POQ1708 PYJ1708:PYM1708 QIF1708:QII1708 QSB1708:QSE1708 RBX1708:RCA1708 RLT1708:RLW1708 RVP1708:RVS1708 SFL1708:SFO1708 SPH1708:SPK1708 SZD1708:SZG1708 TIZ1708:TJC1708 TSV1708:TSY1708 UCR1708:UCU1708 UMN1708:UMQ1708 UWJ1708:UWM1708 VGF1708:VGI1708 VQB1708:VQE1708 VZX1708:WAA1708 WJT1708:WJW1708 WTP1708:WTS1708 F1710:H1710 HE1710:HG1710 RA1710:RC1710 AAW1710:AAY1710 AKS1710:AKU1710 AUO1710:AUQ1710 BEK1710:BEM1710 BOG1710:BOI1710 BYC1710:BYE1710 CHY1710:CIA1710 CRU1710:CRW1710 DBQ1710:DBS1710 DLM1710:DLO1710 DVI1710:DVK1710 EFE1710:EFG1710 EPA1710:EPC1710 EYW1710:EYY1710 FIS1710:FIU1710 FSO1710:FSQ1710 GCK1710:GCM1710 GMG1710:GMI1710 GWC1710:GWE1710 HFY1710:HGA1710 HPU1710:HPW1710 HZQ1710:HZS1710 IJM1710:IJO1710 ITI1710:ITK1710 JDE1710:JDG1710 JNA1710:JNC1710 JWW1710:JWY1710 KGS1710:KGU1710 KQO1710:KQQ1710 LAK1710:LAM1710 LKG1710:LKI1710 LUC1710:LUE1710 MDY1710:MEA1710 MNU1710:MNW1710 MXQ1710:MXS1710 NHM1710:NHO1710 NRI1710:NRK1710 OBE1710:OBG1710 OLA1710:OLC1710 OUW1710:OUY1710 PES1710:PEU1710 POO1710:POQ1710 PYK1710:PYM1710 QIG1710:QII1710 QSC1710:QSE1710 RBY1710:RCA1710 RLU1710:RLW1710 RVQ1710:RVS1710 SFM1710:SFO1710 SPI1710:SPK1710 SZE1710:SZG1710 TJA1710:TJC1710 TSW1710:TSY1710 UCS1710:UCU1710 UMO1710:UMQ1710 UWK1710:UWM1710 VGG1710:VGI1710 VQC1710:VQE1710 VZY1710:WAA1710 WJU1710:WJW1710 WTQ1710:WTS1710 A1708 GZ1708 QV1708 AAR1708 AKN1708 AUJ1708 BEF1708 BOB1708 BXX1708 CHT1708 CRP1708 DBL1708 DLH1708 DVD1708 EEZ1708 EOV1708 EYR1708 FIN1708 FSJ1708 GCF1708 GMB1708 GVX1708 HFT1708 HPP1708 HZL1708 IJH1708 ITD1708 JCZ1708 JMV1708 JWR1708 KGN1708 KQJ1708 LAF1708 LKB1708 LTX1708 MDT1708 MNP1708 MXL1708 NHH1708 NRD1708 OAZ1708 OKV1708 OUR1708 PEN1708 POJ1708 PYF1708 QIB1708 QRX1708 RBT1708 RLP1708 RVL1708 SFH1708 SPD1708 SYZ1708 TIV1708 TSR1708 UCN1708 UMJ1708 UWF1708 VGB1708 VPX1708 VZT1708 WJP1708 WTL1708 QW1711:QW1713 AAS1711:AAS1713 AKO1711:AKO1713 AUK1711:AUK1713 BEG1711:BEG1713 BOC1711:BOC1713 BXY1711:BXY1713 CHU1711:CHU1713 CRQ1711:CRQ1713 DBM1711:DBM1713 DLI1711:DLI1713 DVE1711:DVE1713 EFA1711:EFA1713 EOW1711:EOW1713 EYS1711:EYS1713 FIO1711:FIO1713 FSK1711:FSK1713 GCG1711:GCG1713 GMC1711:GMC1713 GVY1711:GVY1713 HFU1711:HFU1713 HPQ1711:HPQ1713 HZM1711:HZM1713 IJI1711:IJI1713 ITE1711:ITE1713 JDA1711:JDA1713 JMW1711:JMW1713 JWS1711:JWS1713 KGO1711:KGO1713 KQK1711:KQK1713 LAG1711:LAG1713 LKC1711:LKC1713 LTY1711:LTY1713 MDU1711:MDU1713 MNQ1711:MNQ1713 MXM1711:MXM1713 NHI1711:NHI1713 NRE1711:NRE1713 OBA1711:OBA1713 OKW1711:OKW1713 OUS1711:OUS1713 PEO1711:PEO1713 POK1711:POK1713 PYG1711:PYG1713 QIC1711:QIC1713 QRY1711:QRY1713 RBU1711:RBU1713 RLQ1711:RLQ1713 RVM1711:RVM1713 SFI1711:SFI1713 SPE1711:SPE1713 SZA1711:SZA1713 TIW1711:TIW1713 TSS1711:TSS1713 UCO1711:UCO1713 UMK1711:UMK1713 UWG1711:UWG1713 VGC1711:VGC1713 VPY1711:VPY1713 VZU1711:VZU1713 WJQ1711:WJQ1713 WTM1711:WTM1713 B1711:B1713 B1770:C1770 B1709:C1710 HA1709:HB1710 QW1709:QX1710 AAS1709:AAT1710 AKO1709:AKP1710 AUK1709:AUL1710 BEG1709:BEH1710 BOC1709:BOD1710 BXY1709:BXZ1710 CHU1709:CHV1710 CRQ1709:CRR1710 DBM1709:DBN1710 DLI1709:DLJ1710 DVE1709:DVF1710 EFA1709:EFB1710 EOW1709:EOX1710 EYS1709:EYT1710 FIO1709:FIP1710 FSK1709:FSL1710 GCG1709:GCH1710 GMC1709:GMD1710 GVY1709:GVZ1710 HFU1709:HFV1710 HPQ1709:HPR1710 HZM1709:HZN1710 IJI1709:IJJ1710 ITE1709:ITF1710 JDA1709:JDB1710 JMW1709:JMX1710 JWS1709:JWT1710 KGO1709:KGP1710 KQK1709:KQL1710 LAG1709:LAH1710 LKC1709:LKD1710 LTY1709:LTZ1710 MDU1709:MDV1710 MNQ1709:MNR1710 MXM1709:MXN1710 NHI1709:NHJ1710 NRE1709:NRF1710 OBA1709:OBB1710 OKW1709:OKX1710 OUS1709:OUT1710 PEO1709:PEP1710 POK1709:POL1710 PYG1709:PYH1710 QIC1709:QID1710 QRY1709:QRZ1710 RBU1709:RBV1710 RLQ1709:RLR1710 RVM1709:RVN1710 SFI1709:SFJ1710 SPE1709:SPF1710 SZA1709:SZB1710 TIW1709:TIX1710 TSS1709:TST1710 UCO1709:UCP1710 UMK1709:UML1710 UWG1709:UWH1710 VGC1709:VGD1710 VPY1709:VPZ1710 VZU1709:VZV1710 WJQ1709:WJR1710 WTM1709:WTN1710 HA1711:HA1713 QZ1714:RC1714 AAV1714:AAY1714 AKR1714:AKU1714 AUN1714:AUQ1714 BEJ1714:BEM1714 BOF1714:BOI1714 BYB1714:BYE1714 CHX1714:CIA1714 CRT1714:CRW1714 DBP1714:DBS1714 DLL1714:DLO1714 DVH1714:DVK1714 EFD1714:EFG1714 EOZ1714:EPC1714 EYV1714:EYY1714 FIR1714:FIU1714 FSN1714:FSQ1714 GCJ1714:GCM1714 GMF1714:GMI1714 GWB1714:GWE1714 HFX1714:HGA1714 HPT1714:HPW1714 HZP1714:HZS1714 IJL1714:IJO1714 ITH1714:ITK1714 JDD1714:JDG1714 JMZ1714:JNC1714 JWV1714:JWY1714 KGR1714:KGU1714 KQN1714:KQQ1714 LAJ1714:LAM1714 LKF1714:LKI1714 LUB1714:LUE1714 MDX1714:MEA1714 MNT1714:MNW1714 MXP1714:MXS1714 NHL1714:NHO1714 NRH1714:NRK1714 OBD1714:OBG1714 OKZ1714:OLC1714 OUV1714:OUY1714 PER1714:PEU1714 PON1714:POQ1714 PYJ1714:PYM1714 QIF1714:QII1714 QSB1714:QSE1714 RBX1714:RCA1714 RLT1714:RLW1714 RVP1714:RVS1714 SFL1714:SFO1714 SPH1714:SPK1714 SZD1714:SZG1714 TIZ1714:TJC1714 TSV1714:TSY1714 UCR1714:UCU1714 UMN1714:UMQ1714 UWJ1714:UWM1714 VGF1714:VGI1714 VQB1714:VQE1714 VZX1714:WAA1714 WJT1714:WJW1714 WTP1714:WTS1714 A1714 GZ1714 QV1714 AAR1714 AKN1714 AUJ1714 BEF1714 BOB1714 BXX1714 CHT1714 CRP1714 DBL1714 DLH1714 DVD1714 EEZ1714 EOV1714 EYR1714 FIN1714 FSJ1714 GCF1714 GMB1714 GVX1714 HFT1714 HPP1714 HZL1714 IJH1714 ITD1714 JCZ1714 JMV1714 JWR1714 KGN1714 KQJ1714 LAF1714 LKB1714 LTX1714 MDT1714 MNP1714 MXL1714 NHH1714 NRD1714 OAZ1714 OKV1714 OUR1714 PEN1714 POJ1714 PYF1714 QIB1714 QRX1714 RBT1714 RLP1714 RVL1714 SFH1714 SPD1714 SYZ1714 TIV1714 TSR1714 UCN1714 UMJ1714 UWF1714 VGB1714 VPX1714 VZT1714 WJP1714 WTL1714 E1714:H1714 WTM1723:WTN1723 F1723:H1723 HE1723:HG1723 RA1723:RC1723 AAW1723:AAY1723 AKS1723:AKU1723 AUO1723:AUQ1723 BEK1723:BEM1723 BOG1723:BOI1723 BYC1723:BYE1723 CHY1723:CIA1723 CRU1723:CRW1723 DBQ1723:DBS1723 DLM1723:DLO1723 DVI1723:DVK1723 EFE1723:EFG1723 EPA1723:EPC1723 EYW1723:EYY1723 FIS1723:FIU1723 FSO1723:FSQ1723 GCK1723:GCM1723 GMG1723:GMI1723 GWC1723:GWE1723 HFY1723:HGA1723 HPU1723:HPW1723 HZQ1723:HZS1723 IJM1723:IJO1723 ITI1723:ITK1723 JDE1723:JDG1723 JNA1723:JNC1723 JWW1723:JWY1723 KGS1723:KGU1723 KQO1723:KQQ1723 LAK1723:LAM1723 LKG1723:LKI1723 LUC1723:LUE1723 MDY1723:MEA1723 MNU1723:MNW1723 MXQ1723:MXS1723 NHM1723:NHO1723 NRI1723:NRK1723 OBE1723:OBG1723 OLA1723:OLC1723 OUW1723:OUY1723 PES1723:PEU1723 POO1723:POQ1723 PYK1723:PYM1723 QIG1723:QII1723 QSC1723:QSE1723 RBY1723:RCA1723 RLU1723:RLW1723 RVQ1723:RVS1723 SFM1723:SFO1723 SPI1723:SPK1723 SZE1723:SZG1723 TJA1723:TJC1723 TSW1723:TSY1723 UCS1723:UCU1723 UMO1723:UMQ1723 UWK1723:UWM1723 VGG1723:VGI1723 VQC1723:VQE1723 VZY1723:WAA1723 WJU1723:WJW1723 WTQ1723:WTS1723 B1723:C1723 HA1723:HB1723 QW1723:QX1723 AAS1723:AAT1723 AKO1723:AKP1723 AUK1723:AUL1723 BEG1723:BEH1723 BOC1723:BOD1723 BXY1723:BXZ1723 CHU1723:CHV1723 CRQ1723:CRR1723 DBM1723:DBN1723 DLI1723:DLJ1723 DVE1723:DVF1723 EFA1723:EFB1723 EOW1723:EOX1723 EYS1723:EYT1723 FIO1723:FIP1723 FSK1723:FSL1723 GCG1723:GCH1723 GMC1723:GMD1723 GVY1723:GVZ1723 HFU1723:HFV1723 HPQ1723:HPR1723 HZM1723:HZN1723 IJI1723:IJJ1723 ITE1723:ITF1723 JDA1723:JDB1723 JMW1723:JMX1723 JWS1723:JWT1723 KGO1723:KGP1723 KQK1723:KQL1723 LAG1723:LAH1723 LKC1723:LKD1723 LTY1723:LTZ1723 MDU1723:MDV1723 MNQ1723:MNR1723 MXM1723:MXN1723 NHI1723:NHJ1723 NRE1723:NRF1723 OBA1723:OBB1723 OKW1723:OKX1723 OUS1723:OUT1723 PEO1723:PEP1723 POK1723:POL1723 PYG1723:PYH1723 QIC1723:QID1723 QRY1723:QRZ1723 RBU1723:RBV1723 RLQ1723:RLR1723 RVM1723:RVN1723 SFI1723:SFJ1723 SPE1723:SPF1723 SZA1723:SZB1723 TIW1723:TIX1723 TSS1723:TST1723 UCO1723:UCP1723 UMK1723:UML1723 UWG1723:UWH1723 VGC1723:VGD1723 VPY1723:VPZ1723 VZU1723:VZV1723 WJQ1723:WJR1723 HD1714:HG1714 QW1715:QW1716 AAS1715:AAS1716 AKO1715:AKO1716 AUK1715:AUK1716 BEG1715:BEG1716 BOC1715:BOC1716 BXY1715:BXY1716 CHU1715:CHU1716 CRQ1715:CRQ1716 DBM1715:DBM1716 DLI1715:DLI1716 DVE1715:DVE1716 EFA1715:EFA1716 EOW1715:EOW1716 EYS1715:EYS1716 FIO1715:FIO1716 FSK1715:FSK1716 GCG1715:GCG1716 GMC1715:GMC1716 GVY1715:GVY1716 HFU1715:HFU1716 HPQ1715:HPQ1716 HZM1715:HZM1716 IJI1715:IJI1716 ITE1715:ITE1716 JDA1715:JDA1716 JMW1715:JMW1716 JWS1715:JWS1716 KGO1715:KGO1716 KQK1715:KQK1716 LAG1715:LAG1716 LKC1715:LKC1716 LTY1715:LTY1716 MDU1715:MDU1716 MNQ1715:MNQ1716 MXM1715:MXM1716 NHI1715:NHI1716 NRE1715:NRE1716 OBA1715:OBA1716 OKW1715:OKW1716 OUS1715:OUS1716 PEO1715:PEO1716 POK1715:POK1716 PYG1715:PYG1716 QIC1715:QIC1716 QRY1715:QRY1716 RBU1715:RBU1716 RLQ1715:RLQ1716 RVM1715:RVM1716 SFI1715:SFI1716 SPE1715:SPE1716 SZA1715:SZA1716 TIW1715:TIW1716 TSS1715:TSS1716 UCO1715:UCO1716 UMK1715:UMK1716 UWG1715:UWG1716 VGC1715:VGC1716 VPY1715:VPY1716 VZU1715:VZU1716 WJQ1715:WJQ1716 WTM1715:WTM1716 B1715:B1716 WJU1613:WJX1619 B1606:C1621 HB1604:HC1619 QX1604:QY1619 AAT1604:AAU1619 AKP1604:AKQ1619 AUL1604:AUM1619 BEH1604:BEI1619 BOD1604:BOE1619 BXZ1604:BYA1619 CHV1604:CHW1619 CRR1604:CRS1619 DBN1604:DBO1619 DLJ1604:DLK1619 DVF1604:DVG1619 EFB1604:EFC1619 EOX1604:EOY1619 EYT1604:EYU1619 FIP1604:FIQ1619 FSL1604:FSM1619 GCH1604:GCI1619 GMD1604:GME1619 GVZ1604:GWA1619 HFV1604:HFW1619 HPR1604:HPS1619 HZN1604:HZO1619 IJJ1604:IJK1619 ITF1604:ITG1619 JDB1604:JDC1619 JMX1604:JMY1619 JWT1604:JWU1619 KGP1604:KGQ1619 KQL1604:KQM1619 LAH1604:LAI1619 LKD1604:LKE1619 LTZ1604:LUA1619 MDV1604:MDW1619 MNR1604:MNS1619 MXN1604:MXO1619 NHJ1604:NHK1619 NRF1604:NRG1619 OBB1604:OBC1619 OKX1604:OKY1619 OUT1604:OUU1619 PEP1604:PEQ1619 POL1604:POM1619 PYH1604:PYI1619 QID1604:QIE1619 QRZ1604:QSA1619 RBV1604:RBW1619 RLR1604:RLS1619 RVN1604:RVO1619 SFJ1604:SFK1619 SPF1604:SPG1619 SZB1604:SZC1619 TIX1604:TIY1619 TST1604:TSU1619 UCP1604:UCQ1619 UML1604:UMM1619 UWH1604:UWI1619 VGD1604:VGE1619 VPZ1604:VQA1619 VZV1604:VZW1619 WJR1604:WJS1619 WTN1604:WTO1619 E1615:H1621 HE1613:HH1619 RA1613:RD1619 AAW1613:AAZ1619 AKS1613:AKV1619 AUO1613:AUR1619 BEK1613:BEN1619 BOG1613:BOJ1619 BYC1613:BYF1619 CHY1613:CIB1619 CRU1613:CRX1619 DBQ1613:DBT1619 DLM1613:DLP1619 DVI1613:DVL1619 EFE1613:EFH1619 EPA1613:EPD1619 EYW1613:EYZ1619 FIS1613:FIV1619 FSO1613:FSR1619 GCK1613:GCN1619 GMG1613:GMJ1619 GWC1613:GWF1619 HFY1613:HGB1619 HPU1613:HPX1619 HZQ1613:HZT1619 IJM1613:IJP1619 ITI1613:ITL1619 JDE1613:JDH1619 JNA1613:JND1619 JWW1613:JWZ1619 KGS1613:KGV1619 KQO1613:KQR1619 LAK1613:LAN1619 LKG1613:LKJ1619 LUC1613:LUF1619 MDY1613:MEB1619 MNU1613:MNX1619 MXQ1613:MXT1619 NHM1613:NHP1619 NRI1613:NRL1619 OBE1613:OBH1619 OLA1613:OLD1619 OUW1613:OUZ1619 PES1613:PEV1619 POO1613:POR1619 PYK1613:PYN1619 QIG1613:QIJ1619 QSC1613:QSF1619 RBY1613:RCB1619 RLU1613:RLX1619 RVQ1613:RVT1619 SFM1613:SFP1619 SPI1613:SPL1619 SZE1613:SZH1619 TJA1613:TJD1619 TSW1613:TSZ1619 UCS1613:UCV1619 UMO1613:UMR1619 UWK1613:UWN1619 VGG1613:VGJ1619 VQC1613:VQF1619 VZY1613:WAB1619 WTQ1613:WTT1619 HA1715:HA1716 E1717:H1717 HD1717:HG1717 QZ1717:RC1717 AAV1717:AAY1717 AKR1717:AKU1717 AUN1717:AUQ1717 BEJ1717:BEM1717 BOF1717:BOI1717 BYB1717:BYE1717 CHX1717:CIA1717 CRT1717:CRW1717 DBP1717:DBS1717 DLL1717:DLO1717 DVH1717:DVK1717 EFD1717:EFG1717 EOZ1717:EPC1717 EYV1717:EYY1717 FIR1717:FIU1717 FSN1717:FSQ1717 GCJ1717:GCM1717 GMF1717:GMI1717 GWB1717:GWE1717 HFX1717:HGA1717 HPT1717:HPW1717 HZP1717:HZS1717 IJL1717:IJO1717 ITH1717:ITK1717 JDD1717:JDG1717 JMZ1717:JNC1717 JWV1717:JWY1717 KGR1717:KGU1717 KQN1717:KQQ1717 LAJ1717:LAM1717 LKF1717:LKI1717 LUB1717:LUE1717 MDX1717:MEA1717 MNT1717:MNW1717 MXP1717:MXS1717 NHL1717:NHO1717 NRH1717:NRK1717 OBD1717:OBG1717 OKZ1717:OLC1717 OUV1717:OUY1717 PER1717:PEU1717 PON1717:POQ1717 PYJ1717:PYM1717 QIF1717:QII1717 QSB1717:QSE1717 RBX1717:RCA1717 RLT1717:RLW1717 RVP1717:RVS1717 SFL1717:SFO1717 SPH1717:SPK1717 SZD1717:SZG1717 TIZ1717:TJC1717 TSV1717:TSY1717 UCR1717:UCU1717 UMN1717:UMQ1717 UWJ1717:UWM1717 VGF1717:VGI1717 VQB1717:VQE1717 VZX1717:WAA1717 WJT1717:WJW1717 WTP1717:WTS1717 F1719:H1719 HE1719:HG1719 RA1719:RC1719 AAW1719:AAY1719 AKS1719:AKU1719 AUO1719:AUQ1719 BEK1719:BEM1719 BOG1719:BOI1719 BYC1719:BYE1719 CHY1719:CIA1719 CRU1719:CRW1719 DBQ1719:DBS1719 DLM1719:DLO1719 DVI1719:DVK1719 EFE1719:EFG1719 EPA1719:EPC1719 EYW1719:EYY1719 FIS1719:FIU1719 FSO1719:FSQ1719 GCK1719:GCM1719 GMG1719:GMI1719 GWC1719:GWE1719 HFY1719:HGA1719 HPU1719:HPW1719 HZQ1719:HZS1719 IJM1719:IJO1719 ITI1719:ITK1719 JDE1719:JDG1719 JNA1719:JNC1719 JWW1719:JWY1719 KGS1719:KGU1719 KQO1719:KQQ1719 LAK1719:LAM1719 LKG1719:LKI1719 LUC1719:LUE1719 MDY1719:MEA1719 MNU1719:MNW1719 MXQ1719:MXS1719 NHM1719:NHO1719 NRI1719:NRK1719 OBE1719:OBG1719 OLA1719:OLC1719 OUW1719:OUY1719 PES1719:PEU1719 POO1719:POQ1719 PYK1719:PYM1719 QIG1719:QII1719 QSC1719:QSE1719 RBY1719:RCA1719 RLU1719:RLW1719 RVQ1719:RVS1719 SFM1719:SFO1719 SPI1719:SPK1719 SZE1719:SZG1719 TJA1719:TJC1719 TSW1719:TSY1719 UCS1719:UCU1719 UMO1719:UMQ1719 UWK1719:UWM1719 VGG1719:VGI1719 VQC1719:VQE1719 VZY1719:WAA1719 WJU1719:WJW1719 WTQ1719:WTS1719 A1717 GZ1717 QV1717 AAR1717 AKN1717 AUJ1717 BEF1717 BOB1717 BXX1717 CHT1717 CRP1717 DBL1717 DLH1717 DVD1717 EEZ1717 EOV1717 EYR1717 FIN1717 FSJ1717 GCF1717 GMB1717 GVX1717 HFT1717 HPP1717 HZL1717 IJH1717 ITD1717 JCZ1717 JMV1717 JWR1717 KGN1717 KQJ1717 LAF1717 LKB1717 LTX1717 MDT1717 MNP1717 MXL1717 NHH1717 NRD1717 OAZ1717 OKV1717 OUR1717 PEN1717 POJ1717 PYF1717 QIB1717 QRX1717 RBT1717 RLP1717 RVL1717 SFH1717 SPD1717 SYZ1717 TIV1717 TSR1717 UCN1717 UMJ1717 UWF1717 VGB1717 VPX1717 VZT1717 WJP1717 WTL1717 B1720:B1722 HA1720:HA1722 QW1720:QW1722 AAS1720:AAS1722 AKO1720:AKO1722 AUK1720:AUK1722 BEG1720:BEG1722 BOC1720:BOC1722 BXY1720:BXY1722 CHU1720:CHU1722 CRQ1720:CRQ1722 DBM1720:DBM1722 DLI1720:DLI1722 DVE1720:DVE1722 EFA1720:EFA1722 EOW1720:EOW1722 EYS1720:EYS1722 FIO1720:FIO1722 FSK1720:FSK1722 GCG1720:GCG1722 GMC1720:GMC1722 GVY1720:GVY1722 HFU1720:HFU1722 HPQ1720:HPQ1722 HZM1720:HZM1722 IJI1720:IJI1722 ITE1720:ITE1722 JDA1720:JDA1722 JMW1720:JMW1722 JWS1720:JWS1722 KGO1720:KGO1722 KQK1720:KQK1722 LAG1720:LAG1722 LKC1720:LKC1722 LTY1720:LTY1722 MDU1720:MDU1722 MNQ1720:MNQ1722 MXM1720:MXM1722 NHI1720:NHI1722 NRE1720:NRE1722 OBA1720:OBA1722 OKW1720:OKW1722 OUS1720:OUS1722 PEO1720:PEO1722 POK1720:POK1722 PYG1720:PYG1722 QIC1720:QIC1722 QRY1720:QRY1722 RBU1720:RBU1722 RLQ1720:RLQ1722 RVM1720:RVM1722 SFI1720:SFI1722 SPE1720:SPE1722 SZA1720:SZA1722 TIW1720:TIW1722 TSS1720:TSS1722 UCO1720:UCO1722 UMK1720:UMK1722 UWG1720:UWG1722 VGC1720:VGC1722 VPY1720:VPY1722 VZU1720:VZU1722 WJQ1720:WJQ1722 WTM1720:WTM1722 B1718:C1719 HA1718:HB1719 QW1718:QX1719 AAS1718:AAT1719 AKO1718:AKP1719 AUK1718:AUL1719 BEG1718:BEH1719 BOC1718:BOD1719 BXY1718:BXZ1719 CHU1718:CHV1719 CRQ1718:CRR1719 DBM1718:DBN1719 DLI1718:DLJ1719 DVE1718:DVF1719 EFA1718:EFB1719 EOW1718:EOX1719 EYS1718:EYT1719 FIO1718:FIP1719 FSK1718:FSL1719 GCG1718:GCH1719 GMC1718:GMD1719 GVY1718:GVZ1719 HFU1718:HFV1719 HPQ1718:HPR1719 HZM1718:HZN1719 IJI1718:IJJ1719 ITE1718:ITF1719 JDA1718:JDB1719 JMW1718:JMX1719 JWS1718:JWT1719 KGO1718:KGP1719 KQK1718:KQL1719 LAG1718:LAH1719 LKC1718:LKD1719 LTY1718:LTZ1719 MDU1718:MDV1719 MNQ1718:MNR1719 MXM1718:MXN1719 NHI1718:NHJ1719 NRE1718:NRF1719 OBA1718:OBB1719 OKW1718:OKX1719 OUS1718:OUT1719 PEO1718:PEP1719 POK1718:POL1719 PYG1718:PYH1719 QIC1718:QID1719 QRY1718:QRZ1719 RBU1718:RBV1719 RLQ1718:RLR1719 RVM1718:RVN1719 SFI1718:SFJ1719 SPE1718:SPF1719 SZA1718:SZB1719 TIW1718:TIX1719 TSS1718:TST1719 UCO1718:UCP1719 UMK1718:UML1719 UWG1718:UWH1719 VGC1718:VGD1719 VPY1718:VPZ1719 VZU1718:VZV1719 WJQ1718:WJR1719 WTM1718:WTN1719" xr:uid="{00000000-0002-0000-0000-000001000000}"/>
    <dataValidation imeMode="off" allowBlank="1" showInputMessage="1" showErrorMessage="1" sqref="E1629:H1629 HE1627:HH1627 RA1627:RD1627 AAW1627:AAZ1627 AKS1627:AKV1627 AUO1627:AUR1627 BEK1627:BEN1627 BOG1627:BOJ1627 BYC1627:BYF1627 CHY1627:CIB1627 CRU1627:CRX1627 DBQ1627:DBT1627 DLM1627:DLP1627 DVI1627:DVL1627 EFE1627:EFH1627 EPA1627:EPD1627 EYW1627:EYZ1627 FIS1627:FIV1627 FSO1627:FSR1627 GCK1627:GCN1627 GMG1627:GMJ1627 GWC1627:GWF1627 HFY1627:HGB1627 HPU1627:HPX1627 HZQ1627:HZT1627 IJM1627:IJP1627 ITI1627:ITL1627 JDE1627:JDH1627 JNA1627:JND1627 JWW1627:JWZ1627 KGS1627:KGV1627 KQO1627:KQR1627 LAK1627:LAN1627 LKG1627:LKJ1627 LUC1627:LUF1627 MDY1627:MEB1627 MNU1627:MNX1627 MXQ1627:MXT1627 NHM1627:NHP1627 NRI1627:NRL1627 OBE1627:OBH1627 OLA1627:OLD1627 OUW1627:OUZ1627 PES1627:PEV1627 POO1627:POR1627 PYK1627:PYN1627 QIG1627:QIJ1627 QSC1627:QSF1627 RBY1627:RCB1627 RLU1627:RLX1627 RVQ1627:RVT1627 SFM1627:SFP1627 SPI1627:SPL1627 SZE1627:SZH1627 TJA1627:TJD1627 TSW1627:TSZ1627 UCS1627:UCV1627 UMO1627:UMR1627 UWK1627:UWN1627 VGG1627:VGJ1627 VQC1627:VQF1627 VZY1627:WAB1627 WJU1627:WJX1627 WTQ1627:WTT1627 F1628:H1628 HF1626:HH1626 RB1626:RD1626 AAX1626:AAZ1626 AKT1626:AKV1626 AUP1626:AUR1626 BEL1626:BEN1626 BOH1626:BOJ1626 BYD1626:BYF1626 CHZ1626:CIB1626 CRV1626:CRX1626 DBR1626:DBT1626 DLN1626:DLP1626 DVJ1626:DVL1626 EFF1626:EFH1626 EPB1626:EPD1626 EYX1626:EYZ1626 FIT1626:FIV1626 FSP1626:FSR1626 GCL1626:GCN1626 GMH1626:GMJ1626 GWD1626:GWF1626 HFZ1626:HGB1626 HPV1626:HPX1626 HZR1626:HZT1626 IJN1626:IJP1626 ITJ1626:ITL1626 JDF1626:JDH1626 JNB1626:JND1626 JWX1626:JWZ1626 KGT1626:KGV1626 KQP1626:KQR1626 LAL1626:LAN1626 LKH1626:LKJ1626 LUD1626:LUF1626 MDZ1626:MEB1626 MNV1626:MNX1626 MXR1626:MXT1626 NHN1626:NHP1626 NRJ1626:NRL1626 OBF1626:OBH1626 OLB1626:OLD1626 OUX1626:OUZ1626 PET1626:PEV1626 POP1626:POR1626 PYL1626:PYN1626 QIH1626:QIJ1626 QSD1626:QSF1626 RBZ1626:RCB1626 RLV1626:RLX1626 RVR1626:RVT1626 SFN1626:SFP1626 SPJ1626:SPL1626 SZF1626:SZH1626 TJB1626:TJD1626 TSX1626:TSZ1626 UCT1626:UCV1626 UMP1626:UMR1626 UWL1626:UWN1626 VGH1626:VGJ1626 VQD1626:VQF1626 VZZ1626:WAB1626 WJV1626:WJX1626 WTR1626:WTT1626 F1630 HF1628 RB1628 AAX1628 AKT1628 AUP1628 BEL1628 BOH1628 BYD1628 CHZ1628 CRV1628 DBR1628 DLN1628 DVJ1628 EFF1628 EPB1628 EYX1628 FIT1628 FSP1628 GCL1628 GMH1628 GWD1628 HFZ1628 HPV1628 HZR1628 IJN1628 ITJ1628 JDF1628 JNB1628 JWX1628 KGT1628 KQP1628 LAL1628 LKH1628 LUD1628 MDZ1628 MNV1628 MXR1628 NHN1628 NRJ1628 OBF1628 OLB1628 OUX1628 PET1628 POP1628 PYL1628 QIH1628 QSD1628 RBZ1628 RLV1628 RVR1628 SFN1628 SPJ1628 SZF1628 TJB1628 TSX1628 UCT1628 UMP1628 UWL1628 VGH1628 VQD1628 VZZ1628 WJV1628 WTR1628 G1630:H1632 HG1628:HH1630 RC1628:RD1630 AAY1628:AAZ1630 AKU1628:AKV1630 AUQ1628:AUR1630 BEM1628:BEN1630 BOI1628:BOJ1630 BYE1628:BYF1630 CIA1628:CIB1630 CRW1628:CRX1630 DBS1628:DBT1630 DLO1628:DLP1630 DVK1628:DVL1630 EFG1628:EFH1630 EPC1628:EPD1630 EYY1628:EYZ1630 FIU1628:FIV1630 FSQ1628:FSR1630 GCM1628:GCN1630 GMI1628:GMJ1630 GWE1628:GWF1630 HGA1628:HGB1630 HPW1628:HPX1630 HZS1628:HZT1630 IJO1628:IJP1630 ITK1628:ITL1630 JDG1628:JDH1630 JNC1628:JND1630 JWY1628:JWZ1630 KGU1628:KGV1630 KQQ1628:KQR1630 LAM1628:LAN1630 LKI1628:LKJ1630 LUE1628:LUF1630 MEA1628:MEB1630 MNW1628:MNX1630 MXS1628:MXT1630 NHO1628:NHP1630 NRK1628:NRL1630 OBG1628:OBH1630 OLC1628:OLD1630 OUY1628:OUZ1630 PEU1628:PEV1630 POQ1628:POR1630 PYM1628:PYN1630 QII1628:QIJ1630 QSE1628:QSF1630 RCA1628:RCB1630 RLW1628:RLX1630 RVS1628:RVT1630 SFO1628:SFP1630 SPK1628:SPL1630 SZG1628:SZH1630 TJC1628:TJD1630 TSY1628:TSZ1630 UCU1628:UCV1630 UMQ1628:UMR1630 UWM1628:UWN1630 VGI1628:VGJ1630 VQE1628:VQF1630 WAA1628:WAB1630 WJW1628:WJX1630 WTS1628:WTT1630 E1632:F1632 HE1630:HF1630 RA1630:RB1630 AAW1630:AAX1630 AKS1630:AKT1630 AUO1630:AUP1630 BEK1630:BEL1630 BOG1630:BOH1630 BYC1630:BYD1630 CHY1630:CHZ1630 CRU1630:CRV1630 DBQ1630:DBR1630 DLM1630:DLN1630 DVI1630:DVJ1630 EFE1630:EFF1630 EPA1630:EPB1630 EYW1630:EYX1630 FIS1630:FIT1630 FSO1630:FSP1630 GCK1630:GCL1630 GMG1630:GMH1630 GWC1630:GWD1630 HFY1630:HFZ1630 HPU1630:HPV1630 HZQ1630:HZR1630 IJM1630:IJN1630 ITI1630:ITJ1630 JDE1630:JDF1630 JNA1630:JNB1630 JWW1630:JWX1630 KGS1630:KGT1630 KQO1630:KQP1630 LAK1630:LAL1630 LKG1630:LKH1630 LUC1630:LUD1630 MDY1630:MDZ1630 MNU1630:MNV1630 MXQ1630:MXR1630 NHM1630:NHN1630 NRI1630:NRJ1630 OBE1630:OBF1630 OLA1630:OLB1630 OUW1630:OUX1630 PES1630:PET1630 POO1630:POP1630 PYK1630:PYL1630 QIG1630:QIH1630 QSC1630:QSD1630 RBY1630:RBZ1630 RLU1630:RLV1630 RVQ1630:RVR1630 SFM1630:SFN1630 SPI1630:SPJ1630 SZE1630:SZF1630 TJA1630:TJB1630 TSW1630:TSX1630 UCS1630:UCT1630 UMO1630:UMP1630 UWK1630:UWL1630 VGG1630:VGH1630 VQC1630:VQD1630 VZY1630:VZZ1630 WJU1630:WJV1630 WTQ1630:WTR1630 F1635 F1637:H1638 HE1638:HH1638 RA1638:RD1638 AAW1638:AAZ1638 AKS1638:AKV1638 AUO1638:AUR1638 BEK1638:BEN1638 BOG1638:BOJ1638 BYC1638:BYF1638 CHY1638:CIB1638 CRU1638:CRX1638 DBQ1638:DBT1638 DLM1638:DLP1638 DVI1638:DVL1638 EFE1638:EFH1638 EPA1638:EPD1638 EYW1638:EYZ1638 FIS1638:FIV1638 FSO1638:FSR1638 GCK1638:GCN1638 GMG1638:GMJ1638 GWC1638:GWF1638 HFY1638:HGB1638 HPU1638:HPX1638 HZQ1638:HZT1638 IJM1638:IJP1638 ITI1638:ITL1638 JDE1638:JDH1638 JNA1638:JND1638 JWW1638:JWZ1638 KGS1638:KGV1638 KQO1638:KQR1638 LAK1638:LAN1638 LKG1638:LKJ1638 LUC1638:LUF1638 MDY1638:MEB1638 MNU1638:MNX1638 MXQ1638:MXT1638 NHM1638:NHP1638 NRI1638:NRL1638 OBE1638:OBH1638 OLA1638:OLD1638 OUW1638:OUZ1638 PES1638:PEV1638 POO1638:POR1638 PYK1638:PYN1638 QIG1638:QIJ1638 QSC1638:QSF1638 RBY1638:RCB1638 RLU1638:RLX1638 RVQ1638:RVT1638 SFM1638:SFP1638 SPI1638:SPL1638 SZE1638:SZH1638 TJA1638:TJD1638 TSW1638:TSZ1638 UCS1638:UCV1638 UMO1638:UMR1638 UWK1638:UWN1638 VGG1638:VGJ1638 VQC1638:VQF1638 VZY1638:WAB1638 WJU1638:WJX1638 WTQ1638:WTT1638 E1640:H1640 WTS1640:WTT1644 WJW1640:WJX1644 WAA1640:WAB1644 VQE1640:VQF1644 VGI1640:VGJ1644 UWM1640:UWN1644 UMQ1640:UMR1644 UCU1640:UCV1644 TSY1640:TSZ1644 TJC1640:TJD1644 SZG1640:SZH1644 SPK1640:SPL1644 SFO1640:SFP1644 RVS1640:RVT1644 RLW1640:RLX1644 RCA1640:RCB1644 QSE1640:QSF1644 QII1640:QIJ1644 PYM1640:PYN1644 POQ1640:POR1644 PEU1640:PEV1644 OUY1640:OUZ1644 OLC1640:OLD1644 OBG1640:OBH1644 NRK1640:NRL1644 NHO1640:NHP1644 MXS1640:MXT1644 MNW1640:MNX1644 MEA1640:MEB1644 LUE1640:LUF1644 LKI1640:LKJ1644 LAM1640:LAN1644 KQQ1640:KQR1644 KGU1640:KGV1644 JWY1640:JWZ1644 JNC1640:JND1644 JDG1640:JDH1644 ITK1640:ITL1644 IJO1640:IJP1644 HZS1640:HZT1644 HPW1640:HPX1644 HGA1640:HGB1644 GWE1640:GWF1644 GMI1640:GMJ1644 GCM1640:GCN1644 FSQ1640:FSR1644 FIU1640:FIV1644 EYY1640:EYZ1644 EPC1640:EPD1644 EFG1640:EFH1644 DVK1640:DVL1644 DLO1640:DLP1644 DBS1640:DBT1644 CRW1640:CRX1644 CIA1640:CIB1644 BYE1640:BYF1644 BOI1640:BOJ1644 BEM1640:BEN1644 AUQ1640:AUR1644 AKU1640:AKV1644 AAY1640:AAZ1644 RC1640:RD1644 HG1640:HH1644 G1642:H1646 WTR2015:WTT2015 F1641:F1646 WTR1645:WTT1646 WJV2015:WJX2015 WTR1639:WTR1644 WJV1645:WJX1646 VZZ2015:WAB2015 WJV1639:WJV1644 VZZ1645:WAB1646 VQD2015:VQF2015 VZZ1639:VZZ1644 VQD1645:VQF1646 VGH2015:VGJ2015 VQD1639:VQD1644 VGH1645:VGJ1646 UWL2015:UWN2015 VGH1639:VGH1644 UWL1645:UWN1646 UMP2015:UMR2015 UWL1639:UWL1644 UMP1645:UMR1646 UCT2015:UCV2015 UMP1639:UMP1644 UCT1645:UCV1646 TSX2015:TSZ2015 UCT1639:UCT1644 TSX1645:TSZ1646 TJB2015:TJD2015 TSX1639:TSX1644 TJB1645:TJD1646 SZF2015:SZH2015 TJB1639:TJB1644 SZF1645:SZH1646 SPJ2015:SPL2015 SZF1639:SZF1644 SPJ1645:SPL1646 SFN2015:SFP2015 SPJ1639:SPJ1644 SFN1645:SFP1646 RVR2015:RVT2015 SFN1639:SFN1644 RVR1645:RVT1646 RLV2015:RLX2015 RVR1639:RVR1644 RLV1645:RLX1646 RBZ2015:RCB2015 RLV1639:RLV1644 RBZ1645:RCB1646 QSD2015:QSF2015 RBZ1639:RBZ1644 QSD1645:QSF1646 QIH2015:QIJ2015 QSD1639:QSD1644 QIH1645:QIJ1646 PYL2015:PYN2015 QIH1639:QIH1644 PYL1645:PYN1646 POP2015:POR2015 PYL1639:PYL1644 POP1645:POR1646 PET2015:PEV2015 POP1639:POP1644 PET1645:PEV1646 OUX2015:OUZ2015 PET1639:PET1644 OUX1645:OUZ1646 OLB2015:OLD2015 OUX1639:OUX1644 OLB1645:OLD1646 OBF2015:OBH2015 OLB1639:OLB1644 OBF1645:OBH1646 NRJ2015:NRL2015 OBF1639:OBF1644 NRJ1645:NRL1646 NHN2015:NHP2015 NRJ1639:NRJ1644 NHN1645:NHP1646 MXR2015:MXT2015 NHN1639:NHN1644 MXR1645:MXT1646 MNV2015:MNX2015 MXR1639:MXR1644 MNV1645:MNX1646 MDZ2015:MEB2015 MNV1639:MNV1644 MDZ1645:MEB1646 LUD2015:LUF2015 MDZ1639:MDZ1644 LUD1645:LUF1646 LKH2015:LKJ2015 LUD1639:LUD1644 LKH1645:LKJ1646 LAL2015:LAN2015 LKH1639:LKH1644 LAL1645:LAN1646 KQP2015:KQR2015 LAL1639:LAL1644 KQP1645:KQR1646 KGT2015:KGV2015 KQP1639:KQP1644 KGT1645:KGV1646 JWX2015:JWZ2015 KGT1639:KGT1644 JWX1645:JWZ1646 JNB2015:JND2015 JWX1639:JWX1644 JNB1645:JND1646 JDF2015:JDH2015 JNB1639:JNB1644 JDF1645:JDH1646 ITJ2015:ITL2015 JDF1639:JDF1644 ITJ1645:ITL1646 IJN2015:IJP2015 ITJ1639:ITJ1644 IJN1645:IJP1646 HZR2015:HZT2015 IJN1639:IJN1644 HZR1645:HZT1646 HPV2015:HPX2015 HZR1639:HZR1644 HPV1645:HPX1646 HFZ2015:HGB2015 HPV1639:HPV1644 HFZ1645:HGB1646 GWD2015:GWF2015 HFZ1639:HFZ1644 GWD1645:GWF1646 GMH2015:GMJ2015 GWD1639:GWD1644 GMH1645:GMJ1646 GCL2015:GCN2015 GMH1639:GMH1644 GCL1645:GCN1646 FSP2015:FSR2015 GCL1639:GCL1644 FSP1645:FSR1646 FIT2015:FIV2015 FSP1639:FSP1644 FIT1645:FIV1646 EYX2015:EYZ2015 FIT1639:FIT1644 EYX1645:EYZ1646 EPB2015:EPD2015 EYX1639:EYX1644 EPB1645:EPD1646 EFF2015:EFH2015 EPB1639:EPB1644 EFF1645:EFH1646 DVJ2015:DVL2015 EFF1639:EFF1644 DVJ1645:DVL1646 DLN2015:DLP2015 DVJ1639:DVJ1644 DLN1645:DLP1646 DBR2015:DBT2015 DLN1639:DLN1644 DBR1645:DBT1646 CRV2015:CRX2015 DBR1639:DBR1644 CRV1645:CRX1646 CHZ2015:CIB2015 CRV1639:CRV1644 CHZ1645:CIB1646 BYD2015:BYF2015 CHZ1639:CHZ1644 BYD1645:BYF1646 BOH2015:BOJ2015 BYD1639:BYD1644 BOH1645:BOJ1646 BEL2015:BEN2015 BOH1639:BOH1644 BEL1645:BEN1646 AUP2015:AUR2015 BEL1639:BEL1644 AUP1645:AUR1646 AKT2015:AKV2015 AUP1639:AUP1644 AKT1645:AKV1646 AAX2015:AAZ2015 AKT1639:AKT1644 AAX1645:AAZ1646 RB2015:RD2015 AAX1639:AAX1644 RB1645:RD1646 HF2015:HH2015 RB1639:RB1644 HF1645:HH1646 F1647:H1648 HF1639:HF1644 F2018:H2018" xr:uid="{1A501CAD-1B5D-472B-8961-7306FBEB57C5}"/>
    <dataValidation type="list" allowBlank="1" showInputMessage="1" showErrorMessage="1" sqref="WVB2016:WVC2016 WVB1647:WVC1662 WLF1647:WLG1662 WBJ1647:WBK1662 VRN1647:VRO1662 VHR1647:VHS1662 UXV1647:UXW1662 UNZ1647:UOA1662 UED1647:UEE1662 TUH1647:TUI1662 TKL1647:TKM1662 TAP1647:TAQ1662 SQT1647:SQU1662 SGX1647:SGY1662 RXB1647:RXC1662 RNF1647:RNG1662 RDJ1647:RDK1662 QTN1647:QTO1662 QJR1647:QJS1662 PZV1647:PZW1662 PPZ1647:PQA1662 PGD1647:PGE1662 OWH1647:OWI1662 OML1647:OMM1662 OCP1647:OCQ1662 NST1647:NSU1662 NIX1647:NIY1662 MZB1647:MZC1662 MPF1647:MPG1662 MFJ1647:MFK1662 LVN1647:LVO1662 LLR1647:LLS1662 LBV1647:LBW1662 KRZ1647:KSA1662 KID1647:KIE1662 JYH1647:JYI1662 JOL1647:JOM1662 JEP1647:JEQ1662 IUT1647:IUU1662 IKX1647:IKY1662 IBB1647:IBC1662 HRF1647:HRG1662 HHJ1647:HHK1662 GXN1647:GXO1662 GNR1647:GNS1662 GDV1647:GDW1662 FTZ1647:FUA1662 FKD1647:FKE1662 FAH1647:FAI1662 EQL1647:EQM1662 EGP1647:EGQ1662 DWT1647:DWU1662 DMX1647:DMY1662 DDB1647:DDC1662 CTF1647:CTG1662 CJJ1647:CJK1662 BZN1647:BZO1662 BPR1647:BPS1662 BFV1647:BFW1662 AVZ1647:AWA1662 AMD1647:AME1662 ACH1647:ACI1662 SL1647:SM1662 IP1647:IQ1662 IP2016:IQ2016 SL2016:SM2016 ACH2016:ACI2016 AMD2016:AME2016 AVZ2016:AWA2016 BFV2016:BFW2016 BPR2016:BPS2016 BZN2016:BZO2016 CJJ2016:CJK2016 CTF2016:CTG2016 DDB2016:DDC2016 DMX2016:DMY2016 DWT2016:DWU2016 EGP2016:EGQ2016 EQL2016:EQM2016 FAH2016:FAI2016 FKD2016:FKE2016 FTZ2016:FUA2016 GDV2016:GDW2016 GNR2016:GNS2016 GXN2016:GXO2016 HHJ2016:HHK2016 HRF2016:HRG2016 IBB2016:IBC2016 IKX2016:IKY2016 IUT2016:IUU2016 JEP2016:JEQ2016 JOL2016:JOM2016 JYH2016:JYI2016 KID2016:KIE2016 KRZ2016:KSA2016 LBV2016:LBW2016 LLR2016:LLS2016 LVN2016:LVO2016 MFJ2016:MFK2016 MPF2016:MPG2016 MZB2016:MZC2016 NIX2016:NIY2016 NST2016:NSU2016 OCP2016:OCQ2016 OML2016:OMM2016 OWH2016:OWI2016 PGD2016:PGE2016 PPZ2016:PQA2016 PZV2016:PZW2016 QJR2016:QJS2016 QTN2016:QTO2016 RDJ2016:RDK2016 RNF2016:RNG2016 RXB2016:RXC2016 SGX2016:SGY2016 SQT2016:SQU2016 TAP2016:TAQ2016 TKL2016:TKM2016 TUH2016:TUI2016 UED2016:UEE2016 UNZ2016:UOA2016 UXV2016:UXW2016 VHR2016:VHS2016 VRN2016:VRO2016 WBJ2016:WBK2016 WLF2016:WLG2016 WVB1508:WVC1508 IP1508:IQ1508 SL1508:SM1508 ACH1508:ACI1508 AMD1508:AME1508 AVZ1508:AWA1508 BFV1508:BFW1508 BPR1508:BPS1508 BZN1508:BZO1508 CJJ1508:CJK1508 CTF1508:CTG1508 DDB1508:DDC1508 DMX1508:DMY1508 DWT1508:DWU1508 EGP1508:EGQ1508 EQL1508:EQM1508 FAH1508:FAI1508 FKD1508:FKE1508 FTZ1508:FUA1508 GDV1508:GDW1508 GNR1508:GNS1508 GXN1508:GXO1508 HHJ1508:HHK1508 HRF1508:HRG1508 IBB1508:IBC1508 IKX1508:IKY1508 IUT1508:IUU1508 JEP1508:JEQ1508 JOL1508:JOM1508 JYH1508:JYI1508 KID1508:KIE1508 KRZ1508:KSA1508 LBV1508:LBW1508 LLR1508:LLS1508 LVN1508:LVO1508 MFJ1508:MFK1508 MPF1508:MPG1508 MZB1508:MZC1508 NIX1508:NIY1508 NST1508:NSU1508 OCP1508:OCQ1508 OML1508:OMM1508 OWH1508:OWI1508 PGD1508:PGE1508 PPZ1508:PQA1508 PZV1508:PZW1508 QJR1508:QJS1508 QTN1508:QTO1508 RDJ1508:RDK1508 RNF1508:RNG1508 RXB1508:RXC1508 SGX1508:SGY1508 SQT1508:SQU1508 TAP1508:TAQ1508 TKL1508:TKM1508 TUH1508:TUI1508 UED1508:UEE1508 UNZ1508:UOA1508 UXV1508:UXW1508 VHR1508:VHS1508 VRN1508:VRO1508 WBJ1508:WBK1508 WLF1508:WLG1508 AMD2021:AME2027 AVZ2021:AWA2027 BFV2021:BFW2027 BPR2021:BPS2027 BZN2021:BZO2027 CJJ2021:CJK2027 CTF2021:CTG2027 DDB2021:DDC2027 DMX2021:DMY2027 DWT2021:DWU2027 EGP2021:EGQ2027 EQL2021:EQM2027 FAH2021:FAI2027 FKD2021:FKE2027 FTZ2021:FUA2027 GDV2021:GDW2027 GNR2021:GNS2027 GXN2021:GXO2027 HHJ2021:HHK2027 HRF2021:HRG2027 IBB2021:IBC2027 IKX2021:IKY2027 IUT2021:IUU2027 JEP2021:JEQ2027 JOL2021:JOM2027 JYH2021:JYI2027 KID2021:KIE2027 KRZ2021:KSA2027 LBV2021:LBW2027 LLR2021:LLS2027 LVN2021:LVO2027 MFJ2021:MFK2027 MPF2021:MPG2027 MZB2021:MZC2027 NIX2021:NIY2027 NST2021:NSU2027 OCP2021:OCQ2027 OML2021:OMM2027 OWH2021:OWI2027 PGD2021:PGE2027 PPZ2021:PQA2027 PZV2021:PZW2027 QJR2021:QJS2027 QTN2021:QTO2027 RDJ2021:RDK2027 RNF2021:RNG2027 RXB2021:RXC2027 SGX2021:SGY2027 SQT2021:SQU2027 TAP2021:TAQ2027 TKL2021:TKM2027 TUH2021:TUI2027 UED2021:UEE2027 UNZ2021:UOA2027 UXV2021:UXW2027 VHR2021:VHS2027 VRN2021:VRO2027 WBJ2021:WBK2027 WLF2021:WLG2027 WVB2021:WVC2027 IP2021:IQ2027 SL2021:SM2027 ACH2021:ACI2027 BPR1681:BPS1723 BFV1681:BFW1723 AVZ1681:AWA1723 AMD1681:AME1723 ACH1681:ACI1723 SL1681:SM1723 IP1681:IQ1723 WVB1681:WVC1723 WLF1681:WLG1723 WBJ1681:WBK1723 VRN1681:VRO1723 VHR1681:VHS1723 UXV1681:UXW1723 UNZ1681:UOA1723 UED1681:UEE1723 TUH1681:TUI1723 TKL1681:TKM1723 TAP1681:TAQ1723 SQT1681:SQU1723 SGX1681:SGY1723 RXB1681:RXC1723 RNF1681:RNG1723 RDJ1681:RDK1723 QTN1681:QTO1723 QJR1681:QJS1723 PZV1681:PZW1723 PPZ1681:PQA1723 PGD1681:PGE1723 OWH1681:OWI1723 OML1681:OMM1723 OCP1681:OCQ1723 NST1681:NSU1723 NIX1681:NIY1723 MZB1681:MZC1723 MPF1681:MPG1723 MFJ1681:MFK1723 LVN1681:LVO1723 LLR1681:LLS1723 LBV1681:LBW1723 KRZ1681:KSA1723 KID1681:KIE1723 JYH1681:JYI1723 JOL1681:JOM1723 JEP1681:JEQ1723 IUT1681:IUU1723 IKX1681:IKY1723 IBB1681:IBC1723 HRF1681:HRG1723 HHJ1681:HHK1723 GXN1681:GXO1723 GNR1681:GNS1723 GDV1681:GDW1723 FTZ1681:FUA1723 FKD1681:FKE1723 FAH1681:FAI1723 EQL1681:EQM1723 EGP1681:EGQ1723 DWT1681:DWU1723 DMX1681:DMY1723 DDB1681:DDC1723 CTF1681:CTG1723 CJJ1681:CJK1723 BZN1681:BZO1723" xr:uid="{A6042BBC-2063-4C5C-9289-357E99BFD3B5}">
      <formula1>"△,　,"</formula1>
    </dataValidation>
    <dataValidation type="list" allowBlank="1" showInputMessage="1" showErrorMessage="1" sqref="WUZ1647:WVA1662 WLD1647:WLE1662 WBH1647:WBI1662 VRL1647:VRM1662 VHP1647:VHQ1662 UXT1647:UXU1662 UNX1647:UNY1662 UEB1647:UEC1662 TUF1647:TUG1662 TKJ1647:TKK1662 TAN1647:TAO1662 SQR1647:SQS1662 SGV1647:SGW1662 RWZ1647:RXA1662 RND1647:RNE1662 RDH1647:RDI1662 QTL1647:QTM1662 QJP1647:QJQ1662 PZT1647:PZU1662 PPX1647:PPY1662 PGB1647:PGC1662 OWF1647:OWG1662 OMJ1647:OMK1662 OCN1647:OCO1662 NSR1647:NSS1662 NIV1647:NIW1662 MYZ1647:MZA1662 MPD1647:MPE1662 MFH1647:MFI1662 LVL1647:LVM1662 LLP1647:LLQ1662 LBT1647:LBU1662 KRX1647:KRY1662 KIB1647:KIC1662 JYF1647:JYG1662 JOJ1647:JOK1662 JEN1647:JEO1662 IUR1647:IUS1662 IKV1647:IKW1662 IAZ1647:IBA1662 HRD1647:HRE1662 HHH1647:HHI1662 GXL1647:GXM1662 GNP1647:GNQ1662 GDT1647:GDU1662 FTX1647:FTY1662 FKB1647:FKC1662 FAF1647:FAG1662 EQJ1647:EQK1662 EGN1647:EGO1662 DWR1647:DWS1662 DMV1647:DMW1662 DCZ1647:DDA1662 CTD1647:CTE1662 CJH1647:CJI1662 BZL1647:BZM1662 BPP1647:BPQ1662 BFT1647:BFU1662 AVX1647:AVY1662 AMB1647:AMC1662 ACF1647:ACG1662 SJ1647:SK1662 IN1647:IO1662 WUZ2016:WVA2016 WTU1647:WUA1662 WJY1647:WKE1662 WAC1647:WAI1662 VQG1647:VQM1662 VGK1647:VGQ1662 UWO1647:UWU1662 UMS1647:UMY1662 UCW1647:UDC1662 TTA1647:TTG1662 TJE1647:TJK1662 SZI1647:SZO1662 SPM1647:SPS1662 SFQ1647:SFW1662 RVU1647:RWA1662 RLY1647:RME1662 RCC1647:RCI1662 QSG1647:QSM1662 QIK1647:QIQ1662 PYO1647:PYU1662 POS1647:POY1662 PEW1647:PFC1662 OVA1647:OVG1662 OLE1647:OLK1662 OBI1647:OBO1662 NRM1647:NRS1662 NHQ1647:NHW1662 MXU1647:MYA1662 MNY1647:MOE1662 MEC1647:MEI1662 LUG1647:LUM1662 LKK1647:LKQ1662 LAO1647:LAU1662 KQS1647:KQY1662 KGW1647:KHC1662 JXA1647:JXG1662 JNE1647:JNK1662 JDI1647:JDO1662 ITM1647:ITS1662 IJQ1647:IJW1662 HZU1647:IAA1662 HPY1647:HQE1662 HGC1647:HGI1662 GWG1647:GWM1662 GMK1647:GMQ1662 GCO1647:GCU1662 FSS1647:FSY1662 FIW1647:FJC1662 EZA1647:EZG1662 EPE1647:EPK1662 EFI1647:EFO1662 DVM1647:DVS1662 DLQ1647:DLW1662 DBU1647:DCA1662 CRY1647:CSE1662 CIC1647:CII1662 BYG1647:BYM1662 BOK1647:BOQ1662 BEO1647:BEU1662 AUS1647:AUY1662 AKW1647:ALC1662 ABA1647:ABG1662 RE1647:RK1662 HI1647:HO1662 HI2016:HO2016 RE2016:RK2016 ABA2016:ABG2016 AKW2016:ALC2016 AUS2016:AUY2016 BEO2016:BEU2016 BOK2016:BOQ2016 BYG2016:BYM2016 CIC2016:CII2016 CRY2016:CSE2016 DBU2016:DCA2016 DLQ2016:DLW2016 DVM2016:DVS2016 EFI2016:EFO2016 EPE2016:EPK2016 EZA2016:EZG2016 FIW2016:FJC2016 FSS2016:FSY2016 GCO2016:GCU2016 GMK2016:GMQ2016 GWG2016:GWM2016 HGC2016:HGI2016 HPY2016:HQE2016 HZU2016:IAA2016 IJQ2016:IJW2016 ITM2016:ITS2016 JDI2016:JDO2016 JNE2016:JNK2016 JXA2016:JXG2016 KGW2016:KHC2016 KQS2016:KQY2016 LAO2016:LAU2016 LKK2016:LKQ2016 LUG2016:LUM2016 MEC2016:MEI2016 MNY2016:MOE2016 MXU2016:MYA2016 NHQ2016:NHW2016 NRM2016:NRS2016 OBI2016:OBO2016 OLE2016:OLK2016 OVA2016:OVG2016 PEW2016:PFC2016 POS2016:POY2016 PYO2016:PYU2016 QIK2016:QIQ2016 QSG2016:QSM2016 RCC2016:RCI2016 RLY2016:RME2016 RVU2016:RWA2016 SFQ2016:SFW2016 SPM2016:SPS2016 SZI2016:SZO2016 TJE2016:TJK2016 TTA2016:TTG2016 UCW2016:UDC2016 UMS2016:UMY2016 UWO2016:UWU2016 VGK2016:VGQ2016 VQG2016:VQM2016 WAC2016:WAI2016 WJY2016:WKE2016 WTU2016:WUA2016 IN2016:IO2016 SJ2016:SK2016 ACF2016:ACG2016 AMB2016:AMC2016 AVX2016:AVY2016 BFT2016:BFU2016 BPP2016:BPQ2016 BZL2016:BZM2016 CJH2016:CJI2016 CTD2016:CTE2016 DCZ2016:DDA2016 DMV2016:DMW2016 DWR2016:DWS2016 EGN2016:EGO2016 EQJ2016:EQK2016 FAF2016:FAG2016 FKB2016:FKC2016 FTX2016:FTY2016 GDT2016:GDU2016 GNP2016:GNQ2016 GXL2016:GXM2016 HHH2016:HHI2016 HRD2016:HRE2016 IAZ2016:IBA2016 IKV2016:IKW2016 IUR2016:IUS2016 JEN2016:JEO2016 JOJ2016:JOK2016 JYF2016:JYG2016 KIB2016:KIC2016 KRX2016:KRY2016 LBT2016:LBU2016 LLP2016:LLQ2016 LVL2016:LVM2016 MFH2016:MFI2016 MPD2016:MPE2016 MYZ2016:MZA2016 NIV2016:NIW2016 NSR2016:NSS2016 OCN2016:OCO2016 OMJ2016:OMK2016 OWF2016:OWG2016 PGB2016:PGC2016 PPX2016:PPY2016 PZT2016:PZU2016 QJP2016:QJQ2016 QTL2016:QTM2016 RDH2016:RDI2016 RND2016:RNE2016 RWZ2016:RXA2016 SGV2016:SGW2016 SQR2016:SQS2016 TAN2016:TAO2016 TKJ2016:TKK2016 TUF2016:TUG2016 UEB2016:UEC2016 UNX2016:UNY2016 UXT2016:UXU2016 VHP2016:VHQ2016 VRL2016:VRM2016 WBH2016:WBI2016 WLD2016:WLE2016 WUZ1508:WVA1508 I1508:O1508 HH1508:HN1508 RD1508:RJ1508 AAZ1508:ABF1508 AKV1508:ALB1508 AUR1508:AUX1508 BEN1508:BET1508 BOJ1508:BOP1508 BYF1508:BYL1508 CIB1508:CIH1508 CRX1508:CSD1508 DBT1508:DBZ1508 DLP1508:DLV1508 DVL1508:DVR1508 EFH1508:EFN1508 EPD1508:EPJ1508 EYZ1508:EZF1508 FIV1508:FJB1508 FSR1508:FSX1508 GCN1508:GCT1508 GMJ1508:GMP1508 GWF1508:GWL1508 HGB1508:HGH1508 HPX1508:HQD1508 HZT1508:HZZ1508 IJP1508:IJV1508 ITL1508:ITR1508 JDH1508:JDN1508 JND1508:JNJ1508 JWZ1508:JXF1508 KGV1508:KHB1508 KQR1508:KQX1508 LAN1508:LAT1508 LKJ1508:LKP1508 LUF1508:LUL1508 MEB1508:MEH1508 MNX1508:MOD1508 MXT1508:MXZ1508 NHP1508:NHV1508 NRL1508:NRR1508 OBH1508:OBN1508 OLD1508:OLJ1508 OUZ1508:OVF1508 PEV1508:PFB1508 POR1508:POX1508 PYN1508:PYT1508 QIJ1508:QIP1508 QSF1508:QSL1508 RCB1508:RCH1508 RLX1508:RMD1508 RVT1508:RVZ1508 SFP1508:SFV1508 SPL1508:SPR1508 SZH1508:SZN1508 TJD1508:TJJ1508 TSZ1508:TTF1508 UCV1508:UDB1508 UMR1508:UMX1508 UWN1508:UWT1508 VGJ1508:VGP1508 VQF1508:VQL1508 WAB1508:WAH1508 WJX1508:WKD1508 WTT1508:WTZ1508 IN1508:IO1508 SJ1508:SK1508 ACF1508:ACG1508 AMB1508:AMC1508 AVX1508:AVY1508 BFT1508:BFU1508 BPP1508:BPQ1508 BZL1508:BZM1508 CJH1508:CJI1508 CTD1508:CTE1508 DCZ1508:DDA1508 DMV1508:DMW1508 DWR1508:DWS1508 EGN1508:EGO1508 EQJ1508:EQK1508 FAF1508:FAG1508 FKB1508:FKC1508 FTX1508:FTY1508 GDT1508:GDU1508 GNP1508:GNQ1508 GXL1508:GXM1508 HHH1508:HHI1508 HRD1508:HRE1508 IAZ1508:IBA1508 IKV1508:IKW1508 IUR1508:IUS1508 JEN1508:JEO1508 JOJ1508:JOK1508 JYF1508:JYG1508 KIB1508:KIC1508 KRX1508:KRY1508 LBT1508:LBU1508 LLP1508:LLQ1508 LVL1508:LVM1508 MFH1508:MFI1508 MPD1508:MPE1508 MYZ1508:MZA1508 NIV1508:NIW1508 NSR1508:NSS1508 OCN1508:OCO1508 OMJ1508:OMK1508 OWF1508:OWG1508 PGB1508:PGC1508 PPX1508:PPY1508 PZT1508:PZU1508 QJP1508:QJQ1508 QTL1508:QTM1508 RDH1508:RDI1508 RND1508:RNE1508 RWZ1508:RXA1508 SGV1508:SGW1508 SQR1508:SQS1508 TAN1508:TAO1508 TKJ1508:TKK1508 TUF1508:TUG1508 UEB1508:UEC1508 UNX1508:UNY1508 UXT1508:UXU1508 VHP1508:VHQ1508 VRL1508:VRM1508 WBH1508:WBI1508 WLD1508:WLE1508 AAZ2021:ABF2027 AKV2021:ALB2027 AUR2021:AUX2027 BEN2021:BET2027 BOJ2021:BOP2027 BYF2021:BYL2027 CIB2021:CIH2027 CRX2021:CSD2027 DBT2021:DBZ2027 DLP2021:DLV2027 DVL2021:DVR2027 EFH2021:EFN2027 EPD2021:EPJ2027 EYZ2021:EZF2027 FIV2021:FJB2027 FSR2021:FSX2027 GCN2021:GCT2027 GMJ2021:GMP2027 GWF2021:GWL2027 HGB2021:HGH2027 HPX2021:HQD2027 HZT2021:HZZ2027 IJP2021:IJV2027 ITL2021:ITR2027 JDH2021:JDN2027 JND2021:JNJ2027 JWZ2021:JXF2027 KGV2021:KHB2027 KQR2021:KQX2027 LAN2021:LAT2027 LKJ2021:LKP2027 LUF2021:LUL2027 MEB2021:MEH2027 MNX2021:MOD2027 MXT2021:MXZ2027 NHP2021:NHV2027 NRL2021:NRR2027 OBH2021:OBN2027 OLD2021:OLJ2027 OUZ2021:OVF2027 PEV2021:PFB2027 POR2021:POX2027 PYN2021:PYT2027 QIJ2021:QIP2027 QSF2021:QSL2027 RCB2021:RCH2027 RLX2021:RMD2027 RVT2021:RVZ2027 SFP2021:SFV2027 SPL2021:SPR2027 SZH2021:SZN2027 TJD2021:TJJ2027 TSZ2021:TTF2027 UCV2021:UDB2027 UMR2021:UMX2027 UWN2021:UWT2027 VGJ2021:VGP2027 VQF2021:VQL2027 WAB2021:WAH2027 WJX2021:WKD2027 WTT2021:WTZ2027 IN2021:IO2027 SJ2021:SK2027 ACF2021:ACG2027 AMB2021:AMC2027 AVX2021:AVY2027 BFT2021:BFU2027 BPP2021:BPQ2027 BZL2021:BZM2027 CJH2021:CJI2027 CTD2021:CTE2027 DCZ2021:DDA2027 DMV2021:DMW2027 DWR2021:DWS2027 EGN2021:EGO2027 EQJ2021:EQK2027 FAF2021:FAG2027 FKB2021:FKC2027 FTX2021:FTY2027 GDT2021:GDU2027 GNP2021:GNQ2027 GXL2021:GXM2027 HHH2021:HHI2027 HRD2021:HRE2027 IAZ2021:IBA2027 IKV2021:IKW2027 IUR2021:IUS2027 JEN2021:JEO2027 JOJ2021:JOK2027 JYF2021:JYG2027 KIB2021:KIC2027 KRX2021:KRY2027 LBT2021:LBU2027 LLP2021:LLQ2027 LVL2021:LVM2027 MFH2021:MFI2027 MPD2021:MPE2027 MYZ2021:MZA2027 NIV2021:NIW2027 NSR2021:NSS2027 OCN2021:OCO2027 OMJ2021:OMK2027 OWF2021:OWG2027 PGB2021:PGC2027 PPX2021:PPY2027 PZT2021:PZU2027 QJP2021:QJQ2027 QTL2021:QTM2027 RDH2021:RDI2027 RND2021:RNE2027 RWZ2021:RXA2027 SGV2021:SGW2027 SQR2021:SQS2027 TAN2021:TAO2027 TKJ2021:TKK2027 TUF2021:TUG2027 UEB2021:UEC2027 UNX2021:UNY2027 UXT2021:UXU2027 VHP2021:VHQ2027 VRL2021:VRM2027 WBH2021:WBI2027 WLD2021:WLE2027 WUZ2021:WVA2027 I2019:O2028 HH2021:HN2027 RD2021:RJ2027 BEN1681:BET1723 AUR1681:AUX1723 AKV1681:ALB1723 AAZ1681:ABF1723 RD1681:RJ1723 HH1681:HN1723 I1649:O1723 WUZ1681:WVA1723 WLD1681:WLE1723 WBH1681:WBI1723 VRL1681:VRM1723 VHP1681:VHQ1723 UXT1681:UXU1723 UNX1681:UNY1723 UEB1681:UEC1723 TUF1681:TUG1723 TKJ1681:TKK1723 TAN1681:TAO1723 SQR1681:SQS1723 SGV1681:SGW1723 RWZ1681:RXA1723 RND1681:RNE1723 RDH1681:RDI1723 QTL1681:QTM1723 QJP1681:QJQ1723 PZT1681:PZU1723 PPX1681:PPY1723 PGB1681:PGC1723 OWF1681:OWG1723 OMJ1681:OMK1723 OCN1681:OCO1723 NSR1681:NSS1723 NIV1681:NIW1723 MYZ1681:MZA1723 MPD1681:MPE1723 MFH1681:MFI1723 LVL1681:LVM1723 LLP1681:LLQ1723 LBT1681:LBU1723 KRX1681:KRY1723 KIB1681:KIC1723 JYF1681:JYG1723 JOJ1681:JOK1723 JEN1681:JEO1723 IUR1681:IUS1723 IKV1681:IKW1723 IAZ1681:IBA1723 HRD1681:HRE1723 HHH1681:HHI1723 GXL1681:GXM1723 GNP1681:GNQ1723 GDT1681:GDU1723 FTX1681:FTY1723 FKB1681:FKC1723 FAF1681:FAG1723 EQJ1681:EQK1723 EGN1681:EGO1723 DWR1681:DWS1723 DMV1681:DMW1723 DCZ1681:DDA1723 CTD1681:CTE1723 CJH1681:CJI1723 BZL1681:BZM1723 BPP1681:BPQ1723 BFT1681:BFU1723 AVX1681:AVY1723 AMB1681:AMC1723 ACF1681:ACG1723 SJ1681:SK1723 IN1681:IO1723 WTT1681:WTZ1723 WJX1681:WKD1723 WAB1681:WAH1723 VQF1681:VQL1723 VGJ1681:VGP1723 UWN1681:UWT1723 UMR1681:UMX1723 UCV1681:UDB1723 TSZ1681:TTF1723 TJD1681:TJJ1723 SZH1681:SZN1723 SPL1681:SPR1723 SFP1681:SFV1723 RVT1681:RVZ1723 RLX1681:RMD1723 RCB1681:RCH1723 QSF1681:QSL1723 QIJ1681:QIP1723 PYN1681:PYT1723 POR1681:POX1723 PEV1681:PFB1723 OUZ1681:OVF1723 OLD1681:OLJ1723 OBH1681:OBN1723 NRL1681:NRR1723 NHP1681:NHV1723 MXT1681:MXZ1723 MNX1681:MOD1723 MEB1681:MEH1723 LUF1681:LUL1723 LKJ1681:LKP1723 LAN1681:LAT1723 KQR1681:KQX1723 KGV1681:KHB1723 JWZ1681:JXF1723 JND1681:JNJ1723 JDH1681:JDN1723 ITL1681:ITR1723 IJP1681:IJV1723 HZT1681:HZZ1723 HPX1681:HQD1723 HGB1681:HGH1723 GWF1681:GWL1723 GMJ1681:GMP1723 GCN1681:GCT1723 FSR1681:FSX1723 FIV1681:FJB1723 EYZ1681:EZF1723 EPD1681:EPJ1723 EFH1681:EFN1723 DVL1681:DVR1723 DLP1681:DLV1723 DBT1681:DBZ1723 CRX1681:CSD1723 CIB1681:CIH1723 BYF1681:BYL1723 BOJ1681:BOP1723" xr:uid="{242EEF56-5050-491F-A260-FA0ED5D0E04C}">
      <formula1>"〇,　,"</formula1>
    </dataValidation>
  </dataValidations>
  <printOptions horizontalCentered="1"/>
  <pageMargins left="0" right="0" top="0.39370078740157483" bottom="0.19685039370078741" header="0.51181102362204722" footer="0.11811023622047245"/>
  <pageSetup paperSize="9" scale="49" fitToHeight="0" orientation="landscape" r:id="rId1"/>
  <headerFooter alignWithMargins="0">
    <oddFooter>&amp;P / &amp;N ページ</oddFooter>
  </headerFooter>
  <rowBreaks count="1" manualBreakCount="1">
    <brk id="96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68"/>
  <sheetViews>
    <sheetView zoomScale="85" zoomScaleNormal="85" workbookViewId="0">
      <pane xSplit="3" ySplit="4" topLeftCell="D5" activePane="bottomRight" state="frozen"/>
      <selection pane="topRight" activeCell="D1" sqref="D1"/>
      <selection pane="bottomLeft" activeCell="A5" sqref="A5"/>
      <selection pane="bottomRight" activeCell="B13" sqref="B13"/>
    </sheetView>
  </sheetViews>
  <sheetFormatPr defaultColWidth="9" defaultRowHeight="13.5" x14ac:dyDescent="0.15"/>
  <cols>
    <col min="1" max="1" width="3.75" bestFit="1" customWidth="1"/>
    <col min="2" max="2" width="5.75" style="4" customWidth="1"/>
    <col min="3" max="3" width="10.375" bestFit="1" customWidth="1"/>
    <col min="4" max="25" width="7.125" customWidth="1"/>
  </cols>
  <sheetData>
    <row r="1" spans="1:27" ht="24" x14ac:dyDescent="0.15">
      <c r="A1" s="667" t="s">
        <v>4139</v>
      </c>
      <c r="B1" s="667"/>
      <c r="C1" s="667"/>
      <c r="D1" s="667"/>
      <c r="E1" s="667"/>
      <c r="F1" s="667"/>
      <c r="G1" s="667"/>
      <c r="H1" s="667"/>
      <c r="I1" s="667"/>
      <c r="J1" s="667"/>
      <c r="K1" s="667"/>
      <c r="L1" s="667"/>
      <c r="M1" s="667"/>
      <c r="N1" s="667"/>
      <c r="O1" s="667"/>
      <c r="P1" s="667"/>
      <c r="Q1" s="667"/>
      <c r="R1" s="667"/>
      <c r="S1" s="667"/>
      <c r="T1" s="667"/>
      <c r="U1" s="667"/>
    </row>
    <row r="2" spans="1:27" ht="18" customHeight="1" x14ac:dyDescent="0.15">
      <c r="R2" s="678" t="str">
        <f>'事業所・施設 一覧'!AE1</f>
        <v>黄色＝変更、赤＝廃止　　　令和8年8月1日現在</v>
      </c>
      <c r="S2" s="678"/>
      <c r="T2" s="678"/>
      <c r="U2" s="678"/>
      <c r="V2" s="678"/>
      <c r="W2" s="678"/>
      <c r="X2" s="678"/>
      <c r="Y2" s="678"/>
    </row>
    <row r="3" spans="1:27" ht="28.5" customHeight="1" x14ac:dyDescent="0.15">
      <c r="A3" s="668" t="s">
        <v>4140</v>
      </c>
      <c r="B3" s="670" t="s">
        <v>4141</v>
      </c>
      <c r="C3" s="672" t="s">
        <v>4142</v>
      </c>
      <c r="D3" s="674" t="s">
        <v>4143</v>
      </c>
      <c r="E3" s="675"/>
      <c r="F3" s="668" t="s">
        <v>4144</v>
      </c>
      <c r="G3" s="672"/>
      <c r="H3" s="674" t="s">
        <v>148</v>
      </c>
      <c r="I3" s="675"/>
      <c r="J3" s="676" t="s">
        <v>4145</v>
      </c>
      <c r="K3" s="672"/>
      <c r="L3" s="677" t="s">
        <v>4146</v>
      </c>
      <c r="M3" s="675"/>
      <c r="N3" s="676" t="s">
        <v>4147</v>
      </c>
      <c r="O3" s="672"/>
      <c r="P3" s="674" t="s">
        <v>4148</v>
      </c>
      <c r="Q3" s="675"/>
      <c r="R3" s="676" t="s">
        <v>4149</v>
      </c>
      <c r="S3" s="672"/>
      <c r="T3" s="677" t="s">
        <v>4150</v>
      </c>
      <c r="U3" s="672"/>
      <c r="V3" s="677" t="s">
        <v>11038</v>
      </c>
      <c r="W3" s="672"/>
      <c r="X3" s="677" t="s">
        <v>11039</v>
      </c>
      <c r="Y3" s="672"/>
      <c r="AA3" s="64"/>
    </row>
    <row r="4" spans="1:27" ht="20.100000000000001" customHeight="1" x14ac:dyDescent="0.15">
      <c r="A4" s="669"/>
      <c r="B4" s="671"/>
      <c r="C4" s="673"/>
      <c r="D4" s="6" t="s">
        <v>4151</v>
      </c>
      <c r="E4" s="7" t="s">
        <v>4152</v>
      </c>
      <c r="F4" s="8" t="s">
        <v>4153</v>
      </c>
      <c r="G4" s="9" t="s">
        <v>4152</v>
      </c>
      <c r="H4" s="10" t="s">
        <v>4153</v>
      </c>
      <c r="I4" s="11" t="s">
        <v>4152</v>
      </c>
      <c r="J4" s="8" t="s">
        <v>4153</v>
      </c>
      <c r="K4" s="9" t="s">
        <v>4152</v>
      </c>
      <c r="L4" s="10" t="s">
        <v>4153</v>
      </c>
      <c r="M4" s="11" t="s">
        <v>4152</v>
      </c>
      <c r="N4" s="8" t="s">
        <v>4153</v>
      </c>
      <c r="O4" s="9" t="s">
        <v>4152</v>
      </c>
      <c r="P4" s="10" t="s">
        <v>4153</v>
      </c>
      <c r="Q4" s="11" t="s">
        <v>4152</v>
      </c>
      <c r="R4" s="8" t="s">
        <v>4153</v>
      </c>
      <c r="S4" s="9" t="s">
        <v>4152</v>
      </c>
      <c r="T4" s="10" t="s">
        <v>4153</v>
      </c>
      <c r="U4" s="9" t="s">
        <v>4152</v>
      </c>
      <c r="V4" s="10" t="s">
        <v>4153</v>
      </c>
      <c r="W4" s="9" t="s">
        <v>4152</v>
      </c>
      <c r="X4" s="10" t="s">
        <v>4153</v>
      </c>
      <c r="Y4" s="9" t="s">
        <v>4152</v>
      </c>
    </row>
    <row r="5" spans="1:27" ht="20.100000000000001" customHeight="1" x14ac:dyDescent="0.15">
      <c r="A5" s="5">
        <v>1</v>
      </c>
      <c r="B5" s="12" t="s">
        <v>4154</v>
      </c>
      <c r="C5" s="1" t="s">
        <v>3873</v>
      </c>
      <c r="D5" s="18">
        <f ca="1">COUNTIFS('事業所・施設 一覧'!$D$4:OFFSET('事業所・施設 一覧'!D2031,-1,0),"さいたま市",'事業所・施設 一覧'!$P$4:OFFSET('事業所・施設 一覧'!P2031,-1,0),"&lt;&gt;")</f>
        <v>9</v>
      </c>
      <c r="E5" s="19">
        <f ca="1">SUMIF('事業所・施設 一覧'!$D$4:OFFSET('事業所・施設 一覧'!D2031,-1,0),"さいたま市",'事業所・施設 一覧'!$P$4:OFFSET('事業所・施設 一覧'!P2031,-1,0))</f>
        <v>410</v>
      </c>
      <c r="F5" s="20">
        <f ca="1">COUNTIFS('事業所・施設 一覧'!$D$4:OFFSET('事業所・施設 一覧'!D2031,-1,0),"さいたま市",'事業所・施設 一覧'!$S$4:OFFSET('事業所・施設 一覧'!S2031,-1,0),"&lt;&gt;")</f>
        <v>1</v>
      </c>
      <c r="G5" s="19">
        <f ca="1">SUMIF('事業所・施設 一覧'!$D$4:OFFSET('事業所・施設 一覧'!D2031,-1,0),"さいたま市",'事業所・施設 一覧'!$S$4:OFFSET('事業所・施設 一覧'!S2031,-1,0))</f>
        <v>50</v>
      </c>
      <c r="H5" s="20">
        <f ca="1">COUNTIFS('事業所・施設 一覧'!$D$4:OFFSET('事業所・施設 一覧'!D2031,-1,0),"さいたま市",'事業所・施設 一覧'!$T$4:OFFSET('事業所・施設 一覧'!T2031,-1,0),"&lt;&gt;")</f>
        <v>89</v>
      </c>
      <c r="I5" s="19">
        <f ca="1">SUMIF('事業所・施設 一覧'!$D$4:OFFSET('事業所・施設 一覧'!D2031,-1,0),"さいたま市",'事業所・施設 一覧'!$T$4:OFFSET('事業所・施設 一覧'!T2031,-1,0))</f>
        <v>2347</v>
      </c>
      <c r="J5" s="20">
        <f ca="1">COUNTIFS('事業所・施設 一覧'!$D$4:OFFSET('事業所・施設 一覧'!D2031,-1,0),"さいたま市",'事業所・施設 一覧'!$U$4:OFFSET('事業所・施設 一覧'!U2031,-1,0),"&lt;&gt;")</f>
        <v>8</v>
      </c>
      <c r="K5" s="19">
        <f ca="1">SUMIF('事業所・施設 一覧'!$D$4:OFFSET('事業所・施設 一覧'!D2031,-1,0),"さいたま市",'事業所・施設 一覧'!$U$4:OFFSET('事業所・施設 一覧'!U2031,-1,0))</f>
        <v>126</v>
      </c>
      <c r="L5" s="20">
        <f ca="1">COUNTIFS('事業所・施設 一覧'!$D$4:OFFSET('事業所・施設 一覧'!D2031,-1,0),"さいたま市",'事業所・施設 一覧'!$V$4:OFFSET('事業所・施設 一覧'!V2031,-1,0),"&lt;&gt;")</f>
        <v>25</v>
      </c>
      <c r="M5" s="19">
        <f ca="1">SUMIF('事業所・施設 一覧'!$D$4:OFFSET('事業所・施設 一覧'!D2031,-1,0),"さいたま市",'事業所・施設 一覧'!$V$4:OFFSET('事業所・施設 一覧'!V2031,-1,0))</f>
        <v>410</v>
      </c>
      <c r="N5" s="20">
        <f ca="1">COUNTIFS('事業所・施設 一覧'!$D$4:OFFSET('事業所・施設 一覧'!D2031,-1,0),"さいたま市",'事業所・施設 一覧'!$W$4:OFFSET('事業所・施設 一覧'!W2031,-1,0),"&lt;&gt;")</f>
        <v>2</v>
      </c>
      <c r="O5" s="19">
        <f ca="1">SUMIF('事業所・施設 一覧'!$D$4:OFFSET('事業所・施設 一覧'!D2031,-1,0),"さいたま市",'事業所・施設 一覧'!$W$4:OFFSET('事業所・施設 一覧'!W2031,-1,0))</f>
        <v>26</v>
      </c>
      <c r="P5" s="20">
        <f ca="1">COUNTIFS('事業所・施設 一覧'!$D$4:OFFSET('事業所・施設 一覧'!D2031,-1,0),"さいたま市",'事業所・施設 一覧'!$X$4:OFFSET('事業所・施設 一覧'!X2031,-1,0),"&lt;&gt;")</f>
        <v>50</v>
      </c>
      <c r="Q5" s="19">
        <f ca="1">SUMIF('事業所・施設 一覧'!$D$4:OFFSET('事業所・施設 一覧'!D2031,-1,0),"さいたま市",'事業所・施設 一覧'!$X$4:OFFSET('事業所・施設 一覧'!X2031,-1,0))</f>
        <v>727</v>
      </c>
      <c r="R5" s="20">
        <f ca="1">COUNTIFS('事業所・施設 一覧'!$D$4:OFFSET('事業所・施設 一覧'!D2031,-1,0),"さいたま市",'事業所・施設 一覧'!$Z$4:OFFSET('事業所・施設 一覧'!Z2031,-1,0),"&lt;&gt;")</f>
        <v>35</v>
      </c>
      <c r="S5" s="19">
        <f ca="1">SUMIF('事業所・施設 一覧'!$D$4:OFFSET('事業所・施設 一覧'!D2031,-1,0),"さいたま市",'事業所・施設 一覧'!$Z$4:OFFSET('事業所・施設 一覧'!Z2031,-1,0))</f>
        <v>650</v>
      </c>
      <c r="T5" s="20">
        <f ca="1">COUNTIFS('事業所・施設 一覧'!$D$4:OFFSET('事業所・施設 一覧'!D2031,-1,0),"さいたま市",'事業所・施設 一覧'!$AA$4:OFFSET('事業所・施設 一覧'!AA2031,-1,0),"&lt;&gt;")</f>
        <v>172</v>
      </c>
      <c r="U5" s="21">
        <f ca="1">SUMIF('事業所・施設 一覧'!$D$4:OFFSET('事業所・施設 一覧'!D2031,-1,0),"さいたま市",'事業所・施設 一覧'!$AA$4:OFFSET('事業所・施設 一覧'!AA2031,-1,0))</f>
        <v>3530</v>
      </c>
      <c r="V5" s="20">
        <f ca="1">COUNTIFS('事業所・施設 一覧'!$D$4:OFFSET('事業所・施設 一覧'!D2031,-1,0),"さいたま市",'事業所・施設 一覧'!$AB$4:OFFSET('事業所・施設 一覧'!AB2031,-1,0),"&lt;&gt;")</f>
        <v>36</v>
      </c>
      <c r="W5" s="21">
        <f ca="1">SUMIF('事業所・施設 一覧'!$D$4:OFFSET('事業所・施設 一覧'!D2031,-1,0),"さいたま市",'事業所・施設 一覧'!$AB$4:OFFSET('事業所・施設 一覧'!AB2031,-1,0))</f>
        <v>0</v>
      </c>
      <c r="X5" s="20">
        <f ca="1">COUNTIFS('事業所・施設 一覧'!$D$4:OFFSET('事業所・施設 一覧'!D2031,-1,0),"さいたま市",'事業所・施設 一覧'!$AC$4:OFFSET('事業所・施設 一覧'!AC2031,-1,0),"&lt;&gt;")</f>
        <v>7</v>
      </c>
      <c r="Y5" s="21">
        <f ca="1">SUMIF('事業所・施設 一覧'!$D$4:OFFSET('事業所・施設 一覧'!D2031,-1,0),"さいたま市",'事業所・施設 一覧'!$AC$4:OFFSET('事業所・施設 一覧'!AC2031,-1,0))</f>
        <v>80</v>
      </c>
    </row>
    <row r="6" spans="1:27" ht="20.100000000000001" customHeight="1" x14ac:dyDescent="0.15">
      <c r="A6" s="13">
        <v>2</v>
      </c>
      <c r="B6" s="14" t="s">
        <v>4155</v>
      </c>
      <c r="C6" s="2" t="s">
        <v>4083</v>
      </c>
      <c r="D6" s="22">
        <f ca="1">COUNTIFS('事業所・施設 一覧'!$D$4:OFFSET('事業所・施設 一覧'!D2031,-1,0),"川越市",'事業所・施設 一覧'!$P$4:OFFSET('事業所・施設 一覧'!P2031,-1,0),"&lt;&gt;")</f>
        <v>6</v>
      </c>
      <c r="E6" s="23">
        <f ca="1">SUMIF('事業所・施設 一覧'!$D$4:OFFSET('事業所・施設 一覧'!D2031,-1,0),"川越市",'事業所・施設 一覧'!$P$4:OFFSET('事業所・施設 一覧'!P2031,-1,0))</f>
        <v>260</v>
      </c>
      <c r="F6" s="24">
        <f ca="1">COUNTIFS('事業所・施設 一覧'!$D$4:OFFSET('事業所・施設 一覧'!D2031,-1,0),"川越市",'事業所・施設 一覧'!$S$4:OFFSET('事業所・施設 一覧'!S2031,-1,0),"&lt;&gt;")</f>
        <v>0</v>
      </c>
      <c r="G6" s="23">
        <f ca="1">SUMIF('事業所・施設 一覧'!$D$4:OFFSET('事業所・施設 一覧'!D2031,-1,0),"川越市",'事業所・施設 一覧'!$S$4:OFFSET('事業所・施設 一覧'!S2031,-1,0))</f>
        <v>0</v>
      </c>
      <c r="H6" s="24">
        <f ca="1">COUNTIFS('事業所・施設 一覧'!$D$4:OFFSET('事業所・施設 一覧'!D2031,-1,0),"川越市",'事業所・施設 一覧'!$T$4:OFFSET('事業所・施設 一覧'!T2031,-1,0),"&lt;&gt;")</f>
        <v>34</v>
      </c>
      <c r="I6" s="23">
        <f ca="1">SUMIF('事業所・施設 一覧'!$D$4:OFFSET('事業所・施設 一覧'!D2031,-1,0),"川越市",'事業所・施設 一覧'!$T$4:OFFSET('事業所・施設 一覧'!T2031,-1,0))</f>
        <v>963</v>
      </c>
      <c r="J6" s="24">
        <f ca="1">COUNTIFS('事業所・施設 一覧'!$D$4:OFFSET('事業所・施設 一覧'!D2031,-1,0),"川越市",'事業所・施設 一覧'!$U$4:OFFSET('事業所・施設 一覧'!U2031,-1,0),"&lt;&gt;")</f>
        <v>0</v>
      </c>
      <c r="K6" s="23">
        <f ca="1">SUMIF('事業所・施設 一覧'!$D$4:OFFSET('事業所・施設 一覧'!D2031,-1,0),"川越市",'事業所・施設 一覧'!$U$4:OFFSET('事業所・施設 一覧'!U2031,-1,0))</f>
        <v>0</v>
      </c>
      <c r="L6" s="24">
        <f ca="1">COUNTIFS('事業所・施設 一覧'!$D$4:OFFSET('事業所・施設 一覧'!D2031,-1,0),"川越市",'事業所・施設 一覧'!$V$4:OFFSET('事業所・施設 一覧'!V2031,-1,0),"&lt;&gt;")</f>
        <v>9</v>
      </c>
      <c r="M6" s="23">
        <f ca="1">SUMIF('事業所・施設 一覧'!$D$4:OFFSET('事業所・施設 一覧'!D2031,-1,0),"川越市",'事業所・施設 一覧'!$V$4:OFFSET('事業所・施設 一覧'!V2031,-1,0))</f>
        <v>134</v>
      </c>
      <c r="N6" s="24">
        <f ca="1">COUNTIFS('事業所・施設 一覧'!$D$4:OFFSET('事業所・施設 一覧'!D2031,-1,0),"川越市",'事業所・施設 一覧'!$W$4:OFFSET('事業所・施設 一覧'!W2031,-1,0),"&lt;&gt;")</f>
        <v>0</v>
      </c>
      <c r="O6" s="23">
        <f ca="1">SUMIF('事業所・施設 一覧'!$D$4:OFFSET('事業所・施設 一覧'!D2031,-1,0),"川越市",'事業所・施設 一覧'!$W$4:OFFSET('事業所・施設 一覧'!W2031,-1,0))</f>
        <v>0</v>
      </c>
      <c r="P6" s="24">
        <f ca="1">COUNTIFS('事業所・施設 一覧'!$D$4:OFFSET('事業所・施設 一覧'!D2031,-1,0),"川越市",'事業所・施設 一覧'!$X$4:OFFSET('事業所・施設 一覧'!X2031,-1,0),"&lt;&gt;")</f>
        <v>18</v>
      </c>
      <c r="Q6" s="23">
        <f ca="1">SUMIF('事業所・施設 一覧'!$D$4:OFFSET('事業所・施設 一覧'!D2031,-1,0),"川越市",'事業所・施設 一覧'!$X$4:OFFSET('事業所・施設 一覧'!X2031,-1,0))</f>
        <v>318</v>
      </c>
      <c r="R6" s="24">
        <f ca="1">COUNTIFS('事業所・施設 一覧'!$D$4:OFFSET('事業所・施設 一覧'!D2031,-1,0),"川越市",'事業所・施設 一覧'!$Z$4:OFFSET('事業所・施設 一覧'!Z2031,-1,0),"&lt;&gt;")</f>
        <v>13</v>
      </c>
      <c r="S6" s="23">
        <f ca="1">SUMIF('事業所・施設 一覧'!$D$4:OFFSET('事業所・施設 一覧'!D2031,-1,0),"川越市",'事業所・施設 一覧'!$Z$4:OFFSET('事業所・施設 一覧'!Z2031,-1,0))</f>
        <v>222</v>
      </c>
      <c r="T6" s="24">
        <f ca="1">COUNTIFS('事業所・施設 一覧'!$D$4:OFFSET('事業所・施設 一覧'!D2031,-1,0),"川越市",'事業所・施設 一覧'!$AA$4:OFFSET('事業所・施設 一覧'!AA2031,-1,0),"&lt;&gt;")</f>
        <v>42</v>
      </c>
      <c r="U6" s="25">
        <f ca="1">SUMIF('事業所・施設 一覧'!$D$4:OFFSET('事業所・施設 一覧'!D2031,-1,0),"川越市",'事業所・施設 一覧'!$AA$4:OFFSET('事業所・施設 一覧'!AA2031,-1,0))</f>
        <v>802</v>
      </c>
      <c r="V6" s="24">
        <f ca="1">COUNTIFS('事業所・施設 一覧'!$D$4:OFFSET('事業所・施設 一覧'!D2031,-1,0),"川越市",'事業所・施設 一覧'!$AB$4:OFFSET('事業所・施設 一覧'!AB2031,-1,0),"&lt;&gt;")</f>
        <v>14</v>
      </c>
      <c r="W6" s="25">
        <f ca="1">SUMIF('事業所・施設 一覧'!$D$4:OFFSET('事業所・施設 一覧'!D2031,-1,0),"川越市",'事業所・施設 一覧'!$AB$4:OFFSET('事業所・施設 一覧'!AB2031,-1,0))</f>
        <v>0</v>
      </c>
      <c r="X6" s="24">
        <f ca="1">COUNTIFS('事業所・施設 一覧'!$D$4:OFFSET('事業所・施設 一覧'!D2031,-1,0),"川越市",'事業所・施設 一覧'!$AC$4:OFFSET('事業所・施設 一覧'!AC2031,-1,0),"&lt;&gt;")</f>
        <v>6</v>
      </c>
      <c r="Y6" s="25">
        <f ca="1">SUMIF('事業所・施設 一覧'!$D$4:OFFSET('事業所・施設 一覧'!D2031,-1,0),"川越市",'事業所・施設 一覧'!$AC$4:OFFSET('事業所・施設 一覧'!AC2031,-1,0))</f>
        <v>75</v>
      </c>
    </row>
    <row r="7" spans="1:27" ht="20.100000000000001" customHeight="1" x14ac:dyDescent="0.15">
      <c r="A7" s="13">
        <v>3</v>
      </c>
      <c r="B7" s="14" t="s">
        <v>865</v>
      </c>
      <c r="C7" s="2" t="s">
        <v>1852</v>
      </c>
      <c r="D7" s="22">
        <f ca="1">COUNTIFS('事業所・施設 一覧'!$D$4:OFFSET('事業所・施設 一覧'!D2031,-1,0),"熊谷市",'事業所・施設 一覧'!$P$4:OFFSET('事業所・施設 一覧'!P2031,-1,0),"&lt;&gt;")</f>
        <v>6</v>
      </c>
      <c r="E7" s="23">
        <f ca="1">SUMIF('事業所・施設 一覧'!$D$4:OFFSET('事業所・施設 一覧'!D2031,-1,0),"熊谷市",'事業所・施設 一覧'!$P$4:OFFSET('事業所・施設 一覧'!P2031,-1,0))</f>
        <v>318</v>
      </c>
      <c r="F7" s="24">
        <f ca="1">COUNTIFS('事業所・施設 一覧'!$D$4:OFFSET('事業所・施設 一覧'!D2031,-1,0),"熊谷市",'事業所・施設 一覧'!$S$4:OFFSET('事業所・施設 一覧'!S2031,-1,0),"&lt;&gt;")</f>
        <v>1</v>
      </c>
      <c r="G7" s="23">
        <f ca="1">SUMIF('事業所・施設 一覧'!$D$4:OFFSET('事業所・施設 一覧'!D2031,-1,0),"熊谷市",'事業所・施設 一覧'!$S$4:OFFSET('事業所・施設 一覧'!S2031,-1,0))</f>
        <v>70</v>
      </c>
      <c r="H7" s="24">
        <f ca="1">COUNTIFS('事業所・施設 一覧'!$D$4:OFFSET('事業所・施設 一覧'!D2031,-1,0),"熊谷市",'事業所・施設 一覧'!$T$4:OFFSET('事業所・施設 一覧'!T2031,-1,0),"&lt;&gt;")</f>
        <v>23</v>
      </c>
      <c r="I7" s="23">
        <f ca="1">SUMIF('事業所・施設 一覧'!$D$4:OFFSET('事業所・施設 一覧'!D2031,-1,0),"熊谷市",'事業所・施設 一覧'!$T$4:OFFSET('事業所・施設 一覧'!T2031,-1,0))</f>
        <v>690</v>
      </c>
      <c r="J7" s="24">
        <f ca="1">COUNTIFS('事業所・施設 一覧'!$D$4:OFFSET('事業所・施設 一覧'!D2031,-1,0),"熊谷市",'事業所・施設 一覧'!$U$4:OFFSET('事業所・施設 一覧'!U2031,-1,0),"&lt;&gt;")</f>
        <v>1</v>
      </c>
      <c r="K7" s="23">
        <f ca="1">SUMIF('事業所・施設 一覧'!$D$4:OFFSET('事業所・施設 一覧'!D2031,-1,0),"熊谷市",'事業所・施設 一覧'!$U$4:OFFSET('事業所・施設 一覧'!U2031,-1,0))</f>
        <v>12</v>
      </c>
      <c r="L7" s="24">
        <f ca="1">COUNTIFS('事業所・施設 一覧'!$D$4:OFFSET('事業所・施設 一覧'!D2031,-1,0),"熊谷市",'事業所・施設 一覧'!$V$4:OFFSET('事業所・施設 一覧'!V2031,-1,0),"&lt;&gt;")</f>
        <v>2</v>
      </c>
      <c r="M7" s="23">
        <f ca="1">SUMIF('事業所・施設 一覧'!$D$4:OFFSET('事業所・施設 一覧'!D2031,-1,0),"熊谷市",'事業所・施設 一覧'!$V$4:OFFSET('事業所・施設 一覧'!V2031,-1,0))</f>
        <v>40</v>
      </c>
      <c r="N7" s="24">
        <f ca="1">COUNTIFS('事業所・施設 一覧'!$D$4:OFFSET('事業所・施設 一覧'!D2031,-1,0),"熊谷市",'事業所・施設 一覧'!$W$4:OFFSET('事業所・施設 一覧'!W2031,-1,0),"&lt;&gt;")</f>
        <v>2</v>
      </c>
      <c r="O7" s="23">
        <f ca="1">SUMIF('事業所・施設 一覧'!$D$4:OFFSET('事業所・施設 一覧'!D2031,-1,0),"熊谷市",'事業所・施設 一覧'!$W$4:OFFSET('事業所・施設 一覧'!W2031,-1,0))</f>
        <v>35</v>
      </c>
      <c r="P7" s="24">
        <f ca="1">COUNTIFS('事業所・施設 一覧'!$D$4:OFFSET('事業所・施設 一覧'!D2031,-1,0),"熊谷市",'事業所・施設 一覧'!$X$4:OFFSET('事業所・施設 一覧'!X2031,-1,0),"&lt;&gt;")</f>
        <v>6</v>
      </c>
      <c r="Q7" s="23">
        <f ca="1">SUMIF('事業所・施設 一覧'!$D$4:OFFSET('事業所・施設 一覧'!D2031,-1,0),"熊谷市",'事業所・施設 一覧'!$X$4:OFFSET('事業所・施設 一覧'!X2031,-1,0))</f>
        <v>107</v>
      </c>
      <c r="R7" s="24">
        <f ca="1">COUNTIFS('事業所・施設 一覧'!$D$4:OFFSET('事業所・施設 一覧'!D2031,-1,0),"熊谷市",'事業所・施設 一覧'!$Z$4:OFFSET('事業所・施設 一覧'!Z2031,-1,0),"&lt;&gt;")</f>
        <v>3</v>
      </c>
      <c r="S7" s="23">
        <f ca="1">SUMIF('事業所・施設 一覧'!$D$4:OFFSET('事業所・施設 一覧'!D2031,-1,0),"熊谷市",'事業所・施設 一覧'!$Z$4:OFFSET('事業所・施設 一覧'!Z2031,-1,0))</f>
        <v>50</v>
      </c>
      <c r="T7" s="24">
        <f ca="1">COUNTIFS('事業所・施設 一覧'!$D$4:OFFSET('事業所・施設 一覧'!D2031,-1,0),"熊谷市",'事業所・施設 一覧'!$AA$4:OFFSET('事業所・施設 一覧'!AA2031,-1,0),"&lt;&gt;")</f>
        <v>19</v>
      </c>
      <c r="U7" s="25">
        <f ca="1">SUMIF('事業所・施設 一覧'!$D$4:OFFSET('事業所・施設 一覧'!D2031,-1,0),"熊谷市",'事業所・施設 一覧'!$AA$4:OFFSET('事業所・施設 一覧'!AA2031,-1,0))</f>
        <v>418</v>
      </c>
      <c r="V7" s="24">
        <f ca="1">COUNTIFS('事業所・施設 一覧'!$D$4:OFFSET('事業所・施設 一覧'!D2031,-1,0),"熊谷市",'事業所・施設 一覧'!$AB$4:OFFSET('事業所・施設 一覧'!AB2031,-1,0),"&lt;&gt;")</f>
        <v>2</v>
      </c>
      <c r="W7" s="25">
        <f ca="1">SUMIF('事業所・施設 一覧'!$D$4:OFFSET('事業所・施設 一覧'!D2031,-1,0),"熊谷市",'事業所・施設 一覧'!$AB$4:OFFSET('事業所・施設 一覧'!AB2031,-1,0))</f>
        <v>0</v>
      </c>
      <c r="X7" s="24">
        <f ca="1">COUNTIFS('事業所・施設 一覧'!$D$4:OFFSET('事業所・施設 一覧'!D2031,-1,0),"熊谷市",'事業所・施設 一覧'!$AC$4:OFFSET('事業所・施設 一覧'!AC2031,-1,0),"&lt;&gt;")</f>
        <v>0</v>
      </c>
      <c r="Y7" s="25">
        <f ca="1">SUMIF('事業所・施設 一覧'!$D$4:OFFSET('事業所・施設 一覧'!D2031,-1,0),"熊谷市",'事業所・施設 一覧'!$AC$4:OFFSET('事業所・施設 一覧'!AC2031,-1,0))</f>
        <v>0</v>
      </c>
    </row>
    <row r="8" spans="1:27" ht="20.100000000000001" customHeight="1" x14ac:dyDescent="0.15">
      <c r="A8" s="13">
        <v>4</v>
      </c>
      <c r="B8" s="14" t="s">
        <v>1012</v>
      </c>
      <c r="C8" s="2" t="s">
        <v>4084</v>
      </c>
      <c r="D8" s="22">
        <f ca="1">COUNTIFS('事業所・施設 一覧'!$D$4:OFFSET('事業所・施設 一覧'!D2031,-1,0),"川口市",'事業所・施設 一覧'!$P$4:OFFSET('事業所・施設 一覧'!P2031,-1,0),"&lt;&gt;")</f>
        <v>3</v>
      </c>
      <c r="E8" s="23">
        <f ca="1">SUMIF('事業所・施設 一覧'!$D$4:OFFSET('事業所・施設 一覧'!D2031,-1,0),"川口市",'事業所・施設 一覧'!$P$4:OFFSET('事業所・施設 一覧'!P2031,-1,0))</f>
        <v>135</v>
      </c>
      <c r="F8" s="24">
        <f ca="1">COUNTIFS('事業所・施設 一覧'!$D$4:OFFSET('事業所・施設 一覧'!D2031,-1,0),"川口市",'事業所・施設 一覧'!$S$4:OFFSET('事業所・施設 一覧'!S2031,-1,0),"&lt;&gt;")</f>
        <v>0</v>
      </c>
      <c r="G8" s="23">
        <f ca="1">SUMIF('事業所・施設 一覧'!$D$4:OFFSET('事業所・施設 一覧'!D2031,-1,0),"川口市",'事業所・施設 一覧'!$S$4:OFFSET('事業所・施設 一覧'!S2031,-1,0))</f>
        <v>0</v>
      </c>
      <c r="H8" s="24">
        <f ca="1">COUNTIFS('事業所・施設 一覧'!$D$4:OFFSET('事業所・施設 一覧'!D2031,-1,0),"川口市",'事業所・施設 一覧'!$T$4:OFFSET('事業所・施設 一覧'!T2031,-1,0),"&lt;&gt;")</f>
        <v>30</v>
      </c>
      <c r="I8" s="23">
        <f ca="1">SUMIF('事業所・施設 一覧'!$D$4:OFFSET('事業所・施設 一覧'!D2031,-1,0),"川口市",'事業所・施設 一覧'!$T$4:OFFSET('事業所・施設 一覧'!T2031,-1,0))</f>
        <v>958</v>
      </c>
      <c r="J8" s="24">
        <f ca="1">COUNTIFS('事業所・施設 一覧'!$D$4:OFFSET('事業所・施設 一覧'!D2031,-1,0),"川口市",'事業所・施設 一覧'!$U$4:OFFSET('事業所・施設 一覧'!U2031,-1,0),"&lt;&gt;")</f>
        <v>0</v>
      </c>
      <c r="K8" s="23">
        <f ca="1">SUMIF('事業所・施設 一覧'!$D$4:OFFSET('事業所・施設 一覧'!D2031,-1,0),"川口市",'事業所・施設 一覧'!$U$4:OFFSET('事業所・施設 一覧'!U2031,-1,0))</f>
        <v>0</v>
      </c>
      <c r="L8" s="24">
        <f ca="1">COUNTIFS('事業所・施設 一覧'!$D$4:OFFSET('事業所・施設 一覧'!D2031,-1,0),"川口市",'事業所・施設 一覧'!$V$4:OFFSET('事業所・施設 一覧'!V2031,-1,0),"&lt;&gt;")</f>
        <v>4</v>
      </c>
      <c r="M8" s="23">
        <f ca="1">SUMIF('事業所・施設 一覧'!$D$4:OFFSET('事業所・施設 一覧'!D2031,-1,0),"川口市",'事業所・施設 一覧'!$V$4:OFFSET('事業所・施設 一覧'!V2031,-1,0))</f>
        <v>60</v>
      </c>
      <c r="N8" s="24">
        <f ca="1">COUNTIFS('事業所・施設 一覧'!$D$4:OFFSET('事業所・施設 一覧'!D2031,-1,0),"川口市",'事業所・施設 一覧'!$W$4:OFFSET('事業所・施設 一覧'!W2031,-1,0),"&lt;&gt;")</f>
        <v>0</v>
      </c>
      <c r="O8" s="23">
        <f ca="1">SUMIF('事業所・施設 一覧'!$D$4:OFFSET('事業所・施設 一覧'!D2031,-1,0),"川口市",'事業所・施設 一覧'!$W$4:OFFSET('事業所・施設 一覧'!W2031,-1,0))</f>
        <v>0</v>
      </c>
      <c r="P8" s="24">
        <f ca="1">COUNTIFS('事業所・施設 一覧'!$D$4:OFFSET('事業所・施設 一覧'!D2031,-1,0),"川口市",'事業所・施設 一覧'!$X$4:OFFSET('事業所・施設 一覧'!X2031,-1,0),"&lt;&gt;")</f>
        <v>15</v>
      </c>
      <c r="Q8" s="23">
        <f ca="1">SUMIF('事業所・施設 一覧'!$D$4:OFFSET('事業所・施設 一覧'!D2031,-1,0),"川口市",'事業所・施設 一覧'!$X$4:OFFSET('事業所・施設 一覧'!X2031,-1,0))</f>
        <v>222</v>
      </c>
      <c r="R8" s="24">
        <f ca="1">COUNTIFS('事業所・施設 一覧'!$D$4:OFFSET('事業所・施設 一覧'!D2031,-1,0),"川口市",'事業所・施設 一覧'!$Z$4:OFFSET('事業所・施設 一覧'!Z2031,-1,0),"&lt;&gt;")</f>
        <v>15</v>
      </c>
      <c r="S8" s="23">
        <f ca="1">SUMIF('事業所・施設 一覧'!$D$4:OFFSET('事業所・施設 一覧'!D2031,-1,0),"川口市",'事業所・施設 一覧'!$Z$4:OFFSET('事業所・施設 一覧'!Z2031,-1,0))</f>
        <v>271</v>
      </c>
      <c r="T8" s="24">
        <f ca="1">COUNTIFS('事業所・施設 一覧'!$D$4:OFFSET('事業所・施設 一覧'!D2031,-1,0),"川口市",'事業所・施設 一覧'!$AA$4:OFFSET('事業所・施設 一覧'!AA2031,-1,0),"&lt;&gt;")</f>
        <v>52</v>
      </c>
      <c r="U8" s="25">
        <f ca="1">SUMIF('事業所・施設 一覧'!$D$4:OFFSET('事業所・施設 一覧'!D2031,-1,0),"川口市",'事業所・施設 一覧'!$AA$4:OFFSET('事業所・施設 一覧'!AA2031,-1,0))</f>
        <v>1103</v>
      </c>
      <c r="V8" s="24">
        <f ca="1">COUNTIFS('事業所・施設 一覧'!$D$4:OFFSET('事業所・施設 一覧'!D2031,-1,0),"川口市",'事業所・施設 一覧'!$AB$4:OFFSET('事業所・施設 一覧'!AB2031,-1,0),"&lt;&gt;")</f>
        <v>13</v>
      </c>
      <c r="W8" s="25">
        <f ca="1">SUMIF('事業所・施設 一覧'!$D$4:OFFSET('事業所・施設 一覧'!D2031,-1,0),"川口市",'事業所・施設 一覧'!$AB$4:OFFSET('事業所・施設 一覧'!AB2031,-1,0))</f>
        <v>34</v>
      </c>
      <c r="X8" s="24">
        <f ca="1">COUNTIFS('事業所・施設 一覧'!$D$4:OFFSET('事業所・施設 一覧'!D2031,-1,0),"川口市",'事業所・施設 一覧'!$AC$4:OFFSET('事業所・施設 一覧'!AC2031,-1,0),"&lt;&gt;")</f>
        <v>5</v>
      </c>
      <c r="Y8" s="25">
        <f ca="1">SUMIF('事業所・施設 一覧'!$D$4:OFFSET('事業所・施設 一覧'!D2031,-1,0),"川口市",'事業所・施設 一覧'!$AC$4:OFFSET('事業所・施設 一覧'!AC2031,-1,0))</f>
        <v>55</v>
      </c>
    </row>
    <row r="9" spans="1:27" ht="20.100000000000001" customHeight="1" x14ac:dyDescent="0.15">
      <c r="A9" s="13">
        <v>5</v>
      </c>
      <c r="B9" s="14" t="s">
        <v>4156</v>
      </c>
      <c r="C9" s="2" t="s">
        <v>4085</v>
      </c>
      <c r="D9" s="22">
        <f ca="1">COUNTIFS('事業所・施設 一覧'!$D$4:OFFSET('事業所・施設 一覧'!D2031,-1,0),"行田市",'事業所・施設 一覧'!$P$4:OFFSET('事業所・施設 一覧'!P2031,-1,0),"&lt;&gt;")</f>
        <v>2</v>
      </c>
      <c r="E9" s="23">
        <f ca="1">SUMIF('事業所・施設 一覧'!$D$4:OFFSET('事業所・施設 一覧'!D2031,-1,0),"行田市",'事業所・施設 一覧'!$P$4:OFFSET('事業所・施設 一覧'!P2031,-1,0))</f>
        <v>90</v>
      </c>
      <c r="F9" s="24">
        <f ca="1">COUNTIFS('事業所・施設 一覧'!$D$4:OFFSET('事業所・施設 一覧'!D2031,-1,0),"行田市",'事業所・施設 一覧'!$S$4:OFFSET('事業所・施設 一覧'!S2031,-1,0),"&lt;&gt;")</f>
        <v>0</v>
      </c>
      <c r="G9" s="23">
        <f ca="1">SUMIF('事業所・施設 一覧'!$D$4:OFFSET('事業所・施設 一覧'!D2031,-1,0),"行田市",'事業所・施設 一覧'!$S$4:OFFSET('事業所・施設 一覧'!S2031,-1,0))</f>
        <v>0</v>
      </c>
      <c r="H9" s="24">
        <f ca="1">COUNTIFS('事業所・施設 一覧'!$D$4:OFFSET('事業所・施設 一覧'!D2031,-1,0),"行田市",'事業所・施設 一覧'!$T$4:OFFSET('事業所・施設 一覧'!T2031,-1,0),"&lt;&gt;")</f>
        <v>13</v>
      </c>
      <c r="I9" s="23">
        <f ca="1">SUMIF('事業所・施設 一覧'!$D$4:OFFSET('事業所・施設 一覧'!D2031,-1,0),"行田市",'事業所・施設 一覧'!$T$4:OFFSET('事業所・施設 一覧'!T2031,-1,0))</f>
        <v>368</v>
      </c>
      <c r="J9" s="24">
        <f ca="1">COUNTIFS('事業所・施設 一覧'!$D$4:OFFSET('事業所・施設 一覧'!D2031,-1,0),"行田市",'事業所・施設 一覧'!$U$4:OFFSET('事業所・施設 一覧'!U2031,-1,0),"&lt;&gt;")</f>
        <v>0</v>
      </c>
      <c r="K9" s="23">
        <f ca="1">SUMIF('事業所・施設 一覧'!$D$4:OFFSET('事業所・施設 一覧'!D2031,-1,0),"行田市",'事業所・施設 一覧'!$U$4:OFFSET('事業所・施設 一覧'!U2031,-1,0))</f>
        <v>0</v>
      </c>
      <c r="L9" s="24">
        <f ca="1">COUNTIFS('事業所・施設 一覧'!$D$4:OFFSET('事業所・施設 一覧'!D2031,-1,0),"行田市",'事業所・施設 一覧'!$V$4:OFFSET('事業所・施設 一覧'!V2031,-1,0),"&lt;&gt;")</f>
        <v>2</v>
      </c>
      <c r="M9" s="23">
        <f ca="1">SUMIF('事業所・施設 一覧'!$D$4:OFFSET('事業所・施設 一覧'!D2031,-1,0),"行田市",'事業所・施設 一覧'!$V$4:OFFSET('事業所・施設 一覧'!V2031,-1,0))</f>
        <v>18</v>
      </c>
      <c r="N9" s="24">
        <f ca="1">COUNTIFS('事業所・施設 一覧'!$D$4:OFFSET('事業所・施設 一覧'!D2031,-1,0),"行田市",'事業所・施設 一覧'!$W$4:OFFSET('事業所・施設 一覧'!W2031,-1,0),"&lt;&gt;")</f>
        <v>0</v>
      </c>
      <c r="O9" s="23">
        <f ca="1">SUMIF('事業所・施設 一覧'!$D$4:OFFSET('事業所・施設 一覧'!D2031,-1,0),"行田市",'事業所・施設 一覧'!$W$4:OFFSET('事業所・施設 一覧'!W2031,-1,0))</f>
        <v>0</v>
      </c>
      <c r="P9" s="24">
        <f ca="1">COUNTIFS('事業所・施設 一覧'!$D$4:OFFSET('事業所・施設 一覧'!D2031,-1,0),"行田市",'事業所・施設 一覧'!$X$4:OFFSET('事業所・施設 一覧'!X2031,-1,0),"&lt;&gt;")</f>
        <v>2</v>
      </c>
      <c r="Q9" s="23">
        <f ca="1">SUMIF('事業所・施設 一覧'!$D$4:OFFSET('事業所・施設 一覧'!D2031,-1,0),"行田市",'事業所・施設 一覧'!$X$4:OFFSET('事業所・施設 一覧'!X2031,-1,0))</f>
        <v>18</v>
      </c>
      <c r="R9" s="24">
        <f ca="1">COUNTIFS('事業所・施設 一覧'!$D$4:OFFSET('事業所・施設 一覧'!D2031,-1,0),"行田市",'事業所・施設 一覧'!$Z$4:OFFSET('事業所・施設 一覧'!Z2031,-1,0),"&lt;&gt;")</f>
        <v>2</v>
      </c>
      <c r="S9" s="23">
        <f ca="1">SUMIF('事業所・施設 一覧'!$D$4:OFFSET('事業所・施設 一覧'!D2031,-1,0),"行田市",'事業所・施設 一覧'!$Z$4:OFFSET('事業所・施設 一覧'!Z2031,-1,0))</f>
        <v>40</v>
      </c>
      <c r="T9" s="24">
        <f ca="1">COUNTIFS('事業所・施設 一覧'!$D$4:OFFSET('事業所・施設 一覧'!D2031,-1,0),"行田市",'事業所・施設 一覧'!$AA$4:OFFSET('事業所・施設 一覧'!AA2031,-1,0),"&lt;&gt;")</f>
        <v>11</v>
      </c>
      <c r="U9" s="25">
        <f ca="1">SUMIF('事業所・施設 一覧'!$D$4:OFFSET('事業所・施設 一覧'!D2031,-1,0),"行田市",'事業所・施設 一覧'!$AA$4:OFFSET('事業所・施設 一覧'!AA2031,-1,0))</f>
        <v>217</v>
      </c>
      <c r="V9" s="24">
        <f ca="1">COUNTIFS('事業所・施設 一覧'!$D$4:OFFSET('事業所・施設 一覧'!D2031,-1,0),"行田市",'事業所・施設 一覧'!$AB$4:OFFSET('事業所・施設 一覧'!AB2031,-1,0),"&lt;&gt;")</f>
        <v>0</v>
      </c>
      <c r="W9" s="25">
        <f ca="1">SUMIF('事業所・施設 一覧'!$D$4:OFFSET('事業所・施設 一覧'!D2031,-1,0),"行田市",'事業所・施設 一覧'!$AB$4:OFFSET('事業所・施設 一覧'!AB2031,-1,0))</f>
        <v>0</v>
      </c>
      <c r="X9" s="24">
        <f ca="1">COUNTIFS('事業所・施設 一覧'!$D$4:OFFSET('事業所・施設 一覧'!D2031,-1,0),"行田市",'事業所・施設 一覧'!$AC$4:OFFSET('事業所・施設 一覧'!AC2031,-1,0),"&lt;&gt;")</f>
        <v>1</v>
      </c>
      <c r="Y9" s="25">
        <f ca="1">SUMIF('事業所・施設 一覧'!$D$4:OFFSET('事業所・施設 一覧'!D2031,-1,0),"行田市",'事業所・施設 一覧'!$AC$4:OFFSET('事業所・施設 一覧'!AC2031,-1,0))</f>
        <v>10</v>
      </c>
    </row>
    <row r="10" spans="1:27" ht="20.100000000000001" customHeight="1" x14ac:dyDescent="0.15">
      <c r="A10" s="13">
        <v>6</v>
      </c>
      <c r="B10" s="14" t="s">
        <v>369</v>
      </c>
      <c r="C10" s="2" t="s">
        <v>4086</v>
      </c>
      <c r="D10" s="22">
        <f ca="1">COUNTIFS('事業所・施設 一覧'!$D$4:OFFSET('事業所・施設 一覧'!D2031,-1,0),"秩父市",'事業所・施設 一覧'!$P$4:OFFSET('事業所・施設 一覧'!P2031,-1,0),"&lt;&gt;")</f>
        <v>1</v>
      </c>
      <c r="E10" s="23">
        <f ca="1">SUMIF('事業所・施設 一覧'!$D$4:OFFSET('事業所・施設 一覧'!D2031,-1,0),"秩父市",'事業所・施設 一覧'!$P$4:OFFSET('事業所・施設 一覧'!P2031,-1,0))</f>
        <v>30</v>
      </c>
      <c r="F10" s="24">
        <f ca="1">COUNTIFS('事業所・施設 一覧'!$D$4:OFFSET('事業所・施設 一覧'!D2031,-1,0),"秩父市",'事業所・施設 一覧'!$S$4:OFFSET('事業所・施設 一覧'!S2031,-1,0),"&lt;&gt;")</f>
        <v>0</v>
      </c>
      <c r="G10" s="23">
        <f ca="1">SUMIF('事業所・施設 一覧'!$D$4:OFFSET('事業所・施設 一覧'!D2031,-1,0),"秩父市",'事業所・施設 一覧'!$S$4:OFFSET('事業所・施設 一覧'!S2031,-1,0))</f>
        <v>0</v>
      </c>
      <c r="H10" s="24">
        <f ca="1">COUNTIFS('事業所・施設 一覧'!$D$4:OFFSET('事業所・施設 一覧'!D2031,-1,0),"秩父市",'事業所・施設 一覧'!$T$4:OFFSET('事業所・施設 一覧'!T2031,-1,0),"&lt;&gt;")</f>
        <v>3</v>
      </c>
      <c r="I10" s="23">
        <f ca="1">SUMIF('事業所・施設 一覧'!$D$4:OFFSET('事業所・施設 一覧'!D2031,-1,0),"秩父市",'事業所・施設 一覧'!$T$4:OFFSET('事業所・施設 一覧'!T2031,-1,0))</f>
        <v>255</v>
      </c>
      <c r="J10" s="24">
        <f ca="1">COUNTIFS('事業所・施設 一覧'!$D$4:OFFSET('事業所・施設 一覧'!D2031,-1,0),"秩父市",'事業所・施設 一覧'!$U$4:OFFSET('事業所・施設 一覧'!U2031,-1,0),"&lt;&gt;")</f>
        <v>0</v>
      </c>
      <c r="K10" s="23">
        <f ca="1">SUMIF('事業所・施設 一覧'!$D$4:OFFSET('事業所・施設 一覧'!D2031,-1,0),"秩父市",'事業所・施設 一覧'!$U$4:OFFSET('事業所・施設 一覧'!U2031,-1,0))</f>
        <v>0</v>
      </c>
      <c r="L10" s="24">
        <f ca="1">COUNTIFS('事業所・施設 一覧'!$D$4:OFFSET('事業所・施設 一覧'!D2031,-1,0),"秩父市",'事業所・施設 一覧'!$V$4:OFFSET('事業所・施設 一覧'!V2031,-1,0),"&lt;&gt;")</f>
        <v>2</v>
      </c>
      <c r="M10" s="23">
        <f ca="1">SUMIF('事業所・施設 一覧'!$D$4:OFFSET('事業所・施設 一覧'!D2031,-1,0),"秩父市",'事業所・施設 一覧'!$V$4:OFFSET('事業所・施設 一覧'!V2031,-1,0))</f>
        <v>34</v>
      </c>
      <c r="N10" s="24">
        <f ca="1">COUNTIFS('事業所・施設 一覧'!$D$4:OFFSET('事業所・施設 一覧'!D2031,-1,0),"秩父市",'事業所・施設 一覧'!$W$4:OFFSET('事業所・施設 一覧'!W2031,-1,0),"&lt;&gt;")</f>
        <v>1</v>
      </c>
      <c r="O10" s="23">
        <f ca="1">SUMIF('事業所・施設 一覧'!$D$4:OFFSET('事業所・施設 一覧'!D2031,-1,0),"秩父市",'事業所・施設 一覧'!$W$4:OFFSET('事業所・施設 一覧'!W2031,-1,0))</f>
        <v>20</v>
      </c>
      <c r="P10" s="24">
        <f ca="1">COUNTIFS('事業所・施設 一覧'!$D$4:OFFSET('事業所・施設 一覧'!D2031,-1,0),"秩父市",'事業所・施設 一覧'!$X$4:OFFSET('事業所・施設 一覧'!X2031,-1,0),"&lt;&gt;")</f>
        <v>2</v>
      </c>
      <c r="Q10" s="23">
        <f ca="1">SUMIF('事業所・施設 一覧'!$D$4:OFFSET('事業所・施設 一覧'!D2031,-1,0),"秩父市",'事業所・施設 一覧'!$X$4:OFFSET('事業所・施設 一覧'!X2031,-1,0))</f>
        <v>16</v>
      </c>
      <c r="R10" s="24">
        <f ca="1">COUNTIFS('事業所・施設 一覧'!$D$4:OFFSET('事業所・施設 一覧'!D2031,-1,0),"秩父市",'事業所・施設 一覧'!$Z$4:OFFSET('事業所・施設 一覧'!Z2031,-1,0),"&lt;&gt;")</f>
        <v>1</v>
      </c>
      <c r="S10" s="23">
        <f ca="1">SUMIF('事業所・施設 一覧'!$D$4:OFFSET('事業所・施設 一覧'!D2031,-1,0),"秩父市",'事業所・施設 一覧'!$Z$4:OFFSET('事業所・施設 一覧'!Z2031,-1,0))</f>
        <v>10</v>
      </c>
      <c r="T10" s="24">
        <f ca="1">COUNTIFS('事業所・施設 一覧'!$D$4:OFFSET('事業所・施設 一覧'!D2031,-1,0),"秩父市",'事業所・施設 一覧'!$AA$4:OFFSET('事業所・施設 一覧'!AA2031,-1,0),"&lt;&gt;")</f>
        <v>11</v>
      </c>
      <c r="U10" s="25">
        <f ca="1">SUMIF('事業所・施設 一覧'!$D$4:OFFSET('事業所・施設 一覧'!D2031,-1,0),"秩父市",'事業所・施設 一覧'!$AA$4:OFFSET('事業所・施設 一覧'!AA2031,-1,0))</f>
        <v>275</v>
      </c>
      <c r="V10" s="24">
        <f ca="1">COUNTIFS('事業所・施設 一覧'!$D$4:OFFSET('事業所・施設 一覧'!D2031,-1,0),"秩父市",'事業所・施設 一覧'!$AB$4:OFFSET('事業所・施設 一覧'!AB2031,-1,0),"&lt;&gt;")</f>
        <v>0</v>
      </c>
      <c r="W10" s="25">
        <f ca="1">SUMIF('事業所・施設 一覧'!$D$4:OFFSET('事業所・施設 一覧'!D2031,-1,0),"秩父市",'事業所・施設 一覧'!$AB$4:OFFSET('事業所・施設 一覧'!AB2031,-1,0))</f>
        <v>0</v>
      </c>
      <c r="X10" s="24">
        <f ca="1">COUNTIFS('事業所・施設 一覧'!$D$4:OFFSET('事業所・施設 一覧'!D2031,-1,0),"秩父市",'事業所・施設 一覧'!$AC$4:OFFSET('事業所・施設 一覧'!AC2031,-1,0),"&lt;&gt;")</f>
        <v>0</v>
      </c>
      <c r="Y10" s="25">
        <f ca="1">SUMIF('事業所・施設 一覧'!$D$4:OFFSET('事業所・施設 一覧'!D2031,-1,0),"秩父市",'事業所・施設 一覧'!$AC$4:OFFSET('事業所・施設 一覧'!AC2031,-1,0))</f>
        <v>0</v>
      </c>
    </row>
    <row r="11" spans="1:27" ht="20.100000000000001" customHeight="1" x14ac:dyDescent="0.15">
      <c r="A11" s="13">
        <v>7</v>
      </c>
      <c r="B11" s="14" t="s">
        <v>864</v>
      </c>
      <c r="C11" s="2" t="s">
        <v>4087</v>
      </c>
      <c r="D11" s="22">
        <f ca="1">COUNTIFS('事業所・施設 一覧'!$D$4:OFFSET('事業所・施設 一覧'!D2031,-1,0),"所沢市",'事業所・施設 一覧'!$P$4:OFFSET('事業所・施設 一覧'!P2031,-1,0),"&lt;&gt;")</f>
        <v>6</v>
      </c>
      <c r="E11" s="23">
        <f ca="1">SUMIF('事業所・施設 一覧'!$D$4:OFFSET('事業所・施設 一覧'!D2031,-1,0),"所沢市",'事業所・施設 一覧'!$P$4:OFFSET('事業所・施設 一覧'!P2031,-1,0))</f>
        <v>668</v>
      </c>
      <c r="F11" s="24">
        <f ca="1">COUNTIFS('事業所・施設 一覧'!$D$4:OFFSET('事業所・施設 一覧'!D2031,-1,0),"所沢市",'事業所・施設 一覧'!$S$4:OFFSET('事業所・施設 一覧'!S2031,-1,0),"&lt;&gt;")</f>
        <v>0</v>
      </c>
      <c r="G11" s="23">
        <f ca="1">SUMIF('事業所・施設 一覧'!$D$4:OFFSET('事業所・施設 一覧'!D2031,-1,0),"所沢市",'事業所・施設 一覧'!$S$4:OFFSET('事業所・施設 一覧'!S2031,-1,0))</f>
        <v>0</v>
      </c>
      <c r="H11" s="24">
        <f ca="1">COUNTIFS('事業所・施設 一覧'!$D$4:OFFSET('事業所・施設 一覧'!D2031,-1,0),"所沢市",'事業所・施設 一覧'!$T$4:OFFSET('事業所・施設 一覧'!T2031,-1,0),"&lt;&gt;")</f>
        <v>26</v>
      </c>
      <c r="I11" s="23">
        <f ca="1">SUMIF('事業所・施設 一覧'!$D$4:OFFSET('事業所・施設 一覧'!D2031,-1,0),"所沢市",'事業所・施設 一覧'!$T$4:OFFSET('事業所・施設 一覧'!T2031,-1,0))</f>
        <v>797</v>
      </c>
      <c r="J11" s="24">
        <f ca="1">COUNTIFS('事業所・施設 一覧'!$D$4:OFFSET('事業所・施設 一覧'!D2031,-1,0),"所沢市",'事業所・施設 一覧'!$U$4:OFFSET('事業所・施設 一覧'!U2031,-1,0),"&lt;&gt;")</f>
        <v>1</v>
      </c>
      <c r="K11" s="23">
        <f ca="1">SUMIF('事業所・施設 一覧'!$D$4:OFFSET('事業所・施設 一覧'!D2031,-1,0),"所沢市",'事業所・施設 一覧'!$U$4:OFFSET('事業所・施設 一覧'!U2031,-1,0))</f>
        <v>110</v>
      </c>
      <c r="L11" s="24">
        <f ca="1">COUNTIFS('事業所・施設 一覧'!$D$4:OFFSET('事業所・施設 一覧'!D2031,-1,0),"所沢市",'事業所・施設 一覧'!$V$4:OFFSET('事業所・施設 一覧'!V2031,-1,0),"&lt;&gt;")</f>
        <v>7</v>
      </c>
      <c r="M11" s="23">
        <f ca="1">SUMIF('事業所・施設 一覧'!$D$4:OFFSET('事業所・施設 一覧'!D2031,-1,0),"所沢市",'事業所・施設 一覧'!$V$4:OFFSET('事業所・施設 一覧'!V2031,-1,0))</f>
        <v>112</v>
      </c>
      <c r="N11" s="24">
        <f ca="1">COUNTIFS('事業所・施設 一覧'!$D$4:OFFSET('事業所・施設 一覧'!D2031,-1,0),"所沢市",'事業所・施設 一覧'!$W$4:OFFSET('事業所・施設 一覧'!W2031,-1,0),"&lt;&gt;")</f>
        <v>0</v>
      </c>
      <c r="O11" s="23">
        <f ca="1">SUMIF('事業所・施設 一覧'!$D$4:OFFSET('事業所・施設 一覧'!D2031,-1,0),"所沢市",'事業所・施設 一覧'!$W$4:OFFSET('事業所・施設 一覧'!W2031,-1,0))</f>
        <v>0</v>
      </c>
      <c r="P11" s="24">
        <f ca="1">COUNTIFS('事業所・施設 一覧'!$D$4:OFFSET('事業所・施設 一覧'!D2031,-1,0),"所沢市",'事業所・施設 一覧'!$X$4:OFFSET('事業所・施設 一覧'!X2031,-1,0),"&lt;&gt;")</f>
        <v>15</v>
      </c>
      <c r="Q11" s="23">
        <f ca="1">SUMIF('事業所・施設 一覧'!$D$4:OFFSET('事業所・施設 一覧'!D2031,-1,0),"所沢市",'事業所・施設 一覧'!$X$4:OFFSET('事業所・施設 一覧'!X2031,-1,0))+168</f>
        <v>528</v>
      </c>
      <c r="R11" s="24">
        <f ca="1">COUNTIFS('事業所・施設 一覧'!$D$4:OFFSET('事業所・施設 一覧'!D2031,-1,0),"所沢市",'事業所・施設 一覧'!$Z$4:OFFSET('事業所・施設 一覧'!Z2031,-1,0),"&lt;&gt;")</f>
        <v>6</v>
      </c>
      <c r="S11" s="23">
        <f ca="1">SUMIF('事業所・施設 一覧'!$D$4:OFFSET('事業所・施設 一覧'!D2031,-1,0),"所沢市",'事業所・施設 一覧'!$Z$4:OFFSET('事業所・施設 一覧'!Z2031,-1,0))</f>
        <v>95</v>
      </c>
      <c r="T11" s="24">
        <f ca="1">COUNTIFS('事業所・施設 一覧'!$D$4:OFFSET('事業所・施設 一覧'!D2031,-1,0),"所沢市",'事業所・施設 一覧'!$AA$4:OFFSET('事業所・施設 一覧'!AA2031,-1,0),"&lt;&gt;")</f>
        <v>30</v>
      </c>
      <c r="U11" s="25">
        <f ca="1">SUMIF('事業所・施設 一覧'!$D$4:OFFSET('事業所・施設 一覧'!D2031,-1,0),"所沢市",'事業所・施設 一覧'!$AA$4:OFFSET('事業所・施設 一覧'!AA2031,-1,0))</f>
        <v>635</v>
      </c>
      <c r="V11" s="24">
        <f ca="1">COUNTIFS('事業所・施設 一覧'!$D$4:OFFSET('事業所・施設 一覧'!D2031,-1,0),"所沢市",'事業所・施設 一覧'!$AB$4:OFFSET('事業所・施設 一覧'!AB2031,-1,0),"&lt;&gt;")</f>
        <v>12</v>
      </c>
      <c r="W11" s="25">
        <f ca="1">SUMIF('事業所・施設 一覧'!$D$4:OFFSET('事業所・施設 一覧'!D2031,-1,0),"所沢市",'事業所・施設 一覧'!$AB$4:OFFSET('事業所・施設 一覧'!AB2031,-1,0))</f>
        <v>0</v>
      </c>
      <c r="X11" s="24">
        <f ca="1">COUNTIFS('事業所・施設 一覧'!$D$4:OFFSET('事業所・施設 一覧'!D2031,-1,0),"所沢市",'事業所・施設 一覧'!$AC$4:OFFSET('事業所・施設 一覧'!AC2031,-1,0),"&lt;&gt;")</f>
        <v>1</v>
      </c>
      <c r="Y11" s="25">
        <f ca="1">SUMIF('事業所・施設 一覧'!$D$4:OFFSET('事業所・施設 一覧'!D2031,-1,0),"所沢市",'事業所・施設 一覧'!$AC$4:OFFSET('事業所・施設 一覧'!AC2031,-1,0))</f>
        <v>10</v>
      </c>
    </row>
    <row r="12" spans="1:27" ht="20.100000000000001" customHeight="1" x14ac:dyDescent="0.15">
      <c r="A12" s="13">
        <v>8</v>
      </c>
      <c r="B12" s="14" t="s">
        <v>864</v>
      </c>
      <c r="C12" s="2" t="s">
        <v>4088</v>
      </c>
      <c r="D12" s="22">
        <f ca="1">COUNTIFS('事業所・施設 一覧'!$D$4:OFFSET('事業所・施設 一覧'!D2031,-1,0),"飯能市",'事業所・施設 一覧'!$P$4:OFFSET('事業所・施設 一覧'!P2031,-1,0),"&lt;&gt;")</f>
        <v>1</v>
      </c>
      <c r="E12" s="23">
        <f ca="1">SUMIF('事業所・施設 一覧'!$D$4:OFFSET('事業所・施設 一覧'!D2031,-1,0),"飯能市",'事業所・施設 一覧'!$P$4:OFFSET('事業所・施設 一覧'!P2031,-1,0))</f>
        <v>50</v>
      </c>
      <c r="F12" s="24">
        <f ca="1">COUNTIFS('事業所・施設 一覧'!$D$4:OFFSET('事業所・施設 一覧'!D2031,-1,0),"飯能市",'事業所・施設 一覧'!$S$4:OFFSET('事業所・施設 一覧'!S2031,-1,0),"&lt;&gt;")</f>
        <v>0</v>
      </c>
      <c r="G12" s="23">
        <f ca="1">SUMIF('事業所・施設 一覧'!$D$4:OFFSET('事業所・施設 一覧'!D2031,-1,0),"飯能市",'事業所・施設 一覧'!$S$4:OFFSET('事業所・施設 一覧'!S2031,-1,0))</f>
        <v>0</v>
      </c>
      <c r="H12" s="24">
        <f ca="1">COUNTIFS('事業所・施設 一覧'!$D$4:OFFSET('事業所・施設 一覧'!D2031,-1,0),"飯能市",'事業所・施設 一覧'!$T$4:OFFSET('事業所・施設 一覧'!T2031,-1,0),"&lt;&gt;")</f>
        <v>5</v>
      </c>
      <c r="I12" s="23">
        <f ca="1">SUMIF('事業所・施設 一覧'!$D$4:OFFSET('事業所・施設 一覧'!D2031,-1,0),"飯能市",'事業所・施設 一覧'!$T$4:OFFSET('事業所・施設 一覧'!T2031,-1,0))</f>
        <v>133</v>
      </c>
      <c r="J12" s="24">
        <f ca="1">COUNTIFS('事業所・施設 一覧'!$D$4:OFFSET('事業所・施設 一覧'!D2031,-1,0),"飯能市",'事業所・施設 一覧'!$U$4:OFFSET('事業所・施設 一覧'!U2031,-1,0),"&lt;&gt;")</f>
        <v>0</v>
      </c>
      <c r="K12" s="23">
        <f ca="1">SUMIF('事業所・施設 一覧'!$D$4:OFFSET('事業所・施設 一覧'!D2031,-1,0),"飯能市",'事業所・施設 一覧'!$U$4:OFFSET('事業所・施設 一覧'!U2031,-1,0))</f>
        <v>0</v>
      </c>
      <c r="L12" s="24">
        <f ca="1">COUNTIFS('事業所・施設 一覧'!$D$4:OFFSET('事業所・施設 一覧'!D2031,-1,0),"飯能市",'事業所・施設 一覧'!$V$4:OFFSET('事業所・施設 一覧'!V2031,-1,0),"&lt;&gt;")</f>
        <v>2</v>
      </c>
      <c r="M12" s="23">
        <f ca="1">SUMIF('事業所・施設 一覧'!$D$4:OFFSET('事業所・施設 一覧'!D2031,-1,0),"飯能市",'事業所・施設 一覧'!$V$4:OFFSET('事業所・施設 一覧'!V2031,-1,0))</f>
        <v>19</v>
      </c>
      <c r="N12" s="24">
        <f ca="1">COUNTIFS('事業所・施設 一覧'!$D$4:OFFSET('事業所・施設 一覧'!D2031,-1,0),"飯能市",'事業所・施設 一覧'!$W$4:OFFSET('事業所・施設 一覧'!W2031,-1,0),"&lt;&gt;")</f>
        <v>0</v>
      </c>
      <c r="O12" s="23">
        <f ca="1">SUMIF('事業所・施設 一覧'!$D$4:OFFSET('事業所・施設 一覧'!D2031,-1,0),"飯能市",'事業所・施設 一覧'!$W$4:OFFSET('事業所・施設 一覧'!W2031,-1,0))</f>
        <v>0</v>
      </c>
      <c r="P12" s="24">
        <f ca="1">COUNTIFS('事業所・施設 一覧'!$D$4:OFFSET('事業所・施設 一覧'!D2031,-1,0),"飯能市",'事業所・施設 一覧'!$X$4:OFFSET('事業所・施設 一覧'!X2031,-1,0),"&lt;&gt;")</f>
        <v>3</v>
      </c>
      <c r="Q12" s="23">
        <f ca="1">SUMIF('事業所・施設 一覧'!$D$4:OFFSET('事業所・施設 一覧'!D2031,-1,0),"飯能市",'事業所・施設 一覧'!$X$4:OFFSET('事業所・施設 一覧'!X2031,-1,0))</f>
        <v>27</v>
      </c>
      <c r="R12" s="24">
        <f ca="1">COUNTIFS('事業所・施設 一覧'!$D$4:OFFSET('事業所・施設 一覧'!D2031,-1,0),"飯能市",'事業所・施設 一覧'!$Z$4:OFFSET('事業所・施設 一覧'!Z2031,-1,0),"&lt;&gt;")</f>
        <v>2</v>
      </c>
      <c r="S12" s="23">
        <f ca="1">SUMIF('事業所・施設 一覧'!$D$4:OFFSET('事業所・施設 一覧'!D2031,-1,0),"飯能市",'事業所・施設 一覧'!$Z$4:OFFSET('事業所・施設 一覧'!Z2031,-1,0))</f>
        <v>34</v>
      </c>
      <c r="T12" s="24">
        <f ca="1">COUNTIFS('事業所・施設 一覧'!$D$4:OFFSET('事業所・施設 一覧'!D2031,-1,0),"飯能市",'事業所・施設 一覧'!$AA$4:OFFSET('事業所・施設 一覧'!AA2031,-1,0),"&lt;&gt;")</f>
        <v>9</v>
      </c>
      <c r="U12" s="25">
        <f ca="1">SUMIF('事業所・施設 一覧'!$D$4:OFFSET('事業所・施設 一覧'!D2031,-1,0),"飯能市",'事業所・施設 一覧'!$AA$4:OFFSET('事業所・施設 一覧'!AA2031,-1,0))</f>
        <v>175</v>
      </c>
      <c r="V12" s="24">
        <f ca="1">COUNTIFS('事業所・施設 一覧'!$D$4:OFFSET('事業所・施設 一覧'!D2031,-1,0),"飯能市",'事業所・施設 一覧'!$AB$4:OFFSET('事業所・施設 一覧'!AB2031,-1,0),"&lt;&gt;")</f>
        <v>2</v>
      </c>
      <c r="W12" s="25">
        <f ca="1">SUMIF('事業所・施設 一覧'!$D$4:OFFSET('事業所・施設 一覧'!D2031,-1,0),"飯能市",'事業所・施設 一覧'!$AB$4:OFFSET('事業所・施設 一覧'!AB2031,-1,0))</f>
        <v>0</v>
      </c>
      <c r="X12" s="24">
        <f ca="1">COUNTIFS('事業所・施設 一覧'!$D$4:OFFSET('事業所・施設 一覧'!D2031,-1,0),"飯能市",'事業所・施設 一覧'!$AC$4:OFFSET('事業所・施設 一覧'!AC2031,-1,0),"&lt;&gt;")</f>
        <v>0</v>
      </c>
      <c r="Y12" s="25">
        <f ca="1">SUMIF('事業所・施設 一覧'!$D$4:OFFSET('事業所・施設 一覧'!D2031,-1,0),"飯能市",'事業所・施設 一覧'!$AC$4:OFFSET('事業所・施設 一覧'!AC2031,-1,0))</f>
        <v>0</v>
      </c>
    </row>
    <row r="13" spans="1:27" ht="20.100000000000001" customHeight="1" x14ac:dyDescent="0.15">
      <c r="A13" s="13">
        <v>9</v>
      </c>
      <c r="B13" s="14" t="s">
        <v>4156</v>
      </c>
      <c r="C13" s="2" t="s">
        <v>4089</v>
      </c>
      <c r="D13" s="22">
        <f ca="1">COUNTIFS('事業所・施設 一覧'!$D$4:OFFSET('事業所・施設 一覧'!D2031,-1,0),"加須市",'事業所・施設 一覧'!$P$4:OFFSET('事業所・施設 一覧'!P2031,-1,0),"&lt;&gt;")</f>
        <v>0</v>
      </c>
      <c r="E13" s="23">
        <f ca="1">SUMIF('事業所・施設 一覧'!$D$4:OFFSET('事業所・施設 一覧'!D2031,-1,0),"加須市",'事業所・施設 一覧'!$P$4:OFFSET('事業所・施設 一覧'!P2031,-1,0))</f>
        <v>0</v>
      </c>
      <c r="F13" s="24">
        <f ca="1">COUNTIFS('事業所・施設 一覧'!$D$4:OFFSET('事業所・施設 一覧'!D2031,-1,0),"加須市",'事業所・施設 一覧'!$S$4:OFFSET('事業所・施設 一覧'!S2031,-1,0),"&lt;&gt;")</f>
        <v>0</v>
      </c>
      <c r="G13" s="23">
        <f ca="1">SUMIF('事業所・施設 一覧'!$D$4:OFFSET('事業所・施設 一覧'!D2031,-1,0),"加須市",'事業所・施設 一覧'!$S$4:OFFSET('事業所・施設 一覧'!S2031,-1,0))</f>
        <v>0</v>
      </c>
      <c r="H13" s="24">
        <f ca="1">COUNTIFS('事業所・施設 一覧'!$D$4:OFFSET('事業所・施設 一覧'!D2031,-1,0),"加須市",'事業所・施設 一覧'!$T$4:OFFSET('事業所・施設 一覧'!T2031,-1,0),"&lt;&gt;")</f>
        <v>7</v>
      </c>
      <c r="I13" s="23">
        <f ca="1">SUMIF('事業所・施設 一覧'!$D$4:OFFSET('事業所・施設 一覧'!D2031,-1,0),"加須市",'事業所・施設 一覧'!$T$4:OFFSET('事業所・施設 一覧'!T2031,-1,0))</f>
        <v>128</v>
      </c>
      <c r="J13" s="24">
        <f ca="1">COUNTIFS('事業所・施設 一覧'!$D$4:OFFSET('事業所・施設 一覧'!D2031,-1,0),"加須市",'事業所・施設 一覧'!$U$4:OFFSET('事業所・施設 一覧'!U2031,-1,0),"&lt;&gt;")</f>
        <v>0</v>
      </c>
      <c r="K13" s="23">
        <f ca="1">SUMIF('事業所・施設 一覧'!$D$4:OFFSET('事業所・施設 一覧'!D2031,-1,0),"加須市",'事業所・施設 一覧'!$U$4:OFFSET('事業所・施設 一覧'!U2031,-1,0))</f>
        <v>0</v>
      </c>
      <c r="L13" s="24">
        <f ca="1">COUNTIFS('事業所・施設 一覧'!$D$4:OFFSET('事業所・施設 一覧'!D2031,-1,0),"加須市",'事業所・施設 一覧'!$V$4:OFFSET('事業所・施設 一覧'!V2031,-1,0),"&lt;&gt;")</f>
        <v>0</v>
      </c>
      <c r="M13" s="23">
        <f ca="1">SUMIF('事業所・施設 一覧'!$D$4:OFFSET('事業所・施設 一覧'!D2031,-1,0),"加須市",'事業所・施設 一覧'!$V$4:OFFSET('事業所・施設 一覧'!V2031,-1,0))</f>
        <v>0</v>
      </c>
      <c r="N13" s="24">
        <f ca="1">COUNTIFS('事業所・施設 一覧'!$D$4:OFFSET('事業所・施設 一覧'!D2031,-1,0),"加須市",'事業所・施設 一覧'!$W$4:OFFSET('事業所・施設 一覧'!W2031,-1,0),"&lt;&gt;")</f>
        <v>0</v>
      </c>
      <c r="O13" s="23">
        <f ca="1">SUMIF('事業所・施設 一覧'!$D$4:OFFSET('事業所・施設 一覧'!D2031,-1,0),"加須市",'事業所・施設 一覧'!$W$4:OFFSET('事業所・施設 一覧'!W2031,-1,0))</f>
        <v>0</v>
      </c>
      <c r="P13" s="24">
        <f ca="1">COUNTIFS('事業所・施設 一覧'!$D$4:OFFSET('事業所・施設 一覧'!D2031,-1,0),"加須市",'事業所・施設 一覧'!$X$4:OFFSET('事業所・施設 一覧'!X2031,-1,0),"&lt;&gt;")</f>
        <v>1</v>
      </c>
      <c r="Q13" s="23">
        <f ca="1">SUMIF('事業所・施設 一覧'!$D$4:OFFSET('事業所・施設 一覧'!D2031,-1,0),"加須市",'事業所・施設 一覧'!$X$4:OFFSET('事業所・施設 一覧'!X2031,-1,0))</f>
        <v>6</v>
      </c>
      <c r="R13" s="24">
        <f ca="1">COUNTIFS('事業所・施設 一覧'!$D$4:OFFSET('事業所・施設 一覧'!D2031,-1,0),"加須市",'事業所・施設 一覧'!$Z$4:OFFSET('事業所・施設 一覧'!Z2031,-1,0),"&lt;&gt;")</f>
        <v>1</v>
      </c>
      <c r="S13" s="23">
        <f ca="1">SUMIF('事業所・施設 一覧'!$D$4:OFFSET('事業所・施設 一覧'!D2031,-1,0),"加須市",'事業所・施設 一覧'!$Z$4:OFFSET('事業所・施設 一覧'!Z2031,-1,0))</f>
        <v>15</v>
      </c>
      <c r="T13" s="24">
        <f ca="1">COUNTIFS('事業所・施設 一覧'!$D$4:OFFSET('事業所・施設 一覧'!D2031,-1,0),"加須市",'事業所・施設 一覧'!$AA$4:OFFSET('事業所・施設 一覧'!AA2031,-1,0),"&lt;&gt;")</f>
        <v>14</v>
      </c>
      <c r="U13" s="25">
        <f ca="1">SUMIF('事業所・施設 一覧'!$D$4:OFFSET('事業所・施設 一覧'!D2031,-1,0),"加須市",'事業所・施設 一覧'!$AA$4:OFFSET('事業所・施設 一覧'!AA2031,-1,0))</f>
        <v>279</v>
      </c>
      <c r="V13" s="24">
        <f ca="1">COUNTIFS('事業所・施設 一覧'!$D$4:OFFSET('事業所・施設 一覧'!D2031,-1,0),"加須市",'事業所・施設 一覧'!$AB$4:OFFSET('事業所・施設 一覧'!AB2031,-1,0),"&lt;&gt;")</f>
        <v>1</v>
      </c>
      <c r="W13" s="25">
        <f ca="1">SUMIF('事業所・施設 一覧'!$D$4:OFFSET('事業所・施設 一覧'!D2031,-1,0),"加須市",'事業所・施設 一覧'!$AB$4:OFFSET('事業所・施設 一覧'!AB2031,-1,0))</f>
        <v>0</v>
      </c>
      <c r="X13" s="24">
        <f ca="1">COUNTIFS('事業所・施設 一覧'!$D$4:OFFSET('事業所・施設 一覧'!D2031,-1,0),"加須市",'事業所・施設 一覧'!$AC$4:OFFSET('事業所・施設 一覧'!AC2031,-1,0),"&lt;&gt;")</f>
        <v>0</v>
      </c>
      <c r="Y13" s="25">
        <f ca="1">SUMIF('事業所・施設 一覧'!$D$4:OFFSET('事業所・施設 一覧'!D2031,-1,0),"加須市",'事業所・施設 一覧'!$AC$4:OFFSET('事業所・施設 一覧'!AC2031,-1,0))</f>
        <v>0</v>
      </c>
    </row>
    <row r="14" spans="1:27" ht="20.100000000000001" customHeight="1" x14ac:dyDescent="0.15">
      <c r="A14" s="13">
        <v>10</v>
      </c>
      <c r="B14" s="14" t="s">
        <v>865</v>
      </c>
      <c r="C14" s="2" t="s">
        <v>4090</v>
      </c>
      <c r="D14" s="22">
        <f ca="1">COUNTIFS('事業所・施設 一覧'!$D$4:OFFSET('事業所・施設 一覧'!D2031,-1,0),"本庄市",'事業所・施設 一覧'!$P$4:OFFSET('事業所・施設 一覧'!P2031,-1,0),"&lt;&gt;")</f>
        <v>3</v>
      </c>
      <c r="E14" s="23">
        <f ca="1">SUMIF('事業所・施設 一覧'!$D$4:OFFSET('事業所・施設 一覧'!D2031,-1,0),"本庄市",'事業所・施設 一覧'!$P$4:OFFSET('事業所・施設 一覧'!P2031,-1,0))</f>
        <v>105</v>
      </c>
      <c r="F14" s="24">
        <f ca="1">COUNTIFS('事業所・施設 一覧'!$D$4:OFFSET('事業所・施設 一覧'!D2031,-1,0),"本庄市",'事業所・施設 一覧'!$S$4:OFFSET('事業所・施設 一覧'!S2031,-1,0),"&lt;&gt;")</f>
        <v>0</v>
      </c>
      <c r="G14" s="23">
        <f ca="1">SUMIF('事業所・施設 一覧'!$D$4:OFFSET('事業所・施設 一覧'!D2031,-1,0),"本庄市",'事業所・施設 一覧'!$S$4:OFFSET('事業所・施設 一覧'!S2031,-1,0))</f>
        <v>0</v>
      </c>
      <c r="H14" s="24">
        <f ca="1">COUNTIFS('事業所・施設 一覧'!$D$4:OFFSET('事業所・施設 一覧'!D2031,-1,0),"本庄市",'事業所・施設 一覧'!$T$4:OFFSET('事業所・施設 一覧'!T2031,-1,0),"&lt;&gt;")</f>
        <v>6</v>
      </c>
      <c r="I14" s="23">
        <f ca="1">SUMIF('事業所・施設 一覧'!$D$4:OFFSET('事業所・施設 一覧'!D2031,-1,0),"本庄市",'事業所・施設 一覧'!$T$4:OFFSET('事業所・施設 一覧'!T2031,-1,0))</f>
        <v>169</v>
      </c>
      <c r="J14" s="24">
        <f ca="1">COUNTIFS('事業所・施設 一覧'!$D$4:OFFSET('事業所・施設 一覧'!D2031,-1,0),"本庄市",'事業所・施設 一覧'!$U$4:OFFSET('事業所・施設 一覧'!U2031,-1,0),"&lt;&gt;")</f>
        <v>1</v>
      </c>
      <c r="K14" s="23">
        <f ca="1">SUMIF('事業所・施設 一覧'!$D$4:OFFSET('事業所・施設 一覧'!D2031,-1,0),"本庄市",'事業所・施設 一覧'!$U$4:OFFSET('事業所・施設 一覧'!U2031,-1,0))</f>
        <v>100</v>
      </c>
      <c r="L14" s="24">
        <f ca="1">COUNTIFS('事業所・施設 一覧'!$D$4:OFFSET('事業所・施設 一覧'!D2031,-1,0),"本庄市",'事業所・施設 一覧'!$V$4:OFFSET('事業所・施設 一覧'!V2031,-1,0),"&lt;&gt;")</f>
        <v>0</v>
      </c>
      <c r="M14" s="23">
        <f ca="1">SUMIF('事業所・施設 一覧'!$D$4:OFFSET('事業所・施設 一覧'!D2031,-1,0),"本庄市",'事業所・施設 一覧'!$V$4:OFFSET('事業所・施設 一覧'!V2031,-1,0))</f>
        <v>0</v>
      </c>
      <c r="N14" s="24">
        <f ca="1">COUNTIFS('事業所・施設 一覧'!$D$4:OFFSET('事業所・施設 一覧'!D2031,-1,0),"本庄市",'事業所・施設 一覧'!$W$4:OFFSET('事業所・施設 一覧'!W2031,-1,0),"&lt;&gt;")</f>
        <v>0</v>
      </c>
      <c r="O14" s="23">
        <f ca="1">SUMIF('事業所・施設 一覧'!$D$4:OFFSET('事業所・施設 一覧'!D2031,-1,0),"本庄市",'事業所・施設 一覧'!$W$4:OFFSET('事業所・施設 一覧'!W2031,-1,0))</f>
        <v>0</v>
      </c>
      <c r="P14" s="24">
        <f ca="1">COUNTIFS('事業所・施設 一覧'!$D$4:OFFSET('事業所・施設 一覧'!D2031,-1,0),"本庄市",'事業所・施設 一覧'!$X$4:OFFSET('事業所・施設 一覧'!X2031,-1,0),"&lt;&gt;")</f>
        <v>2</v>
      </c>
      <c r="Q14" s="23">
        <f ca="1">SUMIF('事業所・施設 一覧'!$D$4:OFFSET('事業所・施設 一覧'!D2031,-1,0),"本庄市",'事業所・施設 一覧'!$X$4:OFFSET('事業所・施設 一覧'!X2031,-1,0))</f>
        <v>20</v>
      </c>
      <c r="R14" s="24">
        <f ca="1">COUNTIFS('事業所・施設 一覧'!$D$4:OFFSET('事業所・施設 一覧'!D2031,-1,0),"本庄市",'事業所・施設 一覧'!$Z$4:OFFSET('事業所・施設 一覧'!Z2031,-1,0),"&lt;&gt;")</f>
        <v>0</v>
      </c>
      <c r="S14" s="23">
        <f ca="1">SUMIF('事業所・施設 一覧'!$D$4:OFFSET('事業所・施設 一覧'!D2031,-1,0),"本庄市",'事業所・施設 一覧'!$Z$4:OFFSET('事業所・施設 一覧'!Z2031,-1,0))</f>
        <v>0</v>
      </c>
      <c r="T14" s="24">
        <f ca="1">COUNTIFS('事業所・施設 一覧'!$D$4:OFFSET('事業所・施設 一覧'!D2031,-1,0),"本庄市",'事業所・施設 一覧'!$AA$4:OFFSET('事業所・施設 一覧'!AA2031,-1,0),"&lt;&gt;")</f>
        <v>11</v>
      </c>
      <c r="U14" s="25">
        <f ca="1">SUMIF('事業所・施設 一覧'!$D$4:OFFSET('事業所・施設 一覧'!D2031,-1,0),"本庄市",'事業所・施設 一覧'!$AA$4:OFFSET('事業所・施設 一覧'!AA2031,-1,0))</f>
        <v>252</v>
      </c>
      <c r="V14" s="24">
        <f ca="1">COUNTIFS('事業所・施設 一覧'!$D$4:OFFSET('事業所・施設 一覧'!D2031,-1,0),"本庄市",'事業所・施設 一覧'!$AB$4:OFFSET('事業所・施設 一覧'!AB2031,-1,0),"&lt;&gt;")</f>
        <v>1</v>
      </c>
      <c r="W14" s="25">
        <f ca="1">SUMIF('事業所・施設 一覧'!$D$4:OFFSET('事業所・施設 一覧'!D2031,-1,0),"本庄市",'事業所・施設 一覧'!$AB$4:OFFSET('事業所・施設 一覧'!AB2031,-1,0))</f>
        <v>0</v>
      </c>
      <c r="X14" s="24">
        <f ca="1">COUNTIFS('事業所・施設 一覧'!$D$4:OFFSET('事業所・施設 一覧'!D2031,-1,0),"本庄市",'事業所・施設 一覧'!$AC$4:OFFSET('事業所・施設 一覧'!AC2031,-1,0),"&lt;&gt;")</f>
        <v>2</v>
      </c>
      <c r="Y14" s="25">
        <f ca="1">SUMIF('事業所・施設 一覧'!$D$4:OFFSET('事業所・施設 一覧'!D2031,-1,0),"本庄市",'事業所・施設 一覧'!$AC$4:OFFSET('事業所・施設 一覧'!AC2031,-1,0))</f>
        <v>20</v>
      </c>
    </row>
    <row r="15" spans="1:27" ht="20.100000000000001" customHeight="1" x14ac:dyDescent="0.15">
      <c r="A15" s="13">
        <v>11</v>
      </c>
      <c r="B15" s="14" t="s">
        <v>4155</v>
      </c>
      <c r="C15" s="2" t="s">
        <v>4091</v>
      </c>
      <c r="D15" s="22">
        <f ca="1">COUNTIFS('事業所・施設 一覧'!$D$4:OFFSET('事業所・施設 一覧'!D2031,-1,0),"東松山市",'事業所・施設 一覧'!$P$4:OFFSET('事業所・施設 一覧'!P2031,-1,0),"&lt;&gt;")</f>
        <v>3</v>
      </c>
      <c r="E15" s="23">
        <f ca="1">SUMIF('事業所・施設 一覧'!$D$4:OFFSET('事業所・施設 一覧'!D2031,-1,0),"東松山市",'事業所・施設 一覧'!$P$4:OFFSET('事業所・施設 一覧'!P2031,-1,0))</f>
        <v>310</v>
      </c>
      <c r="F15" s="24">
        <f ca="1">COUNTIFS('事業所・施設 一覧'!$D$4:OFFSET('事業所・施設 一覧'!D2031,-1,0),"東松山市",'事業所・施設 一覧'!$S$4:OFFSET('事業所・施設 一覧'!S2031,-1,0),"&lt;&gt;")</f>
        <v>0</v>
      </c>
      <c r="G15" s="23">
        <f ca="1">SUMIF('事業所・施設 一覧'!$D$4:OFFSET('事業所・施設 一覧'!D2031,-1,0),"東松山市",'事業所・施設 一覧'!$S$4:OFFSET('事業所・施設 一覧'!S2031,-1,0))</f>
        <v>0</v>
      </c>
      <c r="H15" s="24">
        <f ca="1">COUNTIFS('事業所・施設 一覧'!$D$4:OFFSET('事業所・施設 一覧'!D2031,-1,0),"東松山市",'事業所・施設 一覧'!$T$4:OFFSET('事業所・施設 一覧'!T2031,-1,0),"&lt;&gt;")</f>
        <v>15</v>
      </c>
      <c r="I15" s="23">
        <f ca="1">SUMIF('事業所・施設 一覧'!$D$4:OFFSET('事業所・施設 一覧'!D2031,-1,0),"東松山市",'事業所・施設 一覧'!$T$4:OFFSET('事業所・施設 一覧'!T2031,-1,0))</f>
        <v>555</v>
      </c>
      <c r="J15" s="24">
        <f ca="1">COUNTIFS('事業所・施設 一覧'!$D$4:OFFSET('事業所・施設 一覧'!D2031,-1,0),"東松山市",'事業所・施設 一覧'!$U$4:OFFSET('事業所・施設 一覧'!U2031,-1,0),"&lt;&gt;")</f>
        <v>0</v>
      </c>
      <c r="K15" s="23">
        <f ca="1">SUMIF('事業所・施設 一覧'!$D$4:OFFSET('事業所・施設 一覧'!D2031,-1,0),"東松山市",'事業所・施設 一覧'!$U$4:OFFSET('事業所・施設 一覧'!U2031,-1,0))</f>
        <v>0</v>
      </c>
      <c r="L15" s="24">
        <f ca="1">COUNTIFS('事業所・施設 一覧'!$D$4:OFFSET('事業所・施設 一覧'!D2031,-1,0),"東松山市",'事業所・施設 一覧'!$V$4:OFFSET('事業所・施設 一覧'!V2031,-1,0),"&lt;&gt;")</f>
        <v>2</v>
      </c>
      <c r="M15" s="23">
        <f ca="1">SUMIF('事業所・施設 一覧'!$D$4:OFFSET('事業所・施設 一覧'!D2031,-1,0),"東松山市",'事業所・施設 一覧'!$V$4:OFFSET('事業所・施設 一覧'!V2031,-1,0))</f>
        <v>30</v>
      </c>
      <c r="N15" s="24">
        <f ca="1">COUNTIFS('事業所・施設 一覧'!$D$4:OFFSET('事業所・施設 一覧'!D2031,-1,0),"東松山市",'事業所・施設 一覧'!$W$4:OFFSET('事業所・施設 一覧'!W2031,-1,0),"&lt;&gt;")</f>
        <v>1</v>
      </c>
      <c r="O15" s="23">
        <f ca="1">SUMIF('事業所・施設 一覧'!$D$4:OFFSET('事業所・施設 一覧'!D2031,-1,0),"東松山市",'事業所・施設 一覧'!$W$4:OFFSET('事業所・施設 一覧'!W2031,-1,0))</f>
        <v>16</v>
      </c>
      <c r="P15" s="24">
        <f ca="1">COUNTIFS('事業所・施設 一覧'!$D$4:OFFSET('事業所・施設 一覧'!D2031,-1,0),"東松山市",'事業所・施設 一覧'!$X$4:OFFSET('事業所・施設 一覧'!X2031,-1,0),"&lt;&gt;")</f>
        <v>3</v>
      </c>
      <c r="Q15" s="23">
        <f ca="1">SUMIF('事業所・施設 一覧'!$D$4:OFFSET('事業所・施設 一覧'!D2031,-1,0),"東松山市",'事業所・施設 一覧'!$X$4:OFFSET('事業所・施設 一覧'!X2031,-1,0))</f>
        <v>40</v>
      </c>
      <c r="R15" s="24">
        <f ca="1">COUNTIFS('事業所・施設 一覧'!$D$4:OFFSET('事業所・施設 一覧'!D2031,-1,0),"東松山市",'事業所・施設 一覧'!$Z$4:OFFSET('事業所・施設 一覧'!Z2031,-1,0),"&lt;&gt;")</f>
        <v>0</v>
      </c>
      <c r="S15" s="23">
        <f ca="1">SUMIF('事業所・施設 一覧'!$D$4:OFFSET('事業所・施設 一覧'!D2031,-1,0),"東松山市",'事業所・施設 一覧'!$Z$4:OFFSET('事業所・施設 一覧'!Z2031,-1,0))</f>
        <v>0</v>
      </c>
      <c r="T15" s="24">
        <f ca="1">COUNTIFS('事業所・施設 一覧'!$D$4:OFFSET('事業所・施設 一覧'!D2031,-1,0),"東松山市",'事業所・施設 一覧'!$AA$4:OFFSET('事業所・施設 一覧'!AA2031,-1,0),"&lt;&gt;")</f>
        <v>10</v>
      </c>
      <c r="U15" s="25">
        <f ca="1">SUMIF('事業所・施設 一覧'!$D$4:OFFSET('事業所・施設 一覧'!D2031,-1,0),"東松山市",'事業所・施設 一覧'!$AA$4:OFFSET('事業所・施設 一覧'!AA2031,-1,0))</f>
        <v>212</v>
      </c>
      <c r="V15" s="24">
        <f ca="1">COUNTIFS('事業所・施設 一覧'!$D$4:OFFSET('事業所・施設 一覧'!D2031,-1,0),"東松山市",'事業所・施設 一覧'!$AB$4:OFFSET('事業所・施設 一覧'!AB2031,-1,0),"&lt;&gt;")</f>
        <v>1</v>
      </c>
      <c r="W15" s="25">
        <f ca="1">SUMIF('事業所・施設 一覧'!$D$4:OFFSET('事業所・施設 一覧'!D2031,-1,0),"東松山市",'事業所・施設 一覧'!$AB$4:OFFSET('事業所・施設 一覧'!AB2031,-1,0))</f>
        <v>0</v>
      </c>
      <c r="X15" s="24">
        <f ca="1">COUNTIFS('事業所・施設 一覧'!$D$4:OFFSET('事業所・施設 一覧'!D2031,-1,0),"東松山市",'事業所・施設 一覧'!$AC$4:OFFSET('事業所・施設 一覧'!AC2031,-1,0),"&lt;&gt;")</f>
        <v>1</v>
      </c>
      <c r="Y15" s="25">
        <f ca="1">SUMIF('事業所・施設 一覧'!$D$4:OFFSET('事業所・施設 一覧'!D2031,-1,0),"東松山市",'事業所・施設 一覧'!$AC$4:OFFSET('事業所・施設 一覧'!AC2031,-1,0))</f>
        <v>10</v>
      </c>
    </row>
    <row r="16" spans="1:27" ht="20.100000000000001" customHeight="1" x14ac:dyDescent="0.15">
      <c r="A16" s="13">
        <v>12</v>
      </c>
      <c r="B16" s="14" t="s">
        <v>866</v>
      </c>
      <c r="C16" s="2" t="s">
        <v>4092</v>
      </c>
      <c r="D16" s="22">
        <f ca="1">COUNTIFS('事業所・施設 一覧'!$D$4:OFFSET('事業所・施設 一覧'!D2031,-1,0),"春日部市",'事業所・施設 一覧'!$P$4:OFFSET('事業所・施設 一覧'!P2031,-1,0),"&lt;&gt;")</f>
        <v>0</v>
      </c>
      <c r="E16" s="23">
        <f ca="1">SUMIF('事業所・施設 一覧'!$D$4:OFFSET('事業所・施設 一覧'!D2031,-1,0),"春日部市",'事業所・施設 一覧'!$P$4:OFFSET('事業所・施設 一覧'!P2031,-1,0))</f>
        <v>0</v>
      </c>
      <c r="F16" s="24">
        <f ca="1">COUNTIFS('事業所・施設 一覧'!$D$4:OFFSET('事業所・施設 一覧'!D2031,-1,0),"春日部市",'事業所・施設 一覧'!$S$4:OFFSET('事業所・施設 一覧'!S2031,-1,0),"&lt;&gt;")</f>
        <v>0</v>
      </c>
      <c r="G16" s="23">
        <f ca="1">SUMIF('事業所・施設 一覧'!$D$4:OFFSET('事業所・施設 一覧'!D2031,-1,0),"春日部市",'事業所・施設 一覧'!$S$4:OFFSET('事業所・施設 一覧'!S2031,-1,0))</f>
        <v>0</v>
      </c>
      <c r="H16" s="24">
        <f ca="1">COUNTIFS('事業所・施設 一覧'!$D$4:OFFSET('事業所・施設 一覧'!D2031,-1,0),"春日部市",'事業所・施設 一覧'!$T$4:OFFSET('事業所・施設 一覧'!T2031,-1,0),"&lt;&gt;")</f>
        <v>24</v>
      </c>
      <c r="I16" s="23">
        <f ca="1">SUMIF('事業所・施設 一覧'!$D$4:OFFSET('事業所・施設 一覧'!D2031,-1,0),"春日部市",'事業所・施設 一覧'!$T$4:OFFSET('事業所・施設 一覧'!T2031,-1,0))</f>
        <v>495</v>
      </c>
      <c r="J16" s="24">
        <f ca="1">COUNTIFS('事業所・施設 一覧'!$D$4:OFFSET('事業所・施設 一覧'!D2031,-1,0),"春日部市",'事業所・施設 一覧'!$U$4:OFFSET('事業所・施設 一覧'!U2031,-1,0),"&lt;&gt;")</f>
        <v>0</v>
      </c>
      <c r="K16" s="23">
        <f ca="1">SUMIF('事業所・施設 一覧'!$D$4:OFFSET('事業所・施設 一覧'!D2031,-1,0),"春日部市",'事業所・施設 一覧'!$U$4:OFFSET('事業所・施設 一覧'!U2031,-1,0))</f>
        <v>0</v>
      </c>
      <c r="L16" s="24">
        <f ca="1">COUNTIFS('事業所・施設 一覧'!$D$4:OFFSET('事業所・施設 一覧'!D2031,-1,0),"春日部市",'事業所・施設 一覧'!$V$4:OFFSET('事業所・施設 一覧'!V2031,-1,0),"&lt;&gt;")</f>
        <v>2</v>
      </c>
      <c r="M16" s="23">
        <f ca="1">SUMIF('事業所・施設 一覧'!$D$4:OFFSET('事業所・施設 一覧'!D2031,-1,0),"春日部市",'事業所・施設 一覧'!$V$4:OFFSET('事業所・施設 一覧'!V2031,-1,0))</f>
        <v>40</v>
      </c>
      <c r="N16" s="24">
        <f ca="1">COUNTIFS('事業所・施設 一覧'!$D$4:OFFSET('事業所・施設 一覧'!D2031,-1,0),"春日部市",'事業所・施設 一覧'!$W$4:OFFSET('事業所・施設 一覧'!W2031,-1,0),"&lt;&gt;")</f>
        <v>0</v>
      </c>
      <c r="O16" s="23">
        <f ca="1">SUMIF('事業所・施設 一覧'!$D$4:OFFSET('事業所・施設 一覧'!D2031,-1,0),"春日部市",'事業所・施設 一覧'!$W$4:OFFSET('事業所・施設 一覧'!W2031,-1,0))</f>
        <v>0</v>
      </c>
      <c r="P16" s="24">
        <f ca="1">COUNTIFS('事業所・施設 一覧'!$D$4:OFFSET('事業所・施設 一覧'!D2031,-1,0),"春日部市",'事業所・施設 一覧'!$X$4:OFFSET('事業所・施設 一覧'!X2031,-1,0),"&lt;&gt;")</f>
        <v>10</v>
      </c>
      <c r="Q16" s="23">
        <f ca="1">SUMIF('事業所・施設 一覧'!$D$4:OFFSET('事業所・施設 一覧'!D2031,-1,0),"春日部市",'事業所・施設 一覧'!$X$4:OFFSET('事業所・施設 一覧'!X2031,-1,0))</f>
        <v>168</v>
      </c>
      <c r="R16" s="24">
        <f ca="1">COUNTIFS('事業所・施設 一覧'!$D$4:OFFSET('事業所・施設 一覧'!D2031,-1,0),"春日部市",'事業所・施設 一覧'!$Z$4:OFFSET('事業所・施設 一覧'!Z2031,-1,0),"&lt;&gt;")</f>
        <v>6</v>
      </c>
      <c r="S16" s="23">
        <f ca="1">SUMIF('事業所・施設 一覧'!$D$4:OFFSET('事業所・施設 一覧'!D2031,-1,0),"春日部市",'事業所・施設 一覧'!$Z$4:OFFSET('事業所・施設 一覧'!Z2031,-1,0))</f>
        <v>105</v>
      </c>
      <c r="T16" s="24">
        <f ca="1">COUNTIFS('事業所・施設 一覧'!$D$4:OFFSET('事業所・施設 一覧'!D2031,-1,0),"春日部市",'事業所・施設 一覧'!$AA$4:OFFSET('事業所・施設 一覧'!AA2031,-1,0),"&lt;&gt;")</f>
        <v>29</v>
      </c>
      <c r="U16" s="25">
        <f ca="1">SUMIF('事業所・施設 一覧'!$D$4:OFFSET('事業所・施設 一覧'!D2031,-1,0),"春日部市",'事業所・施設 一覧'!$AA$4:OFFSET('事業所・施設 一覧'!AA2031,-1,0))</f>
        <v>548</v>
      </c>
      <c r="V16" s="24">
        <f ca="1">COUNTIFS('事業所・施設 一覧'!$D$4:OFFSET('事業所・施設 一覧'!D2031,-1,0),"春日部市",'事業所・施設 一覧'!$AB$4:OFFSET('事業所・施設 一覧'!AB2031,-1,0),"&lt;&gt;")</f>
        <v>7</v>
      </c>
      <c r="W16" s="25">
        <f ca="1">SUMIF('事業所・施設 一覧'!$D$4:OFFSET('事業所・施設 一覧'!D2031,-1,0),"春日部市",'事業所・施設 一覧'!$AB$4:OFFSET('事業所・施設 一覧'!AB2031,-1,0))</f>
        <v>0</v>
      </c>
      <c r="X16" s="24">
        <f ca="1">COUNTIFS('事業所・施設 一覧'!$D$4:OFFSET('事業所・施設 一覧'!D2031,-1,0),"春日部市",'事業所・施設 一覧'!$AC$4:OFFSET('事業所・施設 一覧'!AC2031,-1,0),"&lt;&gt;")</f>
        <v>3</v>
      </c>
      <c r="Y16" s="25">
        <f ca="1">SUMIF('事業所・施設 一覧'!$D$4:OFFSET('事業所・施設 一覧'!D2031,-1,0),"春日部市",'事業所・施設 一覧'!$AC$4:OFFSET('事業所・施設 一覧'!AC2031,-1,0))</f>
        <v>20</v>
      </c>
    </row>
    <row r="17" spans="1:25" ht="20.100000000000001" customHeight="1" x14ac:dyDescent="0.15">
      <c r="A17" s="13">
        <v>13</v>
      </c>
      <c r="B17" s="14" t="s">
        <v>864</v>
      </c>
      <c r="C17" s="2" t="s">
        <v>4093</v>
      </c>
      <c r="D17" s="22">
        <f ca="1">COUNTIFS('事業所・施設 一覧'!$D$4:OFFSET('事業所・施設 一覧'!D2031,-1,0),"狭山市",'事業所・施設 一覧'!$P$4:OFFSET('事業所・施設 一覧'!P2031,-1,0),"&lt;&gt;")</f>
        <v>3</v>
      </c>
      <c r="E17" s="23">
        <f ca="1">SUMIF('事業所・施設 一覧'!$D$4:OFFSET('事業所・施設 一覧'!D2031,-1,0),"狭山市",'事業所・施設 一覧'!$P$4:OFFSET('事業所・施設 一覧'!P2031,-1,0))</f>
        <v>137</v>
      </c>
      <c r="F17" s="24">
        <f ca="1">COUNTIFS('事業所・施設 一覧'!$D$4:OFFSET('事業所・施設 一覧'!D2031,-1,0),"狭山市",'事業所・施設 一覧'!$S$4:OFFSET('事業所・施設 一覧'!S2031,-1,0),"&lt;&gt;")</f>
        <v>0</v>
      </c>
      <c r="G17" s="23">
        <f ca="1">SUMIF('事業所・施設 一覧'!$D$4:OFFSET('事業所・施設 一覧'!D2031,-1,0),"狭山市",'事業所・施設 一覧'!$S$4:OFFSET('事業所・施設 一覧'!S2031,-1,0))</f>
        <v>0</v>
      </c>
      <c r="H17" s="24">
        <f ca="1">COUNTIFS('事業所・施設 一覧'!$D$4:OFFSET('事業所・施設 一覧'!D2031,-1,0),"狭山市",'事業所・施設 一覧'!$T$4:OFFSET('事業所・施設 一覧'!T2031,-1,0),"&lt;&gt;")</f>
        <v>6</v>
      </c>
      <c r="I17" s="23">
        <f ca="1">SUMIF('事業所・施設 一覧'!$D$4:OFFSET('事業所・施設 一覧'!D2031,-1,0),"狭山市",'事業所・施設 一覧'!$T$4:OFFSET('事業所・施設 一覧'!T2031,-1,0))</f>
        <v>277</v>
      </c>
      <c r="J17" s="24">
        <f ca="1">COUNTIFS('事業所・施設 一覧'!$D$4:OFFSET('事業所・施設 一覧'!D2031,-1,0),"狭山市",'事業所・施設 一覧'!$U$4:OFFSET('事業所・施設 一覧'!U2031,-1,0),"&lt;&gt;")</f>
        <v>0</v>
      </c>
      <c r="K17" s="23">
        <f ca="1">SUMIF('事業所・施設 一覧'!$D$4:OFFSET('事業所・施設 一覧'!D2031,-1,0),"狭山市",'事業所・施設 一覧'!$U$4:OFFSET('事業所・施設 一覧'!U2031,-1,0))</f>
        <v>0</v>
      </c>
      <c r="L17" s="24">
        <f ca="1">COUNTIFS('事業所・施設 一覧'!$D$4:OFFSET('事業所・施設 一覧'!D2031,-1,0),"狭山市",'事業所・施設 一覧'!$V$4:OFFSET('事業所・施設 一覧'!V2031,-1,0),"&lt;&gt;")</f>
        <v>0</v>
      </c>
      <c r="M17" s="23">
        <f ca="1">SUMIF('事業所・施設 一覧'!$D$4:OFFSET('事業所・施設 一覧'!D2031,-1,0),"狭山市",'事業所・施設 一覧'!$V$4:OFFSET('事業所・施設 一覧'!V2031,-1,0))</f>
        <v>0</v>
      </c>
      <c r="N17" s="24">
        <f ca="1">COUNTIFS('事業所・施設 一覧'!$D$4:OFFSET('事業所・施設 一覧'!D2031,-1,0),"狭山市",'事業所・施設 一覧'!$W$4:OFFSET('事業所・施設 一覧'!W2031,-1,0),"&lt;&gt;")</f>
        <v>0</v>
      </c>
      <c r="O17" s="23">
        <f ca="1">SUMIF('事業所・施設 一覧'!$D$4:OFFSET('事業所・施設 一覧'!D2031,-1,0),"狭山市",'事業所・施設 一覧'!$W$4:OFFSET('事業所・施設 一覧'!W2031,-1,0))</f>
        <v>0</v>
      </c>
      <c r="P17" s="24">
        <f ca="1">COUNTIFS('事業所・施設 一覧'!$D$4:OFFSET('事業所・施設 一覧'!D2031,-1,0),"狭山市",'事業所・施設 一覧'!$X$4:OFFSET('事業所・施設 一覧'!X2031,-1,0),"&lt;&gt;")</f>
        <v>3</v>
      </c>
      <c r="Q17" s="23">
        <f ca="1">SUMIF('事業所・施設 一覧'!$D$4:OFFSET('事業所・施設 一覧'!D2031,-1,0),"狭山市",'事業所・施設 一覧'!$X$4:OFFSET('事業所・施設 一覧'!X2031,-1,0))</f>
        <v>24</v>
      </c>
      <c r="R17" s="24">
        <f ca="1">COUNTIFS('事業所・施設 一覧'!$D$4:OFFSET('事業所・施設 一覧'!D2031,-1,0),"狭山市",'事業所・施設 一覧'!$Z$4:OFFSET('事業所・施設 一覧'!Z2031,-1,0),"&lt;&gt;")</f>
        <v>2</v>
      </c>
      <c r="S17" s="23">
        <f ca="1">SUMIF('事業所・施設 一覧'!$D$4:OFFSET('事業所・施設 一覧'!D2031,-1,0),"狭山市",'事業所・施設 一覧'!$Z$4:OFFSET('事業所・施設 一覧'!Z2031,-1,0))</f>
        <v>24</v>
      </c>
      <c r="T17" s="24">
        <f ca="1">COUNTIFS('事業所・施設 一覧'!$D$4:OFFSET('事業所・施設 一覧'!D2031,-1,0),"狭山市",'事業所・施設 一覧'!$AA$4:OFFSET('事業所・施設 一覧'!AA2031,-1,0),"&lt;&gt;")</f>
        <v>16</v>
      </c>
      <c r="U17" s="25">
        <f ca="1">SUMIF('事業所・施設 一覧'!$D$4:OFFSET('事業所・施設 一覧'!D2031,-1,0),"狭山市",'事業所・施設 一覧'!$AA$4:OFFSET('事業所・施設 一覧'!AA2031,-1,0))</f>
        <v>366</v>
      </c>
      <c r="V17" s="24">
        <f ca="1">COUNTIFS('事業所・施設 一覧'!$D$4:OFFSET('事業所・施設 一覧'!D2031,-1,0),"狭山市",'事業所・施設 一覧'!$AB$4:OFFSET('事業所・施設 一覧'!AB2031,-1,0),"&lt;&gt;")</f>
        <v>1</v>
      </c>
      <c r="W17" s="25">
        <f ca="1">SUMIF('事業所・施設 一覧'!$D$4:OFFSET('事業所・施設 一覧'!D2031,-1,0),"狭山市",'事業所・施設 一覧'!$AB$4:OFFSET('事業所・施設 一覧'!AB2031,-1,0))</f>
        <v>0</v>
      </c>
      <c r="X17" s="24">
        <f ca="1">COUNTIFS('事業所・施設 一覧'!$D$4:OFFSET('事業所・施設 一覧'!D2031,-1,0),"狭山市",'事業所・施設 一覧'!$AC$4:OFFSET('事業所・施設 一覧'!AC2031,-1,0),"&lt;&gt;")</f>
        <v>0</v>
      </c>
      <c r="Y17" s="25">
        <f ca="1">SUMIF('事業所・施設 一覧'!$D$4:OFFSET('事業所・施設 一覧'!D2031,-1,0),"狭山市",'事業所・施設 一覧'!$AC$4:OFFSET('事業所・施設 一覧'!AC2031,-1,0))</f>
        <v>0</v>
      </c>
    </row>
    <row r="18" spans="1:25" ht="20.100000000000001" customHeight="1" x14ac:dyDescent="0.15">
      <c r="A18" s="13">
        <v>14</v>
      </c>
      <c r="B18" s="14" t="s">
        <v>4156</v>
      </c>
      <c r="C18" s="2" t="s">
        <v>1879</v>
      </c>
      <c r="D18" s="22">
        <f ca="1">COUNTIFS('事業所・施設 一覧'!$D$4:OFFSET('事業所・施設 一覧'!D2031,-1,0),"羽生市",'事業所・施設 一覧'!$P$4:OFFSET('事業所・施設 一覧'!P2031,-1,0),"&lt;&gt;")</f>
        <v>8</v>
      </c>
      <c r="E18" s="23">
        <f ca="1">SUMIF('事業所・施設 一覧'!$D$4:OFFSET('事業所・施設 一覧'!D2031,-1,0),"羽生市",'事業所・施設 一覧'!$P$4:OFFSET('事業所・施設 一覧'!P2031,-1,0))</f>
        <v>490</v>
      </c>
      <c r="F18" s="24">
        <f ca="1">COUNTIFS('事業所・施設 一覧'!$D$4:OFFSET('事業所・施設 一覧'!D2031,-1,0),"羽生市",'事業所・施設 一覧'!$S$4:OFFSET('事業所・施設 一覧'!S2031,-1,0),"&lt;&gt;")</f>
        <v>0</v>
      </c>
      <c r="G18" s="23">
        <f ca="1">SUMIF('事業所・施設 一覧'!$D$4:OFFSET('事業所・施設 一覧'!D2031,-1,0),"羽生市",'事業所・施設 一覧'!$S$4:OFFSET('事業所・施設 一覧'!S2031,-1,0))</f>
        <v>0</v>
      </c>
      <c r="H18" s="24">
        <f ca="1">COUNTIFS('事業所・施設 一覧'!$D$4:OFFSET('事業所・施設 一覧'!D2031,-1,0),"羽生市",'事業所・施設 一覧'!$T$4:OFFSET('事業所・施設 一覧'!T2031,-1,0),"&lt;&gt;")</f>
        <v>12</v>
      </c>
      <c r="I18" s="23">
        <f ca="1">SUMIF('事業所・施設 一覧'!$D$4:OFFSET('事業所・施設 一覧'!D2031,-1,0),"羽生市",'事業所・施設 一覧'!$T$4:OFFSET('事業所・施設 一覧'!T2031,-1,0))</f>
        <v>585</v>
      </c>
      <c r="J18" s="24">
        <f ca="1">COUNTIFS('事業所・施設 一覧'!$D$4:OFFSET('事業所・施設 一覧'!D2031,-1,0),"羽生市",'事業所・施設 一覧'!$U$4:OFFSET('事業所・施設 一覧'!U2031,-1,0),"&lt;&gt;")</f>
        <v>0</v>
      </c>
      <c r="K18" s="23">
        <f ca="1">SUMIF('事業所・施設 一覧'!$D$4:OFFSET('事業所・施設 一覧'!D2031,-1,0),"羽生市",'事業所・施設 一覧'!$U$4:OFFSET('事業所・施設 一覧'!U2031,-1,0))</f>
        <v>0</v>
      </c>
      <c r="L18" s="24">
        <f ca="1">COUNTIFS('事業所・施設 一覧'!$D$4:OFFSET('事業所・施設 一覧'!D2031,-1,0),"羽生市",'事業所・施設 一覧'!$V$4:OFFSET('事業所・施設 一覧'!V2031,-1,0),"&lt;&gt;")</f>
        <v>0</v>
      </c>
      <c r="M18" s="23">
        <f ca="1">SUMIF('事業所・施設 一覧'!$D$4:OFFSET('事業所・施設 一覧'!D2031,-1,0),"羽生市",'事業所・施設 一覧'!$V$4:OFFSET('事業所・施設 一覧'!V2031,-1,0))</f>
        <v>0</v>
      </c>
      <c r="N18" s="24">
        <f ca="1">COUNTIFS('事業所・施設 一覧'!$D$4:OFFSET('事業所・施設 一覧'!D2031,-1,0),"羽生市",'事業所・施設 一覧'!$W$4:OFFSET('事業所・施設 一覧'!W2031,-1,0),"&lt;&gt;")</f>
        <v>0</v>
      </c>
      <c r="O18" s="23">
        <f ca="1">SUMIF('事業所・施設 一覧'!$D$4:OFFSET('事業所・施設 一覧'!D2031,-1,0),"羽生市",'事業所・施設 一覧'!$W$4:OFFSET('事業所・施設 一覧'!W2031,-1,0))</f>
        <v>0</v>
      </c>
      <c r="P18" s="24">
        <f ca="1">COUNTIFS('事業所・施設 一覧'!$D$4:OFFSET('事業所・施設 一覧'!D2031,-1,0),"羽生市",'事業所・施設 一覧'!$X$4:OFFSET('事業所・施設 一覧'!X2031,-1,0),"&lt;&gt;")</f>
        <v>3</v>
      </c>
      <c r="Q18" s="23">
        <f ca="1">SUMIF('事業所・施設 一覧'!$D$4:OFFSET('事業所・施設 一覧'!D2031,-1,0),"羽生市",'事業所・施設 一覧'!$X$4:OFFSET('事業所・施設 一覧'!X2031,-1,0))</f>
        <v>30</v>
      </c>
      <c r="R18" s="24">
        <f ca="1">COUNTIFS('事業所・施設 一覧'!$D$4:OFFSET('事業所・施設 一覧'!D2031,-1,0),"羽生市",'事業所・施設 一覧'!$Z$4:OFFSET('事業所・施設 一覧'!Z2031,-1,0),"&lt;&gt;")</f>
        <v>0</v>
      </c>
      <c r="S18" s="23">
        <f ca="1">SUMIF('事業所・施設 一覧'!$D$4:OFFSET('事業所・施設 一覧'!D2031,-1,0),"羽生市",'事業所・施設 一覧'!$Z$4:OFFSET('事業所・施設 一覧'!Z2031,-1,0))</f>
        <v>0</v>
      </c>
      <c r="T18" s="24">
        <f ca="1">COUNTIFS('事業所・施設 一覧'!$D$4:OFFSET('事業所・施設 一覧'!D2031,-1,0),"羽生市",'事業所・施設 一覧'!$AA$4:OFFSET('事業所・施設 一覧'!AA2031,-1,0),"&lt;&gt;")</f>
        <v>10</v>
      </c>
      <c r="U18" s="25">
        <f ca="1">SUMIF('事業所・施設 一覧'!$D$4:OFFSET('事業所・施設 一覧'!D2031,-1,0),"羽生市",'事業所・施設 一覧'!$AA$4:OFFSET('事業所・施設 一覧'!AA2031,-1,0))</f>
        <v>276</v>
      </c>
      <c r="V18" s="24">
        <f ca="1">COUNTIFS('事業所・施設 一覧'!$D$4:OFFSET('事業所・施設 一覧'!D2031,-1,0),"羽生市",'事業所・施設 一覧'!$AB$4:OFFSET('事業所・施設 一覧'!AB2031,-1,0),"&lt;&gt;")</f>
        <v>0</v>
      </c>
      <c r="W18" s="25">
        <f ca="1">SUMIF('事業所・施設 一覧'!$D$4:OFFSET('事業所・施設 一覧'!D2031,-1,0),"羽生市",'事業所・施設 一覧'!$AB$4:OFFSET('事業所・施設 一覧'!AB2031,-1,0))</f>
        <v>0</v>
      </c>
      <c r="X18" s="24">
        <f ca="1">COUNTIFS('事業所・施設 一覧'!$D$4:OFFSET('事業所・施設 一覧'!D2031,-1,0),"羽生市",'事業所・施設 一覧'!$AC$4:OFFSET('事業所・施設 一覧'!AC2031,-1,0),"&lt;&gt;")</f>
        <v>1</v>
      </c>
      <c r="Y18" s="25">
        <f ca="1">SUMIF('事業所・施設 一覧'!$D$4:OFFSET('事業所・施設 一覧'!D2031,-1,0),"羽生市",'事業所・施設 一覧'!$AC$4:OFFSET('事業所・施設 一覧'!AC2031,-1,0))</f>
        <v>10</v>
      </c>
    </row>
    <row r="19" spans="1:25" ht="20.100000000000001" customHeight="1" x14ac:dyDescent="0.15">
      <c r="A19" s="13">
        <v>15</v>
      </c>
      <c r="B19" s="14" t="s">
        <v>1013</v>
      </c>
      <c r="C19" s="2" t="s">
        <v>1873</v>
      </c>
      <c r="D19" s="22">
        <f ca="1">COUNTIFS('事業所・施設 一覧'!$D$4:OFFSET('事業所・施設 一覧'!D2031,-1,0),"鴻巣市",'事業所・施設 一覧'!$P$4:OFFSET('事業所・施設 一覧'!P2031,-1,0),"&lt;&gt;")</f>
        <v>1</v>
      </c>
      <c r="E19" s="23">
        <f ca="1">SUMIF('事業所・施設 一覧'!$D$4:OFFSET('事業所・施設 一覧'!D2031,-1,0),"鴻巣市",'事業所・施設 一覧'!$P$4:OFFSET('事業所・施設 一覧'!P2031,-1,0))</f>
        <v>50</v>
      </c>
      <c r="F19" s="24">
        <f ca="1">COUNTIFS('事業所・施設 一覧'!$D$4:OFFSET('事業所・施設 一覧'!D2031,-1,0),"鴻巣市",'事業所・施設 一覧'!$S$4:OFFSET('事業所・施設 一覧'!S2031,-1,0),"&lt;&gt;")</f>
        <v>0</v>
      </c>
      <c r="G19" s="23">
        <f ca="1">SUMIF('事業所・施設 一覧'!$D$4:OFFSET('事業所・施設 一覧'!D2031,-1,0),"鴻巣市",'事業所・施設 一覧'!$S$4:OFFSET('事業所・施設 一覧'!S2031,-1,0))</f>
        <v>0</v>
      </c>
      <c r="H19" s="24">
        <f ca="1">COUNTIFS('事業所・施設 一覧'!$D$4:OFFSET('事業所・施設 一覧'!D2031,-1,0),"鴻巣市",'事業所・施設 一覧'!$T$4:OFFSET('事業所・施設 一覧'!T2031,-1,0),"&lt;&gt;")</f>
        <v>9</v>
      </c>
      <c r="I19" s="23">
        <f ca="1">SUMIF('事業所・施設 一覧'!$D$4:OFFSET('事業所・施設 一覧'!D2031,-1,0),"鴻巣市",'事業所・施設 一覧'!$T$4:OFFSET('事業所・施設 一覧'!T2031,-1,0))</f>
        <v>208</v>
      </c>
      <c r="J19" s="24">
        <f ca="1">COUNTIFS('事業所・施設 一覧'!$D$4:OFFSET('事業所・施設 一覧'!D2031,-1,0),"鴻巣市",'事業所・施設 一覧'!$U$4:OFFSET('事業所・施設 一覧'!U2031,-1,0),"&lt;&gt;")</f>
        <v>0</v>
      </c>
      <c r="K19" s="23">
        <f ca="1">SUMIF('事業所・施設 一覧'!$D$4:OFFSET('事業所・施設 一覧'!D2031,-1,0),"鴻巣市",'事業所・施設 一覧'!$U$4:OFFSET('事業所・施設 一覧'!U2031,-1,0))</f>
        <v>0</v>
      </c>
      <c r="L19" s="24">
        <f ca="1">COUNTIFS('事業所・施設 一覧'!$D$4:OFFSET('事業所・施設 一覧'!D2031,-1,0),"鴻巣市",'事業所・施設 一覧'!$V$4:OFFSET('事業所・施設 一覧'!V2031,-1,0),"&lt;&gt;")</f>
        <v>1</v>
      </c>
      <c r="M19" s="23">
        <f ca="1">SUMIF('事業所・施設 一覧'!$D$4:OFFSET('事業所・施設 一覧'!D2031,-1,0),"鴻巣市",'事業所・施設 一覧'!$V$4:OFFSET('事業所・施設 一覧'!V2031,-1,0))</f>
        <v>20</v>
      </c>
      <c r="N19" s="24">
        <f ca="1">COUNTIFS('事業所・施設 一覧'!$D$4:OFFSET('事業所・施設 一覧'!D2031,-1,0),"鴻巣市",'事業所・施設 一覧'!$W$4:OFFSET('事業所・施設 一覧'!W2031,-1,0),"&lt;&gt;")</f>
        <v>0</v>
      </c>
      <c r="O19" s="23">
        <f ca="1">SUMIF('事業所・施設 一覧'!$D$4:OFFSET('事業所・施設 一覧'!D2031,-1,0),"鴻巣市",'事業所・施設 一覧'!$W$4:OFFSET('事業所・施設 一覧'!W2031,-1,0))</f>
        <v>0</v>
      </c>
      <c r="P19" s="24">
        <f ca="1">COUNTIFS('事業所・施設 一覧'!$D$4:OFFSET('事業所・施設 一覧'!D2031,-1,0),"鴻巣市",'事業所・施設 一覧'!$X$4:OFFSET('事業所・施設 一覧'!X2031,-1,0),"&lt;&gt;")</f>
        <v>3</v>
      </c>
      <c r="Q19" s="23">
        <f ca="1">SUMIF('事業所・施設 一覧'!$D$4:OFFSET('事業所・施設 一覧'!D2031,-1,0),"鴻巣市",'事業所・施設 一覧'!$X$4:OFFSET('事業所・施設 一覧'!X2031,-1,0))</f>
        <v>50</v>
      </c>
      <c r="R19" s="24">
        <f ca="1">COUNTIFS('事業所・施設 一覧'!$D$4:OFFSET('事業所・施設 一覧'!D2031,-1,0),"鴻巣市",'事業所・施設 一覧'!$Z$4:OFFSET('事業所・施設 一覧'!Z2031,-1,0),"&lt;&gt;")</f>
        <v>1</v>
      </c>
      <c r="S19" s="23">
        <f ca="1">SUMIF('事業所・施設 一覧'!$D$4:OFFSET('事業所・施設 一覧'!D2031,-1,0),"鴻巣市",'事業所・施設 一覧'!$Z$4:OFFSET('事業所・施設 一覧'!Z2031,-1,0))</f>
        <v>15</v>
      </c>
      <c r="T19" s="24">
        <f ca="1">COUNTIFS('事業所・施設 一覧'!$D$4:OFFSET('事業所・施設 一覧'!D2031,-1,0),"鴻巣市",'事業所・施設 一覧'!$AA$4:OFFSET('事業所・施設 一覧'!AA2031,-1,0),"&lt;&gt;")</f>
        <v>8</v>
      </c>
      <c r="U19" s="25">
        <f ca="1">SUMIF('事業所・施設 一覧'!$D$4:OFFSET('事業所・施設 一覧'!D2031,-1,0),"鴻巣市",'事業所・施設 一覧'!$AA$4:OFFSET('事業所・施設 一覧'!AA2031,-1,0))</f>
        <v>127</v>
      </c>
      <c r="V19" s="24">
        <f ca="1">COUNTIFS('事業所・施設 一覧'!$D$4:OFFSET('事業所・施設 一覧'!D2031,-1,0),"鴻巣市",'事業所・施設 一覧'!$AB$4:OFFSET('事業所・施設 一覧'!AB2031,-1,0),"&lt;&gt;")</f>
        <v>2</v>
      </c>
      <c r="W19" s="25">
        <f ca="1">SUMIF('事業所・施設 一覧'!$D$4:OFFSET('事業所・施設 一覧'!D2031,-1,0),"鴻巣市",'事業所・施設 一覧'!$AB$4:OFFSET('事業所・施設 一覧'!AB2031,-1,0))</f>
        <v>0</v>
      </c>
      <c r="X19" s="24">
        <f ca="1">COUNTIFS('事業所・施設 一覧'!$D$4:OFFSET('事業所・施設 一覧'!D2031,-1,0),"鴻巣市",'事業所・施設 一覧'!$AC$4:OFFSET('事業所・施設 一覧'!AC2031,-1,0),"&lt;&gt;")</f>
        <v>0</v>
      </c>
      <c r="Y19" s="25">
        <f ca="1">SUMIF('事業所・施設 一覧'!$D$4:OFFSET('事業所・施設 一覧'!D2031,-1,0),"鴻巣市",'事業所・施設 一覧'!$AC$4:OFFSET('事業所・施設 一覧'!AC2031,-1,0))</f>
        <v>0</v>
      </c>
    </row>
    <row r="20" spans="1:25" ht="20.100000000000001" customHeight="1" x14ac:dyDescent="0.15">
      <c r="A20" s="13">
        <v>16</v>
      </c>
      <c r="B20" s="14" t="s">
        <v>865</v>
      </c>
      <c r="C20" s="2" t="s">
        <v>4094</v>
      </c>
      <c r="D20" s="22">
        <f ca="1">COUNTIFS('事業所・施設 一覧'!$D$4:OFFSET('事業所・施設 一覧'!D2031,-1,0),"深谷市",'事業所・施設 一覧'!$P$4:OFFSET('事業所・施設 一覧'!P2031,-1,0),"&lt;&gt;")</f>
        <v>6</v>
      </c>
      <c r="E20" s="23">
        <f ca="1">SUMIF('事業所・施設 一覧'!$D$4:OFFSET('事業所・施設 一覧'!D2031,-1,0),"深谷市",'事業所・施設 一覧'!$P$4:OFFSET('事業所・施設 一覧'!P2031,-1,0))</f>
        <v>300</v>
      </c>
      <c r="F20" s="24">
        <f ca="1">COUNTIFS('事業所・施設 一覧'!$D$4:OFFSET('事業所・施設 一覧'!D2031,-1,0),"深谷市",'事業所・施設 一覧'!$S$4:OFFSET('事業所・施設 一覧'!S2031,-1,0),"&lt;&gt;")</f>
        <v>0</v>
      </c>
      <c r="G20" s="23">
        <f ca="1">SUMIF('事業所・施設 一覧'!$D$4:OFFSET('事業所・施設 一覧'!D2031,-1,0),"深谷市",'事業所・施設 一覧'!$S$4:OFFSET('事業所・施設 一覧'!S2031,-1,0))</f>
        <v>0</v>
      </c>
      <c r="H20" s="24">
        <f ca="1">COUNTIFS('事業所・施設 一覧'!$D$4:OFFSET('事業所・施設 一覧'!D2031,-1,0),"深谷市",'事業所・施設 一覧'!$T$4:OFFSET('事業所・施設 一覧'!T2031,-1,0),"&lt;&gt;")</f>
        <v>23</v>
      </c>
      <c r="I20" s="23">
        <f ca="1">SUMIF('事業所・施設 一覧'!$D$4:OFFSET('事業所・施設 一覧'!D2031,-1,0),"深谷市",'事業所・施設 一覧'!$T$4:OFFSET('事業所・施設 一覧'!T2031,-1,0))</f>
        <v>666</v>
      </c>
      <c r="J20" s="24">
        <f ca="1">COUNTIFS('事業所・施設 一覧'!$D$4:OFFSET('事業所・施設 一覧'!D2031,-1,0),"深谷市",'事業所・施設 一覧'!$U$4:OFFSET('事業所・施設 一覧'!U2031,-1,0),"&lt;&gt;")</f>
        <v>1</v>
      </c>
      <c r="K20" s="23">
        <f ca="1">SUMIF('事業所・施設 一覧'!$D$4:OFFSET('事業所・施設 一覧'!D2031,-1,0),"深谷市",'事業所・施設 一覧'!$U$4:OFFSET('事業所・施設 一覧'!U2031,-1,0))</f>
        <v>35</v>
      </c>
      <c r="L20" s="24">
        <f ca="1">COUNTIFS('事業所・施設 一覧'!$D$4:OFFSET('事業所・施設 一覧'!D2031,-1,0),"深谷市",'事業所・施設 一覧'!$V$4:OFFSET('事業所・施設 一覧'!V2031,-1,0),"&lt;&gt;")</f>
        <v>0</v>
      </c>
      <c r="M20" s="23">
        <f ca="1">SUMIF('事業所・施設 一覧'!$D$4:OFFSET('事業所・施設 一覧'!D2031,-1,0),"深谷市",'事業所・施設 一覧'!$V$4:OFFSET('事業所・施設 一覧'!V2031,-1,0))</f>
        <v>0</v>
      </c>
      <c r="N20" s="24">
        <f ca="1">COUNTIFS('事業所・施設 一覧'!$D$4:OFFSET('事業所・施設 一覧'!D2031,-1,0),"深谷市",'事業所・施設 一覧'!$W$4:OFFSET('事業所・施設 一覧'!W2031,-1,0),"&lt;&gt;")</f>
        <v>0</v>
      </c>
      <c r="O20" s="23">
        <f ca="1">SUMIF('事業所・施設 一覧'!$D$4:OFFSET('事業所・施設 一覧'!D2031,-1,0),"深谷市",'事業所・施設 一覧'!$W$4:OFFSET('事業所・施設 一覧'!W2031,-1,0))</f>
        <v>0</v>
      </c>
      <c r="P20" s="24">
        <f ca="1">COUNTIFS('事業所・施設 一覧'!$D$4:OFFSET('事業所・施設 一覧'!D2031,-1,0),"深谷市",'事業所・施設 一覧'!$X$4:OFFSET('事業所・施設 一覧'!X2031,-1,0),"&lt;&gt;")</f>
        <v>2</v>
      </c>
      <c r="Q20" s="23">
        <f ca="1">SUMIF('事業所・施設 一覧'!$D$4:OFFSET('事業所・施設 一覧'!D2031,-1,0),"深谷市",'事業所・施設 一覧'!$X$4:OFFSET('事業所・施設 一覧'!X2031,-1,0))</f>
        <v>23</v>
      </c>
      <c r="R20" s="24">
        <f ca="1">COUNTIFS('事業所・施設 一覧'!$D$4:OFFSET('事業所・施設 一覧'!D2031,-1,0),"深谷市",'事業所・施設 一覧'!$Z$4:OFFSET('事業所・施設 一覧'!Z2031,-1,0),"&lt;&gt;")</f>
        <v>1</v>
      </c>
      <c r="S20" s="23">
        <f ca="1">SUMIF('事業所・施設 一覧'!$D$4:OFFSET('事業所・施設 一覧'!D2031,-1,0),"深谷市",'事業所・施設 一覧'!$Z$4:OFFSET('事業所・施設 一覧'!Z2031,-1,0))</f>
        <v>20</v>
      </c>
      <c r="T20" s="24">
        <f ca="1">COUNTIFS('事業所・施設 一覧'!$D$4:OFFSET('事業所・施設 一覧'!D2031,-1,0),"深谷市",'事業所・施設 一覧'!$AA$4:OFFSET('事業所・施設 一覧'!AA2031,-1,0),"&lt;&gt;")</f>
        <v>33</v>
      </c>
      <c r="U20" s="25">
        <f ca="1">SUMIF('事業所・施設 一覧'!$D$4:OFFSET('事業所・施設 一覧'!D2031,-1,0),"深谷市",'事業所・施設 一覧'!$AA$4:OFFSET('事業所・施設 一覧'!AA2031,-1,0))</f>
        <v>768</v>
      </c>
      <c r="V20" s="24">
        <f ca="1">COUNTIFS('事業所・施設 一覧'!$D$4:OFFSET('事業所・施設 一覧'!D2031,-1,0),"深谷市",'事業所・施設 一覧'!$AB$4:OFFSET('事業所・施設 一覧'!AB2031,-1,0),"&lt;&gt;")</f>
        <v>1</v>
      </c>
      <c r="W20" s="25">
        <f ca="1">SUMIF('事業所・施設 一覧'!$D$4:OFFSET('事業所・施設 一覧'!D2031,-1,0),"深谷市",'事業所・施設 一覧'!$AB$4:OFFSET('事業所・施設 一覧'!AB2031,-1,0))</f>
        <v>0</v>
      </c>
      <c r="X20" s="24">
        <f ca="1">COUNTIFS('事業所・施設 一覧'!$D$4:OFFSET('事業所・施設 一覧'!D2031,-1,0),"深谷市",'事業所・施設 一覧'!$AC$4:OFFSET('事業所・施設 一覧'!AC2031,-1,0),"&lt;&gt;")</f>
        <v>0</v>
      </c>
      <c r="Y20" s="25">
        <f ca="1">SUMIF('事業所・施設 一覧'!$D$4:OFFSET('事業所・施設 一覧'!D2031,-1,0),"深谷市",'事業所・施設 一覧'!$AC$4:OFFSET('事業所・施設 一覧'!AC2031,-1,0))</f>
        <v>0</v>
      </c>
    </row>
    <row r="21" spans="1:25" ht="20.100000000000001" customHeight="1" x14ac:dyDescent="0.15">
      <c r="A21" s="13">
        <v>17</v>
      </c>
      <c r="B21" s="14" t="s">
        <v>1013</v>
      </c>
      <c r="C21" s="2" t="s">
        <v>1973</v>
      </c>
      <c r="D21" s="22">
        <f ca="1">COUNTIFS('事業所・施設 一覧'!$D$4:OFFSET('事業所・施設 一覧'!D2031,-1,0),"上尾市",'事業所・施設 一覧'!$P$4:OFFSET('事業所・施設 一覧'!P2031,-1,0),"&lt;&gt;")</f>
        <v>2</v>
      </c>
      <c r="E21" s="23">
        <f ca="1">SUMIF('事業所・施設 一覧'!$D$4:OFFSET('事業所・施設 一覧'!D2031,-1,0),"上尾市",'事業所・施設 一覧'!$P$4:OFFSET('事業所・施設 一覧'!P2031,-1,0))</f>
        <v>170</v>
      </c>
      <c r="F21" s="24">
        <f ca="1">COUNTIFS('事業所・施設 一覧'!$D$4:OFFSET('事業所・施設 一覧'!D2031,-1,0),"上尾市",'事業所・施設 一覧'!$S$4:OFFSET('事業所・施設 一覧'!S2031,-1,0),"&lt;&gt;")</f>
        <v>0</v>
      </c>
      <c r="G21" s="23">
        <f ca="1">SUMIF('事業所・施設 一覧'!$D$4:OFFSET('事業所・施設 一覧'!D2031,-1,0),"上尾市",'事業所・施設 一覧'!$S$4:OFFSET('事業所・施設 一覧'!S2031,-1,0))</f>
        <v>0</v>
      </c>
      <c r="H21" s="24">
        <f ca="1">COUNTIFS('事業所・施設 一覧'!$D$4:OFFSET('事業所・施設 一覧'!D2031,-1,0),"上尾市",'事業所・施設 一覧'!$T$4:OFFSET('事業所・施設 一覧'!T2031,-1,0),"&lt;&gt;")</f>
        <v>16</v>
      </c>
      <c r="I21" s="23">
        <f ca="1">SUMIF('事業所・施設 一覧'!$D$4:OFFSET('事業所・施設 一覧'!D2031,-1,0),"上尾市",'事業所・施設 一覧'!$T$4:OFFSET('事業所・施設 一覧'!T2031,-1,0))</f>
        <v>457</v>
      </c>
      <c r="J21" s="24">
        <f ca="1">COUNTIFS('事業所・施設 一覧'!$D$4:OFFSET('事業所・施設 一覧'!D2031,-1,0),"上尾市",'事業所・施設 一覧'!$U$4:OFFSET('事業所・施設 一覧'!U2031,-1,0),"&lt;&gt;")</f>
        <v>1</v>
      </c>
      <c r="K21" s="23">
        <f ca="1">SUMIF('事業所・施設 一覧'!$D$4:OFFSET('事業所・施設 一覧'!D2031,-1,0),"上尾市",'事業所・施設 一覧'!$U$4:OFFSET('事業所・施設 一覧'!U2031,-1,0))</f>
        <v>40</v>
      </c>
      <c r="L21" s="24">
        <f ca="1">COUNTIFS('事業所・施設 一覧'!$D$4:OFFSET('事業所・施設 一覧'!D2031,-1,0),"上尾市",'事業所・施設 一覧'!$V$4:OFFSET('事業所・施設 一覧'!V2031,-1,0),"&lt;&gt;")</f>
        <v>2</v>
      </c>
      <c r="M21" s="23">
        <f ca="1">SUMIF('事業所・施設 一覧'!$D$4:OFFSET('事業所・施設 一覧'!D2031,-1,0),"上尾市",'事業所・施設 一覧'!$V$4:OFFSET('事業所・施設 一覧'!V2031,-1,0))</f>
        <v>26</v>
      </c>
      <c r="N21" s="24">
        <f ca="1">COUNTIFS('事業所・施設 一覧'!$D$4:OFFSET('事業所・施設 一覧'!D2031,-1,0),"上尾市",'事業所・施設 一覧'!$W$4:OFFSET('事業所・施設 一覧'!W2031,-1,0),"&lt;&gt;")</f>
        <v>0</v>
      </c>
      <c r="O21" s="23">
        <f ca="1">SUMIF('事業所・施設 一覧'!$D$4:OFFSET('事業所・施設 一覧'!D2031,-1,0),"上尾市",'事業所・施設 一覧'!$W$4:OFFSET('事業所・施設 一覧'!W2031,-1,0))</f>
        <v>0</v>
      </c>
      <c r="P21" s="24">
        <f ca="1">COUNTIFS('事業所・施設 一覧'!$D$4:OFFSET('事業所・施設 一覧'!D2031,-1,0),"上尾市",'事業所・施設 一覧'!$X$4:OFFSET('事業所・施設 一覧'!X2031,-1,0),"&lt;&gt;")</f>
        <v>8</v>
      </c>
      <c r="Q21" s="23">
        <f ca="1">SUMIF('事業所・施設 一覧'!$D$4:OFFSET('事業所・施設 一覧'!D2031,-1,0),"上尾市",'事業所・施設 一覧'!$X$4:OFFSET('事業所・施設 一覧'!X2031,-1,0))</f>
        <v>104</v>
      </c>
      <c r="R21" s="24">
        <f ca="1">COUNTIFS('事業所・施設 一覧'!$D$4:OFFSET('事業所・施設 一覧'!D2031,-1,0),"上尾市",'事業所・施設 一覧'!$Z$4:OFFSET('事業所・施設 一覧'!Z2031,-1,0),"&lt;&gt;")</f>
        <v>3</v>
      </c>
      <c r="S21" s="23">
        <f ca="1">SUMIF('事業所・施設 一覧'!$D$4:OFFSET('事業所・施設 一覧'!D2031,-1,0),"上尾市",'事業所・施設 一覧'!$Z$4:OFFSET('事業所・施設 一覧'!Z2031,-1,0))</f>
        <v>55</v>
      </c>
      <c r="T21" s="24">
        <f ca="1">COUNTIFS('事業所・施設 一覧'!$D$4:OFFSET('事業所・施設 一覧'!D2031,-1,0),"上尾市",'事業所・施設 一覧'!$AA$4:OFFSET('事業所・施設 一覧'!AA2031,-1,0),"&lt;&gt;")</f>
        <v>23</v>
      </c>
      <c r="U21" s="25">
        <f ca="1">SUMIF('事業所・施設 一覧'!$D$4:OFFSET('事業所・施設 一覧'!D2031,-1,0),"上尾市",'事業所・施設 一覧'!$AA$4:OFFSET('事業所・施設 一覧'!AA2031,-1,0))</f>
        <v>481</v>
      </c>
      <c r="V21" s="24">
        <f ca="1">COUNTIFS('事業所・施設 一覧'!$D$4:OFFSET('事業所・施設 一覧'!D2031,-1,0),"上尾市",'事業所・施設 一覧'!$AB$4:OFFSET('事業所・施設 一覧'!AB2031,-1,0),"&lt;&gt;")</f>
        <v>5</v>
      </c>
      <c r="W21" s="25">
        <f ca="1">SUMIF('事業所・施設 一覧'!$D$4:OFFSET('事業所・施設 一覧'!D2031,-1,0),"上尾市",'事業所・施設 一覧'!$AB$4:OFFSET('事業所・施設 一覧'!AB2031,-1,0))</f>
        <v>0</v>
      </c>
      <c r="X21" s="24">
        <f ca="1">COUNTIFS('事業所・施設 一覧'!$D$4:OFFSET('事業所・施設 一覧'!D2031,-1,0),"上尾市",'事業所・施設 一覧'!$AC$4:OFFSET('事業所・施設 一覧'!AC2031,-1,0),"&lt;&gt;")</f>
        <v>2</v>
      </c>
      <c r="Y21" s="25">
        <f ca="1">SUMIF('事業所・施設 一覧'!$D$4:OFFSET('事業所・施設 一覧'!D2031,-1,0),"上尾市",'事業所・施設 一覧'!$AC$4:OFFSET('事業所・施設 一覧'!AC2031,-1,0))</f>
        <v>20</v>
      </c>
    </row>
    <row r="22" spans="1:25" ht="20.100000000000001" customHeight="1" x14ac:dyDescent="0.15">
      <c r="A22" s="13">
        <v>18</v>
      </c>
      <c r="B22" s="14" t="s">
        <v>866</v>
      </c>
      <c r="C22" s="2" t="s">
        <v>4095</v>
      </c>
      <c r="D22" s="22">
        <f ca="1">COUNTIFS('事業所・施設 一覧'!$D$4:OFFSET('事業所・施設 一覧'!D2031,-1,0),"草加市",'事業所・施設 一覧'!$P$4:OFFSET('事業所・施設 一覧'!P2031,-1,0),"&lt;&gt;")</f>
        <v>1</v>
      </c>
      <c r="E22" s="23">
        <f ca="1">SUMIF('事業所・施設 一覧'!$D$4:OFFSET('事業所・施設 一覧'!D2031,-1,0),"草加市",'事業所・施設 一覧'!$P$4:OFFSET('事業所・施設 一覧'!P2031,-1,0))</f>
        <v>50</v>
      </c>
      <c r="F22" s="24">
        <f ca="1">COUNTIFS('事業所・施設 一覧'!$D$4:OFFSET('事業所・施設 一覧'!D2031,-1,0),"草加市",'事業所・施設 一覧'!$S$4:OFFSET('事業所・施設 一覧'!S2031,-1,0),"&lt;&gt;")</f>
        <v>0</v>
      </c>
      <c r="G22" s="23">
        <f ca="1">SUMIF('事業所・施設 一覧'!$D$4:OFFSET('事業所・施設 一覧'!D2031,-1,0),"草加市",'事業所・施設 一覧'!$S$4:OFFSET('事業所・施設 一覧'!S2031,-1,0))</f>
        <v>0</v>
      </c>
      <c r="H22" s="24">
        <f ca="1">COUNTIFS('事業所・施設 一覧'!$D$4:OFFSET('事業所・施設 一覧'!D2031,-1,0),"草加市",'事業所・施設 一覧'!$T$4:OFFSET('事業所・施設 一覧'!T2031,-1,0),"&lt;&gt;")</f>
        <v>16</v>
      </c>
      <c r="I22" s="23">
        <f ca="1">SUMIF('事業所・施設 一覧'!$D$4:OFFSET('事業所・施設 一覧'!D2031,-1,0),"草加市",'事業所・施設 一覧'!$T$4:OFFSET('事業所・施設 一覧'!T2031,-1,0))</f>
        <v>341</v>
      </c>
      <c r="J22" s="24">
        <f ca="1">COUNTIFS('事業所・施設 一覧'!$D$4:OFFSET('事業所・施設 一覧'!D2031,-1,0),"草加市",'事業所・施設 一覧'!$U$4:OFFSET('事業所・施設 一覧'!U2031,-1,0),"&lt;&gt;")</f>
        <v>0</v>
      </c>
      <c r="K22" s="23">
        <f ca="1">SUMIF('事業所・施設 一覧'!$D$4:OFFSET('事業所・施設 一覧'!D2031,-1,0),"草加市",'事業所・施設 一覧'!$U$4:OFFSET('事業所・施設 一覧'!U2031,-1,0))</f>
        <v>0</v>
      </c>
      <c r="L22" s="24">
        <f ca="1">COUNTIFS('事業所・施設 一覧'!$D$4:OFFSET('事業所・施設 一覧'!D2031,-1,0),"草加市",'事業所・施設 一覧'!$V$4:OFFSET('事業所・施設 一覧'!V2031,-1,0),"&lt;&gt;")</f>
        <v>4</v>
      </c>
      <c r="M22" s="23">
        <f ca="1">SUMIF('事業所・施設 一覧'!$D$4:OFFSET('事業所・施設 一覧'!D2031,-1,0),"草加市",'事業所・施設 一覧'!$V$4:OFFSET('事業所・施設 一覧'!V2031,-1,0))</f>
        <v>36</v>
      </c>
      <c r="N22" s="24">
        <f ca="1">COUNTIFS('事業所・施設 一覧'!$D$4:OFFSET('事業所・施設 一覧'!D2031,-1,0),"草加市",'事業所・施設 一覧'!$W$4:OFFSET('事業所・施設 一覧'!W2031,-1,0),"&lt;&gt;")</f>
        <v>0</v>
      </c>
      <c r="O22" s="23">
        <f ca="1">SUMIF('事業所・施設 一覧'!$D$4:OFFSET('事業所・施設 一覧'!D2031,-1,0),"草加市",'事業所・施設 一覧'!$W$4:OFFSET('事業所・施設 一覧'!W2031,-1,0))</f>
        <v>0</v>
      </c>
      <c r="P22" s="24">
        <f ca="1">COUNTIFS('事業所・施設 一覧'!$D$4:OFFSET('事業所・施設 一覧'!D2031,-1,0),"草加市",'事業所・施設 一覧'!$X$4:OFFSET('事業所・施設 一覧'!X2031,-1,0),"&lt;&gt;")</f>
        <v>7</v>
      </c>
      <c r="Q22" s="23">
        <f ca="1">SUMIF('事業所・施設 一覧'!$D$4:OFFSET('事業所・施設 一覧'!D2031,-1,0),"草加市",'事業所・施設 一覧'!$X$4:OFFSET('事業所・施設 一覧'!X2031,-1,0))</f>
        <v>106</v>
      </c>
      <c r="R22" s="24">
        <f ca="1">COUNTIFS('事業所・施設 一覧'!$D$4:OFFSET('事業所・施設 一覧'!D2031,-1,0),"草加市",'事業所・施設 一覧'!$Z$4:OFFSET('事業所・施設 一覧'!Z2031,-1,0),"&lt;&gt;")</f>
        <v>5</v>
      </c>
      <c r="S22" s="23">
        <f ca="1">SUMIF('事業所・施設 一覧'!$D$4:OFFSET('事業所・施設 一覧'!D2031,-1,0),"草加市",'事業所・施設 一覧'!$Z$4:OFFSET('事業所・施設 一覧'!Z2031,-1,0))</f>
        <v>90</v>
      </c>
      <c r="T22" s="24">
        <f ca="1">COUNTIFS('事業所・施設 一覧'!$D$4:OFFSET('事業所・施設 一覧'!D2031,-1,0),"草加市",'事業所・施設 一覧'!$AA$4:OFFSET('事業所・施設 一覧'!AA2031,-1,0),"&lt;&gt;")</f>
        <v>26</v>
      </c>
      <c r="U22" s="25">
        <f ca="1">SUMIF('事業所・施設 一覧'!$D$4:OFFSET('事業所・施設 一覧'!D2031,-1,0),"草加市",'事業所・施設 一覧'!$AA$4:OFFSET('事業所・施設 一覧'!AA2031,-1,0))</f>
        <v>508</v>
      </c>
      <c r="V22" s="24">
        <f ca="1">COUNTIFS('事業所・施設 一覧'!$D$4:OFFSET('事業所・施設 一覧'!D2031,-1,0),"草加市",'事業所・施設 一覧'!$AB$4:OFFSET('事業所・施設 一覧'!AB2031,-1,0),"&lt;&gt;")</f>
        <v>6</v>
      </c>
      <c r="W22" s="25">
        <f ca="1">SUMIF('事業所・施設 一覧'!$D$4:OFFSET('事業所・施設 一覧'!D2031,-1,0),"草加市",'事業所・施設 一覧'!$AB$4:OFFSET('事業所・施設 一覧'!AB2031,-1,0))</f>
        <v>0</v>
      </c>
      <c r="X22" s="24">
        <f ca="1">COUNTIFS('事業所・施設 一覧'!$D$4:OFFSET('事業所・施設 一覧'!D2031,-1,0),"草加市",'事業所・施設 一覧'!$AC$4:OFFSET('事業所・施設 一覧'!AC2031,-1,0),"&lt;&gt;")</f>
        <v>1</v>
      </c>
      <c r="Y22" s="25">
        <f ca="1">SUMIF('事業所・施設 一覧'!$D$4:OFFSET('事業所・施設 一覧'!D2031,-1,0),"草加市",'事業所・施設 一覧'!$AC$4:OFFSET('事業所・施設 一覧'!AC2031,-1,0))</f>
        <v>10</v>
      </c>
    </row>
    <row r="23" spans="1:25" ht="20.100000000000001" customHeight="1" x14ac:dyDescent="0.15">
      <c r="A23" s="13">
        <v>19</v>
      </c>
      <c r="B23" s="14" t="s">
        <v>866</v>
      </c>
      <c r="C23" s="2" t="s">
        <v>1869</v>
      </c>
      <c r="D23" s="22">
        <f ca="1">COUNTIFS('事業所・施設 一覧'!$D$4:OFFSET('事業所・施設 一覧'!D2031,-1,0),"越谷市",'事業所・施設 一覧'!$P$4:OFFSET('事業所・施設 一覧'!P2031,-1,0),"&lt;&gt;")</f>
        <v>3</v>
      </c>
      <c r="E23" s="23">
        <f ca="1">SUMIF('事業所・施設 一覧'!$D$4:OFFSET('事業所・施設 一覧'!D2031,-1,0),"越谷市",'事業所・施設 一覧'!$P$4:OFFSET('事業所・施設 一覧'!P2031,-1,0))</f>
        <v>153</v>
      </c>
      <c r="F23" s="24">
        <f ca="1">COUNTIFS('事業所・施設 一覧'!$D$4:OFFSET('事業所・施設 一覧'!D2031,-1,0),"越谷市",'事業所・施設 一覧'!$S$4:OFFSET('事業所・施設 一覧'!S2031,-1,0),"&lt;&gt;")</f>
        <v>0</v>
      </c>
      <c r="G23" s="23">
        <f ca="1">SUMIF('事業所・施設 一覧'!$D$4:OFFSET('事業所・施設 一覧'!D2031,-1,0),"越谷市",'事業所・施設 一覧'!$S$4:OFFSET('事業所・施設 一覧'!S2031,-1,0))</f>
        <v>0</v>
      </c>
      <c r="H23" s="24">
        <f ca="1">COUNTIFS('事業所・施設 一覧'!$D$4:OFFSET('事業所・施設 一覧'!D2031,-1,0),"越谷市",'事業所・施設 一覧'!$T$4:OFFSET('事業所・施設 一覧'!T2031,-1,0),"&lt;&gt;")</f>
        <v>32</v>
      </c>
      <c r="I23" s="23">
        <f ca="1">SUMIF('事業所・施設 一覧'!$D$4:OFFSET('事業所・施設 一覧'!D2031,-1,0),"越谷市",'事業所・施設 一覧'!$T$4:OFFSET('事業所・施設 一覧'!T2031,-1,0))</f>
        <v>691</v>
      </c>
      <c r="J23" s="24">
        <f ca="1">COUNTIFS('事業所・施設 一覧'!$D$4:OFFSET('事業所・施設 一覧'!D2031,-1,0),"越谷市",'事業所・施設 一覧'!$U$4:OFFSET('事業所・施設 一覧'!U2031,-1,0),"&lt;&gt;")</f>
        <v>0</v>
      </c>
      <c r="K23" s="23">
        <f ca="1">SUMIF('事業所・施設 一覧'!$D$4:OFFSET('事業所・施設 一覧'!D2031,-1,0),"越谷市",'事業所・施設 一覧'!$U$4:OFFSET('事業所・施設 一覧'!U2031,-1,0))</f>
        <v>0</v>
      </c>
      <c r="L23" s="24">
        <f ca="1">COUNTIFS('事業所・施設 一覧'!$D$4:OFFSET('事業所・施設 一覧'!D2031,-1,0),"越谷市",'事業所・施設 一覧'!$V$4:OFFSET('事業所・施設 一覧'!V2031,-1,0),"&lt;&gt;")</f>
        <v>4</v>
      </c>
      <c r="M23" s="23">
        <f ca="1">SUMIF('事業所・施設 一覧'!$D$4:OFFSET('事業所・施設 一覧'!D2031,-1,0),"越谷市",'事業所・施設 一覧'!$V$4:OFFSET('事業所・施設 一覧'!V2031,-1,0))</f>
        <v>70</v>
      </c>
      <c r="N23" s="24">
        <f ca="1">COUNTIFS('事業所・施設 一覧'!$D$4:OFFSET('事業所・施設 一覧'!D2031,-1,0),"越谷市",'事業所・施設 一覧'!$W$4:OFFSET('事業所・施設 一覧'!W2031,-1,0),"&lt;&gt;")</f>
        <v>0</v>
      </c>
      <c r="O23" s="23">
        <f ca="1">SUMIF('事業所・施設 一覧'!$D$4:OFFSET('事業所・施設 一覧'!D2031,-1,0),"越谷市",'事業所・施設 一覧'!$W$4:OFFSET('事業所・施設 一覧'!W2031,-1,0))</f>
        <v>0</v>
      </c>
      <c r="P23" s="24">
        <f ca="1">COUNTIFS('事業所・施設 一覧'!$D$4:OFFSET('事業所・施設 一覧'!D2031,-1,0),"越谷市",'事業所・施設 一覧'!$X$4:OFFSET('事業所・施設 一覧'!X2031,-1,0),"&lt;&gt;")</f>
        <v>7</v>
      </c>
      <c r="Q23" s="23">
        <f ca="1">SUMIF('事業所・施設 一覧'!$D$4:OFFSET('事業所・施設 一覧'!D2031,-1,0),"越谷市",'事業所・施設 一覧'!$X$4:OFFSET('事業所・施設 一覧'!X2031,-1,0))</f>
        <v>116</v>
      </c>
      <c r="R23" s="24">
        <f ca="1">COUNTIFS('事業所・施設 一覧'!$D$4:OFFSET('事業所・施設 一覧'!D2031,-1,0),"越谷市",'事業所・施設 一覧'!$Z$4:OFFSET('事業所・施設 一覧'!Z2031,-1,0),"&lt;&gt;")</f>
        <v>14</v>
      </c>
      <c r="S23" s="23">
        <f ca="1">SUMIF('事業所・施設 一覧'!$D$4:OFFSET('事業所・施設 一覧'!D2031,-1,0),"越谷市",'事業所・施設 一覧'!$Z$4:OFFSET('事業所・施設 一覧'!Z2031,-1,0))</f>
        <v>270</v>
      </c>
      <c r="T23" s="24">
        <f ca="1">COUNTIFS('事業所・施設 一覧'!$D$4:OFFSET('事業所・施設 一覧'!D2031,-1,0),"越谷市",'事業所・施設 一覧'!$AA$4:OFFSET('事業所・施設 一覧'!AA2031,-1,0),"&lt;&gt;")</f>
        <v>45</v>
      </c>
      <c r="U23" s="25">
        <f ca="1">SUMIF('事業所・施設 一覧'!$D$4:OFFSET('事業所・施設 一覧'!D2031,-1,0),"越谷市",'事業所・施設 一覧'!$AA$4:OFFSET('事業所・施設 一覧'!AA2031,-1,0))</f>
        <v>914</v>
      </c>
      <c r="V23" s="24">
        <f ca="1">COUNTIFS('事業所・施設 一覧'!$D$4:OFFSET('事業所・施設 一覧'!D2031,-1,0),"越谷市",'事業所・施設 一覧'!$AB$4:OFFSET('事業所・施設 一覧'!AB2031,-1,0),"&lt;&gt;")</f>
        <v>11</v>
      </c>
      <c r="W23" s="25">
        <f ca="1">SUMIF('事業所・施設 一覧'!$D$4:OFFSET('事業所・施設 一覧'!D2031,-1,0),"越谷市",'事業所・施設 一覧'!$AB$4:OFFSET('事業所・施設 一覧'!AB2031,-1,0))</f>
        <v>0</v>
      </c>
      <c r="X23" s="24">
        <f ca="1">COUNTIFS('事業所・施設 一覧'!$D$4:OFFSET('事業所・施設 一覧'!D2031,-1,0),"越谷市",'事業所・施設 一覧'!$AC$4:OFFSET('事業所・施設 一覧'!AC2031,-1,0),"&lt;&gt;")</f>
        <v>2</v>
      </c>
      <c r="Y23" s="25">
        <f ca="1">SUMIF('事業所・施設 一覧'!$D$4:OFFSET('事業所・施設 一覧'!D2031,-1,0),"越谷市",'事業所・施設 一覧'!$AC$4:OFFSET('事業所・施設 一覧'!AC2031,-1,0))</f>
        <v>20</v>
      </c>
    </row>
    <row r="24" spans="1:25" ht="20.100000000000001" customHeight="1" x14ac:dyDescent="0.15">
      <c r="A24" s="13">
        <v>20</v>
      </c>
      <c r="B24" s="14" t="s">
        <v>1012</v>
      </c>
      <c r="C24" s="2" t="s">
        <v>4096</v>
      </c>
      <c r="D24" s="22">
        <f ca="1">COUNTIFS('事業所・施設 一覧'!$D$4:OFFSET('事業所・施設 一覧'!D2031,-1,0),"蕨市",'事業所・施設 一覧'!$P$4:OFFSET('事業所・施設 一覧'!P2031,-1,0),"&lt;&gt;")</f>
        <v>0</v>
      </c>
      <c r="E24" s="23">
        <f ca="1">SUMIF('事業所・施設 一覧'!$D$4:OFFSET('事業所・施設 一覧'!D2031,-1,0),"蕨市",'事業所・施設 一覧'!$P$4:OFFSET('事業所・施設 一覧'!P2031,-1,0))</f>
        <v>0</v>
      </c>
      <c r="F24" s="24">
        <f ca="1">COUNTIFS('事業所・施設 一覧'!$D$4:OFFSET('事業所・施設 一覧'!D2031,-1,0),"蕨市",'事業所・施設 一覧'!$S$4:OFFSET('事業所・施設 一覧'!S2031,-1,0),"&lt;&gt;")</f>
        <v>0</v>
      </c>
      <c r="G24" s="23">
        <f ca="1">SUMIF('事業所・施設 一覧'!$D$4:OFFSET('事業所・施設 一覧'!D2031,-1,0),"蕨市",'事業所・施設 一覧'!$S$4:OFFSET('事業所・施設 一覧'!S2031,-1,0))</f>
        <v>0</v>
      </c>
      <c r="H24" s="24">
        <f ca="1">COUNTIFS('事業所・施設 一覧'!$D$4:OFFSET('事業所・施設 一覧'!D2031,-1,0),"蕨市",'事業所・施設 一覧'!$T$4:OFFSET('事業所・施設 一覧'!T2031,-1,0),"&lt;&gt;")</f>
        <v>2</v>
      </c>
      <c r="I24" s="23">
        <f ca="1">SUMIF('事業所・施設 一覧'!$D$4:OFFSET('事業所・施設 一覧'!D2031,-1,0),"蕨市",'事業所・施設 一覧'!$T$4:OFFSET('事業所・施設 一覧'!T2031,-1,0))</f>
        <v>60</v>
      </c>
      <c r="J24" s="24">
        <f ca="1">COUNTIFS('事業所・施設 一覧'!$D$4:OFFSET('事業所・施設 一覧'!D2031,-1,0),"蕨市",'事業所・施設 一覧'!$U$4:OFFSET('事業所・施設 一覧'!U2031,-1,0),"&lt;&gt;")</f>
        <v>0</v>
      </c>
      <c r="K24" s="23">
        <f ca="1">SUMIF('事業所・施設 一覧'!$D$4:OFFSET('事業所・施設 一覧'!D2031,-1,0),"蕨市",'事業所・施設 一覧'!$U$4:OFFSET('事業所・施設 一覧'!U2031,-1,0))</f>
        <v>0</v>
      </c>
      <c r="L24" s="24">
        <f ca="1">COUNTIFS('事業所・施設 一覧'!$D$4:OFFSET('事業所・施設 一覧'!D2031,-1,0),"蕨市",'事業所・施設 一覧'!$V$4:OFFSET('事業所・施設 一覧'!V2031,-1,0),"&lt;&gt;")</f>
        <v>0</v>
      </c>
      <c r="M24" s="23">
        <f ca="1">SUMIF('事業所・施設 一覧'!$D$4:OFFSET('事業所・施設 一覧'!D2031,-1,0),"蕨市",'事業所・施設 一覧'!$V$4:OFFSET('事業所・施設 一覧'!V2031,-1,0))</f>
        <v>0</v>
      </c>
      <c r="N24" s="24">
        <f ca="1">COUNTIFS('事業所・施設 一覧'!$D$4:OFFSET('事業所・施設 一覧'!D2031,-1,0),"蕨市",'事業所・施設 一覧'!$W$4:OFFSET('事業所・施設 一覧'!W2031,-1,0),"&lt;&gt;")</f>
        <v>0</v>
      </c>
      <c r="O24" s="23">
        <f ca="1">SUMIF('事業所・施設 一覧'!$D$4:OFFSET('事業所・施設 一覧'!D2031,-1,0),"蕨市",'事業所・施設 一覧'!$W$4:OFFSET('事業所・施設 一覧'!W2031,-1,0))</f>
        <v>0</v>
      </c>
      <c r="P24" s="24">
        <f ca="1">COUNTIFS('事業所・施設 一覧'!$D$4:OFFSET('事業所・施設 一覧'!D2031,-1,0),"蕨市",'事業所・施設 一覧'!$X$4:OFFSET('事業所・施設 一覧'!X2031,-1,0),"&lt;&gt;")</f>
        <v>1</v>
      </c>
      <c r="Q24" s="23">
        <f ca="1">SUMIF('事業所・施設 一覧'!$D$4:OFFSET('事業所・施設 一覧'!D2031,-1,0),"蕨市",'事業所・施設 一覧'!$X$4:OFFSET('事業所・施設 一覧'!X2031,-1,0))</f>
        <v>18</v>
      </c>
      <c r="R24" s="24">
        <f ca="1">COUNTIFS('事業所・施設 一覧'!$D$4:OFFSET('事業所・施設 一覧'!D2031,-1,0),"蕨市",'事業所・施設 一覧'!$Z$4:OFFSET('事業所・施設 一覧'!Z2031,-1,0),"&lt;&gt;")</f>
        <v>2</v>
      </c>
      <c r="S24" s="23">
        <f ca="1">SUMIF('事業所・施設 一覧'!$D$4:OFFSET('事業所・施設 一覧'!D2031,-1,0),"蕨市",'事業所・施設 一覧'!$Z$4:OFFSET('事業所・施設 一覧'!Z2031,-1,0))</f>
        <v>36</v>
      </c>
      <c r="T24" s="24">
        <f ca="1">COUNTIFS('事業所・施設 一覧'!$D$4:OFFSET('事業所・施設 一覧'!D2031,-1,0),"蕨市",'事業所・施設 一覧'!$AA$4:OFFSET('事業所・施設 一覧'!AA2031,-1,0),"&lt;&gt;")</f>
        <v>5</v>
      </c>
      <c r="U24" s="25">
        <f ca="1">SUMIF('事業所・施設 一覧'!$D$4:OFFSET('事業所・施設 一覧'!D2031,-1,0),"蕨市",'事業所・施設 一覧'!$AA$4:OFFSET('事業所・施設 一覧'!AA2031,-1,0))</f>
        <v>100</v>
      </c>
      <c r="V24" s="24">
        <f ca="1">COUNTIFS('事業所・施設 一覧'!$D$4:OFFSET('事業所・施設 一覧'!D2031,-1,0),"蕨市",'事業所・施設 一覧'!$AB$4:OFFSET('事業所・施設 一覧'!AB2031,-1,0),"&lt;&gt;")</f>
        <v>1</v>
      </c>
      <c r="W24" s="25">
        <f ca="1">SUMIF('事業所・施設 一覧'!$D$4:OFFSET('事業所・施設 一覧'!D2031,-1,0),"蕨市",'事業所・施設 一覧'!$AB$4:OFFSET('事業所・施設 一覧'!AB2031,-1,0))</f>
        <v>0</v>
      </c>
      <c r="X24" s="24">
        <f ca="1">COUNTIFS('事業所・施設 一覧'!$D$4:OFFSET('事業所・施設 一覧'!D2031,-1,0),"蕨市",'事業所・施設 一覧'!$AC$4:OFFSET('事業所・施設 一覧'!AC2031,-1,0),"&lt;&gt;")</f>
        <v>1</v>
      </c>
      <c r="Y24" s="25">
        <f ca="1">SUMIF('事業所・施設 一覧'!$D$4:OFFSET('事業所・施設 一覧'!D2031,-1,0),"蕨市",'事業所・施設 一覧'!$AC$4:OFFSET('事業所・施設 一覧'!AC2031,-1,0))</f>
        <v>10</v>
      </c>
    </row>
    <row r="25" spans="1:25" ht="20.100000000000001" customHeight="1" x14ac:dyDescent="0.15">
      <c r="A25" s="13">
        <v>21</v>
      </c>
      <c r="B25" s="14" t="s">
        <v>1012</v>
      </c>
      <c r="C25" s="2" t="s">
        <v>4097</v>
      </c>
      <c r="D25" s="22">
        <f ca="1">COUNTIFS('事業所・施設 一覧'!$D$4:OFFSET('事業所・施設 一覧'!D2031,-1,0),"戸田市",'事業所・施設 一覧'!$P$4:OFFSET('事業所・施設 一覧'!P2031,-1,0),"&lt;&gt;")</f>
        <v>0</v>
      </c>
      <c r="E25" s="23">
        <f ca="1">SUMIF('事業所・施設 一覧'!$D$4:OFFSET('事業所・施設 一覧'!D2031,-1,0),"戸田市",'事業所・施設 一覧'!$P$4:OFFSET('事業所・施設 一覧'!P2031,-1,0))</f>
        <v>0</v>
      </c>
      <c r="F25" s="24">
        <f ca="1">COUNTIFS('事業所・施設 一覧'!$D$4:OFFSET('事業所・施設 一覧'!D2031,-1,0),"戸田市",'事業所・施設 一覧'!$S$4:OFFSET('事業所・施設 一覧'!S2031,-1,0),"&lt;&gt;")</f>
        <v>0</v>
      </c>
      <c r="G25" s="23">
        <f ca="1">SUMIF('事業所・施設 一覧'!$D$4:OFFSET('事業所・施設 一覧'!D2031,-1,0),"戸田市",'事業所・施設 一覧'!$S$4:OFFSET('事業所・施設 一覧'!S2031,-1,0))</f>
        <v>0</v>
      </c>
      <c r="H25" s="24">
        <f ca="1">COUNTIFS('事業所・施設 一覧'!$D$4:OFFSET('事業所・施設 一覧'!D2031,-1,0),"戸田市",'事業所・施設 一覧'!$T$4:OFFSET('事業所・施設 一覧'!T2031,-1,0),"&lt;&gt;")</f>
        <v>3</v>
      </c>
      <c r="I25" s="23">
        <f ca="1">SUMIF('事業所・施設 一覧'!$D$4:OFFSET('事業所・施設 一覧'!D2031,-1,0),"戸田市",'事業所・施設 一覧'!$T$4:OFFSET('事業所・施設 一覧'!T2031,-1,0))</f>
        <v>90</v>
      </c>
      <c r="J25" s="24">
        <f ca="1">COUNTIFS('事業所・施設 一覧'!$D$4:OFFSET('事業所・施設 一覧'!D2031,-1,0),"戸田市",'事業所・施設 一覧'!$U$4:OFFSET('事業所・施設 一覧'!U2031,-1,0),"&lt;&gt;")</f>
        <v>0</v>
      </c>
      <c r="K25" s="23">
        <f ca="1">SUMIF('事業所・施設 一覧'!$D$4:OFFSET('事業所・施設 一覧'!D2031,-1,0),"戸田市",'事業所・施設 一覧'!$U$4:OFFSET('事業所・施設 一覧'!U2031,-1,0))</f>
        <v>0</v>
      </c>
      <c r="L25" s="24">
        <f ca="1">COUNTIFS('事業所・施設 一覧'!$D$4:OFFSET('事業所・施設 一覧'!D2031,-1,0),"戸田市",'事業所・施設 一覧'!$V$4:OFFSET('事業所・施設 一覧'!V2031,-1,0),"&lt;&gt;")</f>
        <v>1</v>
      </c>
      <c r="M25" s="23">
        <f ca="1">SUMIF('事業所・施設 一覧'!$D$4:OFFSET('事業所・施設 一覧'!D2031,-1,0),"戸田市",'事業所・施設 一覧'!$V$4:OFFSET('事業所・施設 一覧'!V2031,-1,0))</f>
        <v>10</v>
      </c>
      <c r="N25" s="24">
        <f ca="1">COUNTIFS('事業所・施設 一覧'!$D$4:OFFSET('事業所・施設 一覧'!D2031,-1,0),"戸田市",'事業所・施設 一覧'!$W$4:OFFSET('事業所・施設 一覧'!W2031,-1,0),"&lt;&gt;")</f>
        <v>0</v>
      </c>
      <c r="O25" s="23">
        <f ca="1">SUMIF('事業所・施設 一覧'!$D$4:OFFSET('事業所・施設 一覧'!D2031,-1,0),"戸田市",'事業所・施設 一覧'!$W$4:OFFSET('事業所・施設 一覧'!W2031,-1,0))</f>
        <v>0</v>
      </c>
      <c r="P25" s="24">
        <f ca="1">COUNTIFS('事業所・施設 一覧'!$D$4:OFFSET('事業所・施設 一覧'!D2031,-1,0),"戸田市",'事業所・施設 一覧'!$X$4:OFFSET('事業所・施設 一覧'!X2031,-1,0),"&lt;&gt;")</f>
        <v>2</v>
      </c>
      <c r="Q25" s="23">
        <f ca="1">SUMIF('事業所・施設 一覧'!$D$4:OFFSET('事業所・施設 一覧'!D2031,-1,0),"戸田市",'事業所・施設 一覧'!$X$4:OFFSET('事業所・施設 一覧'!X2031,-1,0))</f>
        <v>16</v>
      </c>
      <c r="R25" s="24">
        <f ca="1">COUNTIFS('事業所・施設 一覧'!$D$4:OFFSET('事業所・施設 一覧'!D2031,-1,0),"戸田市",'事業所・施設 一覧'!$Z$4:OFFSET('事業所・施設 一覧'!Z2031,-1,0),"&lt;&gt;")</f>
        <v>0</v>
      </c>
      <c r="S25" s="23">
        <f ca="1">SUMIF('事業所・施設 一覧'!$D$4:OFFSET('事業所・施設 一覧'!D2031,-1,0),"戸田市",'事業所・施設 一覧'!$Z$4:OFFSET('事業所・施設 一覧'!Z2031,-1,0))</f>
        <v>0</v>
      </c>
      <c r="T25" s="24">
        <f ca="1">COUNTIFS('事業所・施設 一覧'!$D$4:OFFSET('事業所・施設 一覧'!D2031,-1,0),"戸田市",'事業所・施設 一覧'!$AA$4:OFFSET('事業所・施設 一覧'!AA2031,-1,0),"&lt;&gt;")</f>
        <v>10</v>
      </c>
      <c r="U25" s="25">
        <f ca="1">SUMIF('事業所・施設 一覧'!$D$4:OFFSET('事業所・施設 一覧'!D2031,-1,0),"戸田市",'事業所・施設 一覧'!$AA$4:OFFSET('事業所・施設 一覧'!AA2031,-1,0))</f>
        <v>200</v>
      </c>
      <c r="V25" s="24">
        <f ca="1">COUNTIFS('事業所・施設 一覧'!$D$4:OFFSET('事業所・施設 一覧'!D2031,-1,0),"戸田市",'事業所・施設 一覧'!$AB$4:OFFSET('事業所・施設 一覧'!AB2031,-1,0),"&lt;&gt;")</f>
        <v>0</v>
      </c>
      <c r="W25" s="25">
        <f ca="1">SUMIF('事業所・施設 一覧'!$D$4:OFFSET('事業所・施設 一覧'!D2031,-1,0),"戸田市",'事業所・施設 一覧'!$AB$4:OFFSET('事業所・施設 一覧'!AB2031,-1,0))</f>
        <v>0</v>
      </c>
      <c r="X25" s="24">
        <f ca="1">COUNTIFS('事業所・施設 一覧'!$D$4:OFFSET('事業所・施設 一覧'!D2031,-1,0),"戸田市",'事業所・施設 一覧'!$AC$4:OFFSET('事業所・施設 一覧'!AC2031,-1,0),"&lt;&gt;")</f>
        <v>0</v>
      </c>
      <c r="Y25" s="25">
        <f ca="1">SUMIF('事業所・施設 一覧'!$D$4:OFFSET('事業所・施設 一覧'!D2031,-1,0),"戸田市",'事業所・施設 一覧'!$AC$4:OFFSET('事業所・施設 一覧'!AC2031,-1,0))</f>
        <v>0</v>
      </c>
    </row>
    <row r="26" spans="1:25" ht="20.100000000000001" customHeight="1" x14ac:dyDescent="0.15">
      <c r="A26" s="13">
        <v>22</v>
      </c>
      <c r="B26" s="14" t="s">
        <v>864</v>
      </c>
      <c r="C26" s="2" t="s">
        <v>4098</v>
      </c>
      <c r="D26" s="22">
        <f ca="1">COUNTIFS('事業所・施設 一覧'!$D$4:OFFSET('事業所・施設 一覧'!D2031,-1,0),"入間市",'事業所・施設 一覧'!$P$4:OFFSET('事業所・施設 一覧'!P2031,-1,0),"&lt;&gt;")</f>
        <v>3</v>
      </c>
      <c r="E26" s="23">
        <f ca="1">SUMIF('事業所・施設 一覧'!$D$4:OFFSET('事業所・施設 一覧'!D2031,-1,0),"入間市",'事業所・施設 一覧'!$P$4:OFFSET('事業所・施設 一覧'!P2031,-1,0))</f>
        <v>154</v>
      </c>
      <c r="F26" s="24">
        <f ca="1">COUNTIFS('事業所・施設 一覧'!$D$4:OFFSET('事業所・施設 一覧'!D2031,-1,0),"入間市",'事業所・施設 一覧'!$S$4:OFFSET('事業所・施設 一覧'!S2031,-1,0),"&lt;&gt;")</f>
        <v>0</v>
      </c>
      <c r="G26" s="23">
        <f ca="1">SUMIF('事業所・施設 一覧'!$D$4:OFFSET('事業所・施設 一覧'!D2031,-1,0),"入間市",'事業所・施設 一覧'!$S$4:OFFSET('事業所・施設 一覧'!S2031,-1,0))</f>
        <v>0</v>
      </c>
      <c r="H26" s="24">
        <f ca="1">COUNTIFS('事業所・施設 一覧'!$D$4:OFFSET('事業所・施設 一覧'!D2031,-1,0),"入間市",'事業所・施設 一覧'!$T$4:OFFSET('事業所・施設 一覧'!T2031,-1,0),"&lt;&gt;")</f>
        <v>7</v>
      </c>
      <c r="I26" s="23">
        <f ca="1">SUMIF('事業所・施設 一覧'!$D$4:OFFSET('事業所・施設 一覧'!D2031,-1,0),"入間市",'事業所・施設 一覧'!$T$4:OFFSET('事業所・施設 一覧'!T2031,-1,0))</f>
        <v>274</v>
      </c>
      <c r="J26" s="24">
        <f ca="1">COUNTIFS('事業所・施設 一覧'!$D$4:OFFSET('事業所・施設 一覧'!D2031,-1,0),"入間市",'事業所・施設 一覧'!$U$4:OFFSET('事業所・施設 一覧'!U2031,-1,0),"&lt;&gt;")</f>
        <v>0</v>
      </c>
      <c r="K26" s="23">
        <f ca="1">SUMIF('事業所・施設 一覧'!$D$4:OFFSET('事業所・施設 一覧'!D2031,-1,0),"入間市",'事業所・施設 一覧'!$U$4:OFFSET('事業所・施設 一覧'!U2031,-1,0))</f>
        <v>0</v>
      </c>
      <c r="L26" s="24">
        <f ca="1">COUNTIFS('事業所・施設 一覧'!$D$4:OFFSET('事業所・施設 一覧'!D2031,-1,0),"入間市",'事業所・施設 一覧'!$V$4:OFFSET('事業所・施設 一覧'!V2031,-1,0),"&lt;&gt;")</f>
        <v>0</v>
      </c>
      <c r="M26" s="23">
        <f ca="1">SUMIF('事業所・施設 一覧'!$D$4:OFFSET('事業所・施設 一覧'!D2031,-1,0),"入間市",'事業所・施設 一覧'!$V$4:OFFSET('事業所・施設 一覧'!V2031,-1,0))</f>
        <v>0</v>
      </c>
      <c r="N26" s="24">
        <f ca="1">COUNTIFS('事業所・施設 一覧'!$D$4:OFFSET('事業所・施設 一覧'!D2031,-1,0),"入間市",'事業所・施設 一覧'!$W$4:OFFSET('事業所・施設 一覧'!W2031,-1,0),"&lt;&gt;")</f>
        <v>0</v>
      </c>
      <c r="O26" s="23">
        <f ca="1">SUMIF('事業所・施設 一覧'!$D$4:OFFSET('事業所・施設 一覧'!D2031,-1,0),"入間市",'事業所・施設 一覧'!$W$4:OFFSET('事業所・施設 一覧'!W2031,-1,0))</f>
        <v>0</v>
      </c>
      <c r="P26" s="24">
        <f ca="1">COUNTIFS('事業所・施設 一覧'!$D$4:OFFSET('事業所・施設 一覧'!D2031,-1,0),"入間市",'事業所・施設 一覧'!$X$4:OFFSET('事業所・施設 一覧'!X2031,-1,0),"&lt;&gt;")</f>
        <v>2</v>
      </c>
      <c r="Q26" s="23">
        <f ca="1">SUMIF('事業所・施設 一覧'!$D$4:OFFSET('事業所・施設 一覧'!D2031,-1,0),"入間市",'事業所・施設 一覧'!$X$4:OFFSET('事業所・施設 一覧'!X2031,-1,0))</f>
        <v>26</v>
      </c>
      <c r="R26" s="24">
        <f ca="1">COUNTIFS('事業所・施設 一覧'!$D$4:OFFSET('事業所・施設 一覧'!D2031,-1,0),"入間市",'事業所・施設 一覧'!$Z$4:OFFSET('事業所・施設 一覧'!Z2031,-1,0),"&lt;&gt;")</f>
        <v>1</v>
      </c>
      <c r="S26" s="23">
        <f ca="1">SUMIF('事業所・施設 一覧'!$D$4:OFFSET('事業所・施設 一覧'!D2031,-1,0),"入間市",'事業所・施設 一覧'!$Z$4:OFFSET('事業所・施設 一覧'!Z2031,-1,0))</f>
        <v>40</v>
      </c>
      <c r="T26" s="24">
        <f ca="1">COUNTIFS('事業所・施設 一覧'!$D$4:OFFSET('事業所・施設 一覧'!D2031,-1,0),"入間市",'事業所・施設 一覧'!$AA$4:OFFSET('事業所・施設 一覧'!AA2031,-1,0),"&lt;&gt;")</f>
        <v>15</v>
      </c>
      <c r="U26" s="25">
        <f ca="1">SUMIF('事業所・施設 一覧'!$D$4:OFFSET('事業所・施設 一覧'!D2031,-1,0),"入間市",'事業所・施設 一覧'!$AA$4:OFFSET('事業所・施設 一覧'!AA2031,-1,0))</f>
        <v>449</v>
      </c>
      <c r="V26" s="24">
        <f ca="1">COUNTIFS('事業所・施設 一覧'!$D$4:OFFSET('事業所・施設 一覧'!D2031,-1,0),"入間市",'事業所・施設 一覧'!$AB$4:OFFSET('事業所・施設 一覧'!AB2031,-1,0),"&lt;&gt;")</f>
        <v>2</v>
      </c>
      <c r="W26" s="25">
        <f ca="1">SUMIF('事業所・施設 一覧'!$D$4:OFFSET('事業所・施設 一覧'!D2031,-1,0),"入間市",'事業所・施設 一覧'!$AB$4:OFFSET('事業所・施設 一覧'!AB2031,-1,0))</f>
        <v>0</v>
      </c>
      <c r="X26" s="24">
        <f ca="1">COUNTIFS('事業所・施設 一覧'!$D$4:OFFSET('事業所・施設 一覧'!D2031,-1,0),"入間市",'事業所・施設 一覧'!$AC$4:OFFSET('事業所・施設 一覧'!AC2031,-1,0),"&lt;&gt;")</f>
        <v>0</v>
      </c>
      <c r="Y26" s="25">
        <f ca="1">SUMIF('事業所・施設 一覧'!$D$4:OFFSET('事業所・施設 一覧'!D2031,-1,0),"入間市",'事業所・施設 一覧'!$AC$4:OFFSET('事業所・施設 一覧'!AC2031,-1,0))</f>
        <v>0</v>
      </c>
    </row>
    <row r="27" spans="1:25" ht="20.100000000000001" customHeight="1" x14ac:dyDescent="0.15">
      <c r="A27" s="13">
        <v>23</v>
      </c>
      <c r="B27" s="14" t="s">
        <v>1011</v>
      </c>
      <c r="C27" s="2" t="s">
        <v>4099</v>
      </c>
      <c r="D27" s="22">
        <f ca="1">COUNTIFS('事業所・施設 一覧'!$D$4:OFFSET('事業所・施設 一覧'!D2031,-1,0),"朝霞市",'事業所・施設 一覧'!$P$4:OFFSET('事業所・施設 一覧'!P2031,-1,0),"&lt;&gt;")</f>
        <v>1</v>
      </c>
      <c r="E27" s="23">
        <f ca="1">SUMIF('事業所・施設 一覧'!$D$4:OFFSET('事業所・施設 一覧'!D2031,-1,0),"朝霞市",'事業所・施設 一覧'!$P$4:OFFSET('事業所・施設 一覧'!P2031,-1,0))</f>
        <v>40</v>
      </c>
      <c r="F27" s="24">
        <f ca="1">COUNTIFS('事業所・施設 一覧'!$D$4:OFFSET('事業所・施設 一覧'!D2031,-1,0),"朝霞市",'事業所・施設 一覧'!$S$4:OFFSET('事業所・施設 一覧'!S2031,-1,0),"&lt;&gt;")</f>
        <v>0</v>
      </c>
      <c r="G27" s="23">
        <f ca="1">SUMIF('事業所・施設 一覧'!$D$4:OFFSET('事業所・施設 一覧'!D2031,-1,0),"朝霞市",'事業所・施設 一覧'!$S$4:OFFSET('事業所・施設 一覧'!S2031,-1,0))</f>
        <v>0</v>
      </c>
      <c r="H27" s="24">
        <f ca="1">COUNTIFS('事業所・施設 一覧'!$D$4:OFFSET('事業所・施設 一覧'!D2031,-1,0),"朝霞市",'事業所・施設 一覧'!$T$4:OFFSET('事業所・施設 一覧'!T2031,-1,0),"&lt;&gt;")</f>
        <v>7</v>
      </c>
      <c r="I27" s="23">
        <f ca="1">SUMIF('事業所・施設 一覧'!$D$4:OFFSET('事業所・施設 一覧'!D2031,-1,0),"朝霞市",'事業所・施設 一覧'!$T$4:OFFSET('事業所・施設 一覧'!T2031,-1,0))</f>
        <v>191</v>
      </c>
      <c r="J27" s="24">
        <f ca="1">COUNTIFS('事業所・施設 一覧'!$D$4:OFFSET('事業所・施設 一覧'!D2031,-1,0),"朝霞市",'事業所・施設 一覧'!$U$4:OFFSET('事業所・施設 一覧'!U2031,-1,0),"&lt;&gt;")</f>
        <v>0</v>
      </c>
      <c r="K27" s="23">
        <f ca="1">SUMIF('事業所・施設 一覧'!$D$4:OFFSET('事業所・施設 一覧'!D2031,-1,0),"朝霞市",'事業所・施設 一覧'!$U$4:OFFSET('事業所・施設 一覧'!U2031,-1,0))</f>
        <v>0</v>
      </c>
      <c r="L27" s="24">
        <f ca="1">COUNTIFS('事業所・施設 一覧'!$D$4:OFFSET('事業所・施設 一覧'!D2031,-1,0),"朝霞市",'事業所・施設 一覧'!$V$4:OFFSET('事業所・施設 一覧'!V2031,-1,0),"&lt;&gt;")</f>
        <v>2</v>
      </c>
      <c r="M27" s="23">
        <f ca="1">SUMIF('事業所・施設 一覧'!$D$4:OFFSET('事業所・施設 一覧'!D2031,-1,0),"朝霞市",'事業所・施設 一覧'!$V$4:OFFSET('事業所・施設 一覧'!V2031,-1,0))</f>
        <v>30</v>
      </c>
      <c r="N27" s="24">
        <f ca="1">COUNTIFS('事業所・施設 一覧'!$D$4:OFFSET('事業所・施設 一覧'!D2031,-1,0),"朝霞市",'事業所・施設 一覧'!$W$4:OFFSET('事業所・施設 一覧'!W2031,-1,0),"&lt;&gt;")</f>
        <v>0</v>
      </c>
      <c r="O27" s="23">
        <f ca="1">SUMIF('事業所・施設 一覧'!$D$4:OFFSET('事業所・施設 一覧'!D2031,-1,0),"朝霞市",'事業所・施設 一覧'!$W$4:OFFSET('事業所・施設 一覧'!W2031,-1,0))</f>
        <v>0</v>
      </c>
      <c r="P27" s="24">
        <f ca="1">COUNTIFS('事業所・施設 一覧'!$D$4:OFFSET('事業所・施設 一覧'!D2031,-1,0),"朝霞市",'事業所・施設 一覧'!$X$4:OFFSET('事業所・施設 一覧'!X2031,-1,0),"&lt;&gt;")</f>
        <v>5</v>
      </c>
      <c r="Q27" s="23">
        <f ca="1">SUMIF('事業所・施設 一覧'!$D$4:OFFSET('事業所・施設 一覧'!D2031,-1,0),"朝霞市",'事業所・施設 一覧'!$X$4:OFFSET('事業所・施設 一覧'!X2031,-1,0))</f>
        <v>70</v>
      </c>
      <c r="R27" s="24">
        <f ca="1">COUNTIFS('事業所・施設 一覧'!$D$4:OFFSET('事業所・施設 一覧'!D2031,-1,0),"朝霞市",'事業所・施設 一覧'!$Z$4:OFFSET('事業所・施設 一覧'!Z2031,-1,0),"&lt;&gt;")</f>
        <v>0</v>
      </c>
      <c r="S27" s="23">
        <f ca="1">SUMIF('事業所・施設 一覧'!$D$4:OFFSET('事業所・施設 一覧'!D2031,-1,0),"朝霞市",'事業所・施設 一覧'!$Z$4:OFFSET('事業所・施設 一覧'!Z2031,-1,0))</f>
        <v>0</v>
      </c>
      <c r="T27" s="24">
        <f ca="1">COUNTIFS('事業所・施設 一覧'!$D$4:OFFSET('事業所・施設 一覧'!D2031,-1,0),"朝霞市",'事業所・施設 一覧'!$AA$4:OFFSET('事業所・施設 一覧'!AA2031,-1,0),"&lt;&gt;")</f>
        <v>7</v>
      </c>
      <c r="U27" s="25">
        <f ca="1">SUMIF('事業所・施設 一覧'!$D$4:OFFSET('事業所・施設 一覧'!D2031,-1,0),"朝霞市",'事業所・施設 一覧'!$AA$4:OFFSET('事業所・施設 一覧'!AA2031,-1,0))</f>
        <v>166</v>
      </c>
      <c r="V27" s="24">
        <f ca="1">COUNTIFS('事業所・施設 一覧'!$D$4:OFFSET('事業所・施設 一覧'!D2031,-1,0),"朝霞市",'事業所・施設 一覧'!$AB$4:OFFSET('事業所・施設 一覧'!AB2031,-1,0),"&lt;&gt;")</f>
        <v>3</v>
      </c>
      <c r="W27" s="25">
        <f ca="1">SUMIF('事業所・施設 一覧'!$D$4:OFFSET('事業所・施設 一覧'!D2031,-1,0),"朝霞市",'事業所・施設 一覧'!$AB$4:OFFSET('事業所・施設 一覧'!AB2031,-1,0))</f>
        <v>0</v>
      </c>
      <c r="X27" s="24">
        <f ca="1">COUNTIFS('事業所・施設 一覧'!$D$4:OFFSET('事業所・施設 一覧'!D2031,-1,0),"朝霞市",'事業所・施設 一覧'!$AC$4:OFFSET('事業所・施設 一覧'!AC2031,-1,0),"&lt;&gt;")</f>
        <v>0</v>
      </c>
      <c r="Y27" s="25">
        <f ca="1">SUMIF('事業所・施設 一覧'!$D$4:OFFSET('事業所・施設 一覧'!D2031,-1,0),"朝霞市",'事業所・施設 一覧'!$AC$4:OFFSET('事業所・施設 一覧'!AC2031,-1,0))</f>
        <v>0</v>
      </c>
    </row>
    <row r="28" spans="1:25" ht="20.100000000000001" customHeight="1" x14ac:dyDescent="0.15">
      <c r="A28" s="13">
        <v>24</v>
      </c>
      <c r="B28" s="14" t="s">
        <v>1011</v>
      </c>
      <c r="C28" s="2" t="s">
        <v>4100</v>
      </c>
      <c r="D28" s="22">
        <f ca="1">COUNTIFS('事業所・施設 一覧'!$D$4:OFFSET('事業所・施設 一覧'!D2031,-1,0),"志木市",'事業所・施設 一覧'!$P$4:OFFSET('事業所・施設 一覧'!P2031,-1,0),"&lt;&gt;")</f>
        <v>0</v>
      </c>
      <c r="E28" s="23">
        <f ca="1">SUMIF('事業所・施設 一覧'!$D$4:OFFSET('事業所・施設 一覧'!D2031,-1,0),"志木市",'事業所・施設 一覧'!$P$4:OFFSET('事業所・施設 一覧'!P2031,-1,0))</f>
        <v>0</v>
      </c>
      <c r="F28" s="24">
        <f ca="1">COUNTIFS('事業所・施設 一覧'!$D$4:OFFSET('事業所・施設 一覧'!D2031,-1,0),"志木市",'事業所・施設 一覧'!$S$4:OFFSET('事業所・施設 一覧'!S2031,-1,0),"&lt;&gt;")</f>
        <v>0</v>
      </c>
      <c r="G28" s="23">
        <f ca="1">SUMIF('事業所・施設 一覧'!$D$4:OFFSET('事業所・施設 一覧'!D2031,-1,0),"志木市",'事業所・施設 一覧'!$S$4:OFFSET('事業所・施設 一覧'!S2031,-1,0))</f>
        <v>0</v>
      </c>
      <c r="H28" s="24">
        <f ca="1">COUNTIFS('事業所・施設 一覧'!$D$4:OFFSET('事業所・施設 一覧'!D2031,-1,0),"志木市",'事業所・施設 一覧'!$T$4:OFFSET('事業所・施設 一覧'!T2031,-1,0),"&lt;&gt;")</f>
        <v>4</v>
      </c>
      <c r="I28" s="23">
        <f ca="1">SUMIF('事業所・施設 一覧'!$D$4:OFFSET('事業所・施設 一覧'!D2031,-1,0),"志木市",'事業所・施設 一覧'!$T$4:OFFSET('事業所・施設 一覧'!T2031,-1,0))</f>
        <v>93</v>
      </c>
      <c r="J28" s="24">
        <f ca="1">COUNTIFS('事業所・施設 一覧'!$D$4:OFFSET('事業所・施設 一覧'!D2031,-1,0),"志木市",'事業所・施設 一覧'!$U$4:OFFSET('事業所・施設 一覧'!U2031,-1,0),"&lt;&gt;")</f>
        <v>0</v>
      </c>
      <c r="K28" s="23">
        <f ca="1">SUMIF('事業所・施設 一覧'!$D$4:OFFSET('事業所・施設 一覧'!D2031,-1,0),"志木市",'事業所・施設 一覧'!$U$4:OFFSET('事業所・施設 一覧'!U2031,-1,0))</f>
        <v>0</v>
      </c>
      <c r="L28" s="24">
        <f ca="1">COUNTIFS('事業所・施設 一覧'!$D$4:OFFSET('事業所・施設 一覧'!D2031,-1,0),"志木市",'事業所・施設 一覧'!$V$4:OFFSET('事業所・施設 一覧'!V2031,-1,0),"&lt;&gt;")</f>
        <v>0</v>
      </c>
      <c r="M28" s="23">
        <f ca="1">SUMIF('事業所・施設 一覧'!$D$4:OFFSET('事業所・施設 一覧'!D2031,-1,0),"志木市",'事業所・施設 一覧'!$V$4:OFFSET('事業所・施設 一覧'!V2031,-1,0))</f>
        <v>0</v>
      </c>
      <c r="N28" s="24">
        <f ca="1">COUNTIFS('事業所・施設 一覧'!$D$4:OFFSET('事業所・施設 一覧'!D2031,-1,0),"志木市",'事業所・施設 一覧'!$W$4:OFFSET('事業所・施設 一覧'!W2031,-1,0),"&lt;&gt;")</f>
        <v>0</v>
      </c>
      <c r="O28" s="23">
        <f ca="1">SUMIF('事業所・施設 一覧'!$D$4:OFFSET('事業所・施設 一覧'!D2031,-1,0),"志木市",'事業所・施設 一覧'!$W$4:OFFSET('事業所・施設 一覧'!W2031,-1,0))</f>
        <v>0</v>
      </c>
      <c r="P28" s="24">
        <f ca="1">COUNTIFS('事業所・施設 一覧'!$D$4:OFFSET('事業所・施設 一覧'!D2031,-1,0),"志木市",'事業所・施設 一覧'!$X$4:OFFSET('事業所・施設 一覧'!X2031,-1,0),"&lt;&gt;")</f>
        <v>2</v>
      </c>
      <c r="Q28" s="23">
        <f ca="1">SUMIF('事業所・施設 一覧'!$D$4:OFFSET('事業所・施設 一覧'!D2031,-1,0),"志木市",'事業所・施設 一覧'!$X$4:OFFSET('事業所・施設 一覧'!X2031,-1,0))</f>
        <v>20</v>
      </c>
      <c r="R28" s="24">
        <f ca="1">COUNTIFS('事業所・施設 一覧'!$D$4:OFFSET('事業所・施設 一覧'!D2031,-1,0),"志木市",'事業所・施設 一覧'!$Z$4:OFFSET('事業所・施設 一覧'!Z2031,-1,0),"&lt;&gt;")</f>
        <v>0</v>
      </c>
      <c r="S28" s="23">
        <f ca="1">SUMIF('事業所・施設 一覧'!$D$4:OFFSET('事業所・施設 一覧'!D2031,-1,0),"志木市",'事業所・施設 一覧'!$Z$4:OFFSET('事業所・施設 一覧'!Z2031,-1,0))</f>
        <v>0</v>
      </c>
      <c r="T28" s="24">
        <f ca="1">COUNTIFS('事業所・施設 一覧'!$D$4:OFFSET('事業所・施設 一覧'!D2031,-1,0),"志木市",'事業所・施設 一覧'!$AA$4:OFFSET('事業所・施設 一覧'!AA2031,-1,0),"&lt;&gt;")</f>
        <v>9</v>
      </c>
      <c r="U28" s="25">
        <f ca="1">SUMIF('事業所・施設 一覧'!$D$4:OFFSET('事業所・施設 一覧'!D2031,-1,0),"志木市",'事業所・施設 一覧'!$AA$4:OFFSET('事業所・施設 一覧'!AA2031,-1,0))</f>
        <v>167</v>
      </c>
      <c r="V28" s="24">
        <f ca="1">COUNTIFS('事業所・施設 一覧'!$D$4:OFFSET('事業所・施設 一覧'!D2031,-1,0),"志木市",'事業所・施設 一覧'!$AB$4:OFFSET('事業所・施設 一覧'!AB2031,-1,0),"&lt;&gt;")</f>
        <v>2</v>
      </c>
      <c r="W28" s="25">
        <f ca="1">SUMIF('事業所・施設 一覧'!$D$4:OFFSET('事業所・施設 一覧'!D2031,-1,0),"志木市",'事業所・施設 一覧'!$AB$4:OFFSET('事業所・施設 一覧'!AB2031,-1,0))</f>
        <v>0</v>
      </c>
      <c r="X28" s="24">
        <f ca="1">COUNTIFS('事業所・施設 一覧'!$D$4:OFFSET('事業所・施設 一覧'!D2031,-1,0),"志木市",'事業所・施設 一覧'!$AC$4:OFFSET('事業所・施設 一覧'!AC2031,-1,0),"&lt;&gt;")</f>
        <v>0</v>
      </c>
      <c r="Y28" s="25">
        <f ca="1">SUMIF('事業所・施設 一覧'!$D$4:OFFSET('事業所・施設 一覧'!D2031,-1,0),"志木市",'事業所・施設 一覧'!$AC$4:OFFSET('事業所・施設 一覧'!AC2031,-1,0))</f>
        <v>0</v>
      </c>
    </row>
    <row r="29" spans="1:25" ht="20.100000000000001" customHeight="1" x14ac:dyDescent="0.15">
      <c r="A29" s="13">
        <v>25</v>
      </c>
      <c r="B29" s="14" t="s">
        <v>1011</v>
      </c>
      <c r="C29" s="2" t="s">
        <v>4101</v>
      </c>
      <c r="D29" s="22">
        <f ca="1">COUNTIFS('事業所・施設 一覧'!$D$4:OFFSET('事業所・施設 一覧'!D2031,-1,0),"和光市",'事業所・施設 一覧'!$P$4:OFFSET('事業所・施設 一覧'!P2031,-1,0),"&lt;&gt;")</f>
        <v>1</v>
      </c>
      <c r="E29" s="23">
        <f ca="1">SUMIF('事業所・施設 一覧'!$D$4:OFFSET('事業所・施設 一覧'!D2031,-1,0),"和光市",'事業所・施設 一覧'!$P$4:OFFSET('事業所・施設 一覧'!P2031,-1,0))</f>
        <v>50</v>
      </c>
      <c r="F29" s="24">
        <f ca="1">COUNTIFS('事業所・施設 一覧'!$D$4:OFFSET('事業所・施設 一覧'!D2031,-1,0),"和光市",'事業所・施設 一覧'!$S$4:OFFSET('事業所・施設 一覧'!S2031,-1,0),"&lt;&gt;")</f>
        <v>0</v>
      </c>
      <c r="G29" s="23">
        <f ca="1">SUMIF('事業所・施設 一覧'!$D$4:OFFSET('事業所・施設 一覧'!D2031,-1,0),"和光市",'事業所・施設 一覧'!$S$4:OFFSET('事業所・施設 一覧'!S2031,-1,0))</f>
        <v>0</v>
      </c>
      <c r="H29" s="24">
        <f ca="1">COUNTIFS('事業所・施設 一覧'!$D$4:OFFSET('事業所・施設 一覧'!D2031,-1,0),"和光市",'事業所・施設 一覧'!$T$4:OFFSET('事業所・施設 一覧'!T2031,-1,0),"&lt;&gt;")</f>
        <v>5</v>
      </c>
      <c r="I29" s="23">
        <f ca="1">SUMIF('事業所・施設 一覧'!$D$4:OFFSET('事業所・施設 一覧'!D2031,-1,0),"和光市",'事業所・施設 一覧'!$T$4:OFFSET('事業所・施設 一覧'!T2031,-1,0))</f>
        <v>129</v>
      </c>
      <c r="J29" s="24">
        <f ca="1">COUNTIFS('事業所・施設 一覧'!$D$4:OFFSET('事業所・施設 一覧'!D2031,-1,0),"和光市",'事業所・施設 一覧'!$U$4:OFFSET('事業所・施設 一覧'!U2031,-1,0),"&lt;&gt;")</f>
        <v>0</v>
      </c>
      <c r="K29" s="23">
        <f ca="1">SUMIF('事業所・施設 一覧'!$D$4:OFFSET('事業所・施設 一覧'!D2031,-1,0),"和光市",'事業所・施設 一覧'!$U$4:OFFSET('事業所・施設 一覧'!U2031,-1,0))</f>
        <v>0</v>
      </c>
      <c r="L29" s="24">
        <f ca="1">COUNTIFS('事業所・施設 一覧'!$D$4:OFFSET('事業所・施設 一覧'!D2031,-1,0),"和光市",'事業所・施設 一覧'!$V$4:OFFSET('事業所・施設 一覧'!V2031,-1,0),"&lt;&gt;")</f>
        <v>0</v>
      </c>
      <c r="M29" s="23">
        <f ca="1">SUMIF('事業所・施設 一覧'!$D$4:OFFSET('事業所・施設 一覧'!D2031,-1,0),"和光市",'事業所・施設 一覧'!$V$4:OFFSET('事業所・施設 一覧'!V2031,-1,0))</f>
        <v>0</v>
      </c>
      <c r="N29" s="24">
        <f ca="1">COUNTIFS('事業所・施設 一覧'!$D$4:OFFSET('事業所・施設 一覧'!D2031,-1,0),"和光市",'事業所・施設 一覧'!$W$4:OFFSET('事業所・施設 一覧'!W2031,-1,0),"&lt;&gt;")</f>
        <v>0</v>
      </c>
      <c r="O29" s="23">
        <f ca="1">SUMIF('事業所・施設 一覧'!$D$4:OFFSET('事業所・施設 一覧'!D2031,-1,0),"和光市",'事業所・施設 一覧'!$W$4:OFFSET('事業所・施設 一覧'!W2031,-1,0))</f>
        <v>0</v>
      </c>
      <c r="P29" s="24">
        <f ca="1">COUNTIFS('事業所・施設 一覧'!$D$4:OFFSET('事業所・施設 一覧'!D2031,-1,0),"和光市",'事業所・施設 一覧'!$X$4:OFFSET('事業所・施設 一覧'!X2031,-1,0),"&lt;&gt;")</f>
        <v>2</v>
      </c>
      <c r="Q29" s="23">
        <f ca="1">SUMIF('事業所・施設 一覧'!$D$4:OFFSET('事業所・施設 一覧'!D2031,-1,0),"和光市",'事業所・施設 一覧'!$X$4:OFFSET('事業所・施設 一覧'!X2031,-1,0))</f>
        <v>40</v>
      </c>
      <c r="R29" s="24">
        <f ca="1">COUNTIFS('事業所・施設 一覧'!$D$4:OFFSET('事業所・施設 一覧'!D2031,-1,0),"和光市",'事業所・施設 一覧'!$Z$4:OFFSET('事業所・施設 一覧'!Z2031,-1,0),"&lt;&gt;")</f>
        <v>0</v>
      </c>
      <c r="S29" s="23">
        <f ca="1">SUMIF('事業所・施設 一覧'!$D$4:OFFSET('事業所・施設 一覧'!D2031,-1,0),"和光市",'事業所・施設 一覧'!$Z$4:OFFSET('事業所・施設 一覧'!Z2031,-1,0))</f>
        <v>0</v>
      </c>
      <c r="T29" s="24">
        <f ca="1">COUNTIFS('事業所・施設 一覧'!$D$4:OFFSET('事業所・施設 一覧'!D2031,-1,0),"和光市",'事業所・施設 一覧'!$AA$4:OFFSET('事業所・施設 一覧'!AA2031,-1,0),"&lt;&gt;")</f>
        <v>2</v>
      </c>
      <c r="U29" s="25">
        <f ca="1">SUMIF('事業所・施設 一覧'!$D$4:OFFSET('事業所・施設 一覧'!D2031,-1,0),"和光市",'事業所・施設 一覧'!$AA$4:OFFSET('事業所・施設 一覧'!AA2031,-1,0))</f>
        <v>75</v>
      </c>
      <c r="V29" s="24">
        <f ca="1">COUNTIFS('事業所・施設 一覧'!$D$4:OFFSET('事業所・施設 一覧'!D2031,-1,0),"和光市",'事業所・施設 一覧'!$AB$4:OFFSET('事業所・施設 一覧'!AB2031,-1,0),"&lt;&gt;")</f>
        <v>1</v>
      </c>
      <c r="W29" s="25">
        <f ca="1">SUMIF('事業所・施設 一覧'!$D$4:OFFSET('事業所・施設 一覧'!D2031,-1,0),"和光市",'事業所・施設 一覧'!$AB$4:OFFSET('事業所・施設 一覧'!AB2031,-1,0))</f>
        <v>0</v>
      </c>
      <c r="X29" s="24">
        <f ca="1">COUNTIFS('事業所・施設 一覧'!$D$4:OFFSET('事業所・施設 一覧'!D2031,-1,0),"和光市",'事業所・施設 一覧'!$AC$4:OFFSET('事業所・施設 一覧'!AC2031,-1,0),"&lt;&gt;")</f>
        <v>0</v>
      </c>
      <c r="Y29" s="25">
        <f ca="1">SUMIF('事業所・施設 一覧'!$D$4:OFFSET('事業所・施設 一覧'!D2031,-1,0),"和光市",'事業所・施設 一覧'!$AC$4:OFFSET('事業所・施設 一覧'!AC2031,-1,0))</f>
        <v>0</v>
      </c>
    </row>
    <row r="30" spans="1:25" ht="20.100000000000001" customHeight="1" x14ac:dyDescent="0.15">
      <c r="A30" s="13">
        <v>26</v>
      </c>
      <c r="B30" s="14" t="s">
        <v>1011</v>
      </c>
      <c r="C30" s="2" t="s">
        <v>4102</v>
      </c>
      <c r="D30" s="22">
        <f ca="1">COUNTIFS('事業所・施設 一覧'!$D$4:OFFSET('事業所・施設 一覧'!D2031,-1,0),"新座市",'事業所・施設 一覧'!$P$4:OFFSET('事業所・施設 一覧'!P2031,-1,0),"&lt;&gt;")</f>
        <v>0</v>
      </c>
      <c r="E30" s="23">
        <f ca="1">SUMIF('事業所・施設 一覧'!$D$4:OFFSET('事業所・施設 一覧'!D2031,-1,0),"新座市",'事業所・施設 一覧'!$P$4:OFFSET('事業所・施設 一覧'!P2031,-1,0))</f>
        <v>0</v>
      </c>
      <c r="F30" s="24">
        <f ca="1">COUNTIFS('事業所・施設 一覧'!$D$4:OFFSET('事業所・施設 一覧'!D2031,-1,0),"新座市",'事業所・施設 一覧'!$S$4:OFFSET('事業所・施設 一覧'!S2031,-1,0),"&lt;&gt;")</f>
        <v>0</v>
      </c>
      <c r="G30" s="23">
        <f ca="1">SUMIF('事業所・施設 一覧'!$D$4:OFFSET('事業所・施設 一覧'!D2031,-1,0),"新座市",'事業所・施設 一覧'!$S$4:OFFSET('事業所・施設 一覧'!S2031,-1,0))</f>
        <v>0</v>
      </c>
      <c r="H30" s="24">
        <f ca="1">COUNTIFS('事業所・施設 一覧'!$D$4:OFFSET('事業所・施設 一覧'!D2031,-1,0),"新座市",'事業所・施設 一覧'!$T$4:OFFSET('事業所・施設 一覧'!T2031,-1,0),"&lt;&gt;")</f>
        <v>8</v>
      </c>
      <c r="I30" s="23">
        <f ca="1">SUMIF('事業所・施設 一覧'!$D$4:OFFSET('事業所・施設 一覧'!D2031,-1,0),"新座市",'事業所・施設 一覧'!$T$4:OFFSET('事業所・施設 一覧'!T2031,-1,0))</f>
        <v>174</v>
      </c>
      <c r="J30" s="24">
        <f ca="1">COUNTIFS('事業所・施設 一覧'!$D$4:OFFSET('事業所・施設 一覧'!D2031,-1,0),"新座市",'事業所・施設 一覧'!$U$4:OFFSET('事業所・施設 一覧'!U2031,-1,0),"&lt;&gt;")</f>
        <v>0</v>
      </c>
      <c r="K30" s="23">
        <f ca="1">SUMIF('事業所・施設 一覧'!$D$4:OFFSET('事業所・施設 一覧'!D2031,-1,0),"新座市",'事業所・施設 一覧'!$U$4:OFFSET('事業所・施設 一覧'!U2031,-1,0))</f>
        <v>0</v>
      </c>
      <c r="L30" s="24">
        <f ca="1">COUNTIFS('事業所・施設 一覧'!$D$4:OFFSET('事業所・施設 一覧'!D2031,-1,0),"新座市",'事業所・施設 一覧'!$V$4:OFFSET('事業所・施設 一覧'!V2031,-1,0),"&lt;&gt;")</f>
        <v>0</v>
      </c>
      <c r="M30" s="23">
        <f ca="1">SUMIF('事業所・施設 一覧'!$D$4:OFFSET('事業所・施設 一覧'!D2031,-1,0),"新座市",'事業所・施設 一覧'!$V$4:OFFSET('事業所・施設 一覧'!V2031,-1,0))</f>
        <v>0</v>
      </c>
      <c r="N30" s="24">
        <f ca="1">COUNTIFS('事業所・施設 一覧'!$D$4:OFFSET('事業所・施設 一覧'!D2031,-1,0),"新座市",'事業所・施設 一覧'!$W$4:OFFSET('事業所・施設 一覧'!W2031,-1,0),"&lt;&gt;")</f>
        <v>0</v>
      </c>
      <c r="O30" s="23">
        <f ca="1">SUMIF('事業所・施設 一覧'!$D$4:OFFSET('事業所・施設 一覧'!D2031,-1,0),"新座市",'事業所・施設 一覧'!$W$4:OFFSET('事業所・施設 一覧'!W2031,-1,0))</f>
        <v>0</v>
      </c>
      <c r="P30" s="24">
        <f ca="1">COUNTIFS('事業所・施設 一覧'!$D$4:OFFSET('事業所・施設 一覧'!D2031,-1,0),"新座市",'事業所・施設 一覧'!$X$4:OFFSET('事業所・施設 一覧'!X2031,-1,0),"&lt;&gt;")</f>
        <v>3</v>
      </c>
      <c r="Q30" s="23">
        <f ca="1">SUMIF('事業所・施設 一覧'!$D$4:OFFSET('事業所・施設 一覧'!D2031,-1,0),"新座市",'事業所・施設 一覧'!$X$4:OFFSET('事業所・施設 一覧'!X2031,-1,0))</f>
        <v>30</v>
      </c>
      <c r="R30" s="24">
        <f ca="1">COUNTIFS('事業所・施設 一覧'!$D$4:OFFSET('事業所・施設 一覧'!D2031,-1,0),"新座市",'事業所・施設 一覧'!$Z$4:OFFSET('事業所・施設 一覧'!Z2031,-1,0),"&lt;&gt;")</f>
        <v>2</v>
      </c>
      <c r="S30" s="23">
        <f ca="1">SUMIF('事業所・施設 一覧'!$D$4:OFFSET('事業所・施設 一覧'!D2031,-1,0),"新座市",'事業所・施設 一覧'!$Z$4:OFFSET('事業所・施設 一覧'!Z2031,-1,0))</f>
        <v>50</v>
      </c>
      <c r="T30" s="24">
        <f ca="1">COUNTIFS('事業所・施設 一覧'!$D$4:OFFSET('事業所・施設 一覧'!D2031,-1,0),"新座市",'事業所・施設 一覧'!$AA$4:OFFSET('事業所・施設 一覧'!AA2031,-1,0),"&lt;&gt;")</f>
        <v>12</v>
      </c>
      <c r="U30" s="25">
        <f ca="1">SUMIF('事業所・施設 一覧'!$D$4:OFFSET('事業所・施設 一覧'!D2031,-1,0),"新座市",'事業所・施設 一覧'!$AA$4:OFFSET('事業所・施設 一覧'!AA2031,-1,0))</f>
        <v>228</v>
      </c>
      <c r="V30" s="24">
        <f ca="1">COUNTIFS('事業所・施設 一覧'!$D$4:OFFSET('事業所・施設 一覧'!D2031,-1,0),"新座市",'事業所・施設 一覧'!$AB$4:OFFSET('事業所・施設 一覧'!AB2031,-1,0),"&lt;&gt;")</f>
        <v>2</v>
      </c>
      <c r="W30" s="25">
        <f ca="1">SUMIF('事業所・施設 一覧'!$D$4:OFFSET('事業所・施設 一覧'!D2031,-1,0),"新座市",'事業所・施設 一覧'!$AB$4:OFFSET('事業所・施設 一覧'!AB2031,-1,0))</f>
        <v>0</v>
      </c>
      <c r="X30" s="24">
        <f ca="1">COUNTIFS('事業所・施設 一覧'!$D$4:OFFSET('事業所・施設 一覧'!D2031,-1,0),"新座市",'事業所・施設 一覧'!$AC$4:OFFSET('事業所・施設 一覧'!AC2031,-1,0),"&lt;&gt;")</f>
        <v>1</v>
      </c>
      <c r="Y30" s="25">
        <f ca="1">SUMIF('事業所・施設 一覧'!$D$4:OFFSET('事業所・施設 一覧'!D2031,-1,0),"新座市",'事業所・施設 一覧'!$AC$4:OFFSET('事業所・施設 一覧'!AC2031,-1,0))</f>
        <v>10</v>
      </c>
    </row>
    <row r="31" spans="1:25" ht="20.100000000000001" customHeight="1" x14ac:dyDescent="0.15">
      <c r="A31" s="13">
        <v>27</v>
      </c>
      <c r="B31" s="14" t="s">
        <v>1013</v>
      </c>
      <c r="C31" s="2" t="s">
        <v>4103</v>
      </c>
      <c r="D31" s="22">
        <f ca="1">COUNTIFS('事業所・施設 一覧'!$D$4:OFFSET('事業所・施設 一覧'!D2031,-1,0),"桶川市",'事業所・施設 一覧'!$P$4:OFFSET('事業所・施設 一覧'!P2031,-1,0),"&lt;&gt;")</f>
        <v>1</v>
      </c>
      <c r="E31" s="23">
        <f ca="1">SUMIF('事業所・施設 一覧'!$D$4:OFFSET('事業所・施設 一覧'!D2031,-1,0),"桶川市",'事業所・施設 一覧'!$P$4:OFFSET('事業所・施設 一覧'!P2031,-1,0))</f>
        <v>40</v>
      </c>
      <c r="F31" s="24">
        <f ca="1">COUNTIFS('事業所・施設 一覧'!$D$4:OFFSET('事業所・施設 一覧'!D2031,-1,0),"桶川市",'事業所・施設 一覧'!$S$4:OFFSET('事業所・施設 一覧'!S2031,-1,0),"&lt;&gt;")</f>
        <v>0</v>
      </c>
      <c r="G31" s="23">
        <f ca="1">SUMIF('事業所・施設 一覧'!$D$4:OFFSET('事業所・施設 一覧'!D2031,-1,0),"桶川市",'事業所・施設 一覧'!$S$4:OFFSET('事業所・施設 一覧'!S2031,-1,0))</f>
        <v>0</v>
      </c>
      <c r="H31" s="24">
        <f ca="1">COUNTIFS('事業所・施設 一覧'!$D$4:OFFSET('事業所・施設 一覧'!D2031,-1,0),"桶川市",'事業所・施設 一覧'!$T$4:OFFSET('事業所・施設 一覧'!T2031,-1,0),"&lt;&gt;")</f>
        <v>5</v>
      </c>
      <c r="I31" s="23">
        <f ca="1">SUMIF('事業所・施設 一覧'!$D$4:OFFSET('事業所・施設 一覧'!D2031,-1,0),"桶川市",'事業所・施設 一覧'!$T$4:OFFSET('事業所・施設 一覧'!T2031,-1,0))</f>
        <v>156</v>
      </c>
      <c r="J31" s="24">
        <f ca="1">COUNTIFS('事業所・施設 一覧'!$D$4:OFFSET('事業所・施設 一覧'!D2031,-1,0),"桶川市",'事業所・施設 一覧'!$U$4:OFFSET('事業所・施設 一覧'!U2031,-1,0),"&lt;&gt;")</f>
        <v>0</v>
      </c>
      <c r="K31" s="23">
        <f ca="1">SUMIF('事業所・施設 一覧'!$D$4:OFFSET('事業所・施設 一覧'!D2031,-1,0),"桶川市",'事業所・施設 一覧'!$U$4:OFFSET('事業所・施設 一覧'!U2031,-1,0))</f>
        <v>0</v>
      </c>
      <c r="L31" s="24">
        <f ca="1">COUNTIFS('事業所・施設 一覧'!$D$4:OFFSET('事業所・施設 一覧'!D2031,-1,0),"桶川市",'事業所・施設 一覧'!$V$4:OFFSET('事業所・施設 一覧'!V2031,-1,0),"&lt;&gt;")</f>
        <v>0</v>
      </c>
      <c r="M31" s="23">
        <f ca="1">SUMIF('事業所・施設 一覧'!$D$4:OFFSET('事業所・施設 一覧'!D2031,-1,0),"桶川市",'事業所・施設 一覧'!$V$4:OFFSET('事業所・施設 一覧'!V2031,-1,0))</f>
        <v>0</v>
      </c>
      <c r="N31" s="24">
        <f ca="1">COUNTIFS('事業所・施設 一覧'!$D$4:OFFSET('事業所・施設 一覧'!D2031,-1,0),"桶川市",'事業所・施設 一覧'!$W$4:OFFSET('事業所・施設 一覧'!W2031,-1,0),"&lt;&gt;")</f>
        <v>0</v>
      </c>
      <c r="O31" s="23">
        <f ca="1">SUMIF('事業所・施設 一覧'!$D$4:OFFSET('事業所・施設 一覧'!D2031,-1,0),"桶川市",'事業所・施設 一覧'!$W$4:OFFSET('事業所・施設 一覧'!W2031,-1,0))</f>
        <v>0</v>
      </c>
      <c r="P31" s="24">
        <f ca="1">COUNTIFS('事業所・施設 一覧'!$D$4:OFFSET('事業所・施設 一覧'!D2031,-1,0),"桶川市",'事業所・施設 一覧'!$X$4:OFFSET('事業所・施設 一覧'!X2031,-1,0),"&lt;&gt;")</f>
        <v>2</v>
      </c>
      <c r="Q31" s="23">
        <f ca="1">SUMIF('事業所・施設 一覧'!$D$4:OFFSET('事業所・施設 一覧'!D2031,-1,0),"桶川市",'事業所・施設 一覧'!$X$4:OFFSET('事業所・施設 一覧'!X2031,-1,0))</f>
        <v>32</v>
      </c>
      <c r="R31" s="24">
        <f ca="1">COUNTIFS('事業所・施設 一覧'!$D$4:OFFSET('事業所・施設 一覧'!D2031,-1,0),"桶川市",'事業所・施設 一覧'!$Z$4:OFFSET('事業所・施設 一覧'!Z2031,-1,0),"&lt;&gt;")</f>
        <v>1</v>
      </c>
      <c r="S31" s="23">
        <f ca="1">SUMIF('事業所・施設 一覧'!$D$4:OFFSET('事業所・施設 一覧'!D2031,-1,0),"桶川市",'事業所・施設 一覧'!$Z$4:OFFSET('事業所・施設 一覧'!Z2031,-1,0))</f>
        <v>20</v>
      </c>
      <c r="T31" s="24">
        <f ca="1">COUNTIFS('事業所・施設 一覧'!$D$4:OFFSET('事業所・施設 一覧'!D2031,-1,0),"桶川市",'事業所・施設 一覧'!$AA$4:OFFSET('事業所・施設 一覧'!AA2031,-1,0),"&lt;&gt;")</f>
        <v>5</v>
      </c>
      <c r="U31" s="25">
        <f ca="1">SUMIF('事業所・施設 一覧'!$D$4:OFFSET('事業所・施設 一覧'!D2031,-1,0),"桶川市",'事業所・施設 一覧'!$AA$4:OFFSET('事業所・施設 一覧'!AA2031,-1,0))</f>
        <v>90</v>
      </c>
      <c r="V31" s="24">
        <f ca="1">COUNTIFS('事業所・施設 一覧'!$D$4:OFFSET('事業所・施設 一覧'!D2031,-1,0),"桶川市",'事業所・施設 一覧'!$AB$4:OFFSET('事業所・施設 一覧'!AB2031,-1,0),"&lt;&gt;")</f>
        <v>2</v>
      </c>
      <c r="W31" s="25">
        <f ca="1">SUMIF('事業所・施設 一覧'!$D$4:OFFSET('事業所・施設 一覧'!D2031,-1,0),"桶川市",'事業所・施設 一覧'!$AB$4:OFFSET('事業所・施設 一覧'!AB2031,-1,0))</f>
        <v>0</v>
      </c>
      <c r="X31" s="24">
        <f ca="1">COUNTIFS('事業所・施設 一覧'!$D$4:OFFSET('事業所・施設 一覧'!D2031,-1,0),"桶川市",'事業所・施設 一覧'!$AC$4:OFFSET('事業所・施設 一覧'!AC2031,-1,0),"&lt;&gt;")</f>
        <v>0</v>
      </c>
      <c r="Y31" s="25">
        <f ca="1">SUMIF('事業所・施設 一覧'!$D$4:OFFSET('事業所・施設 一覧'!D2031,-1,0),"桶川市",'事業所・施設 一覧'!$AC$4:OFFSET('事業所・施設 一覧'!AC2031,-1,0))</f>
        <v>0</v>
      </c>
    </row>
    <row r="32" spans="1:25" ht="20.100000000000001" customHeight="1" x14ac:dyDescent="0.15">
      <c r="A32" s="13">
        <v>28</v>
      </c>
      <c r="B32" s="14" t="s">
        <v>4156</v>
      </c>
      <c r="C32" s="2" t="s">
        <v>1884</v>
      </c>
      <c r="D32" s="22">
        <f ca="1">COUNTIFS('事業所・施設 一覧'!$D$4:OFFSET('事業所・施設 一覧'!D2031,-1,0),"久喜市",'事業所・施設 一覧'!$P$4:OFFSET('事業所・施設 一覧'!P2031,-1,0),"&lt;&gt;")</f>
        <v>1</v>
      </c>
      <c r="E32" s="23">
        <f ca="1">SUMIF('事業所・施設 一覧'!$D$4:OFFSET('事業所・施設 一覧'!D2031,-1,0),"久喜市",'事業所・施設 一覧'!$P$4:OFFSET('事業所・施設 一覧'!P2031,-1,0))</f>
        <v>54</v>
      </c>
      <c r="F32" s="24">
        <f ca="1">COUNTIFS('事業所・施設 一覧'!$D$4:OFFSET('事業所・施設 一覧'!D2031,-1,0),"久喜市",'事業所・施設 一覧'!$S$4:OFFSET('事業所・施設 一覧'!S2031,-1,0),"&lt;&gt;")</f>
        <v>0</v>
      </c>
      <c r="G32" s="23">
        <f ca="1">SUMIF('事業所・施設 一覧'!$D$4:OFFSET('事業所・施設 一覧'!D2031,-1,0),"久喜市",'事業所・施設 一覧'!$S$4:OFFSET('事業所・施設 一覧'!S2031,-1,0))</f>
        <v>0</v>
      </c>
      <c r="H32" s="24">
        <f ca="1">COUNTIFS('事業所・施設 一覧'!$D$4:OFFSET('事業所・施設 一覧'!D2031,-1,0),"久喜市",'事業所・施設 一覧'!$T$4:OFFSET('事業所・施設 一覧'!T2031,-1,0),"&lt;&gt;")</f>
        <v>15</v>
      </c>
      <c r="I32" s="23">
        <f ca="1">SUMIF('事業所・施設 一覧'!$D$4:OFFSET('事業所・施設 一覧'!D2031,-1,0),"久喜市",'事業所・施設 一覧'!$T$4:OFFSET('事業所・施設 一覧'!T2031,-1,0))</f>
        <v>351</v>
      </c>
      <c r="J32" s="24">
        <f ca="1">COUNTIFS('事業所・施設 一覧'!$D$4:OFFSET('事業所・施設 一覧'!D2031,-1,0),"久喜市",'事業所・施設 一覧'!$U$4:OFFSET('事業所・施設 一覧'!U2031,-1,0),"&lt;&gt;")</f>
        <v>0</v>
      </c>
      <c r="K32" s="23">
        <f ca="1">SUMIF('事業所・施設 一覧'!$D$4:OFFSET('事業所・施設 一覧'!D2031,-1,0),"久喜市",'事業所・施設 一覧'!$U$4:OFFSET('事業所・施設 一覧'!U2031,-1,0))</f>
        <v>0</v>
      </c>
      <c r="L32" s="24">
        <f ca="1">COUNTIFS('事業所・施設 一覧'!$D$4:OFFSET('事業所・施設 一覧'!D2031,-1,0),"久喜市",'事業所・施設 一覧'!$V$4:OFFSET('事業所・施設 一覧'!V2031,-1,0),"&lt;&gt;")</f>
        <v>3</v>
      </c>
      <c r="M32" s="23">
        <f ca="1">SUMIF('事業所・施設 一覧'!$D$4:OFFSET('事業所・施設 一覧'!D2031,-1,0),"久喜市",'事業所・施設 一覧'!$V$4:OFFSET('事業所・施設 一覧'!V2031,-1,0))</f>
        <v>38</v>
      </c>
      <c r="N32" s="24">
        <f ca="1">COUNTIFS('事業所・施設 一覧'!$D$4:OFFSET('事業所・施設 一覧'!D2031,-1,0),"久喜市",'事業所・施設 一覧'!$W$4:OFFSET('事業所・施設 一覧'!W2031,-1,0),"&lt;&gt;")</f>
        <v>0</v>
      </c>
      <c r="O32" s="23">
        <f ca="1">SUMIF('事業所・施設 一覧'!$D$4:OFFSET('事業所・施設 一覧'!D2031,-1,0),"久喜市",'事業所・施設 一覧'!$W$4:OFFSET('事業所・施設 一覧'!W2031,-1,0))</f>
        <v>0</v>
      </c>
      <c r="P32" s="24">
        <f ca="1">COUNTIFS('事業所・施設 一覧'!$D$4:OFFSET('事業所・施設 一覧'!D2031,-1,0),"久喜市",'事業所・施設 一覧'!$X$4:OFFSET('事業所・施設 一覧'!X2031,-1,0),"&lt;&gt;")</f>
        <v>6</v>
      </c>
      <c r="Q32" s="23">
        <f ca="1">SUMIF('事業所・施設 一覧'!$D$4:OFFSET('事業所・施設 一覧'!D2031,-1,0),"久喜市",'事業所・施設 一覧'!$X$4:OFFSET('事業所・施設 一覧'!X2031,-1,0))</f>
        <v>97</v>
      </c>
      <c r="R32" s="24">
        <f ca="1">COUNTIFS('事業所・施設 一覧'!$D$4:OFFSET('事業所・施設 一覧'!D2031,-1,0),"久喜市",'事業所・施設 一覧'!$Z$4:OFFSET('事業所・施設 一覧'!Z2031,-1,0),"&lt;&gt;")</f>
        <v>2</v>
      </c>
      <c r="S32" s="23">
        <f ca="1">SUMIF('事業所・施設 一覧'!$D$4:OFFSET('事業所・施設 一覧'!D2031,-1,0),"久喜市",'事業所・施設 一覧'!$Z$4:OFFSET('事業所・施設 一覧'!Z2031,-1,0))</f>
        <v>40</v>
      </c>
      <c r="T32" s="24">
        <f ca="1">COUNTIFS('事業所・施設 一覧'!$D$4:OFFSET('事業所・施設 一覧'!D2031,-1,0),"久喜市",'事業所・施設 一覧'!$AA$4:OFFSET('事業所・施設 一覧'!AA2031,-1,0),"&lt;&gt;")</f>
        <v>13</v>
      </c>
      <c r="U32" s="25">
        <f ca="1">SUMIF('事業所・施設 一覧'!$D$4:OFFSET('事業所・施設 一覧'!D2031,-1,0),"久喜市",'事業所・施設 一覧'!$AA$4:OFFSET('事業所・施設 一覧'!AA2031,-1,0))</f>
        <v>250</v>
      </c>
      <c r="V32" s="24">
        <f ca="1">COUNTIFS('事業所・施設 一覧'!$D$4:OFFSET('事業所・施設 一覧'!D2031,-1,0),"久喜市",'事業所・施設 一覧'!$AB$4:OFFSET('事業所・施設 一覧'!AB2031,-1,0),"&lt;&gt;")</f>
        <v>4</v>
      </c>
      <c r="W32" s="25">
        <f ca="1">SUMIF('事業所・施設 一覧'!$D$4:OFFSET('事業所・施設 一覧'!D2031,-1,0),"久喜市",'事業所・施設 一覧'!$AB$4:OFFSET('事業所・施設 一覧'!AB2031,-1,0))</f>
        <v>0</v>
      </c>
      <c r="X32" s="24">
        <f ca="1">COUNTIFS('事業所・施設 一覧'!$D$4:OFFSET('事業所・施設 一覧'!D2031,-1,0),"久喜市",'事業所・施設 一覧'!$AC$4:OFFSET('事業所・施設 一覧'!AC2031,-1,0),"&lt;&gt;")</f>
        <v>4</v>
      </c>
      <c r="Y32" s="25">
        <f ca="1">SUMIF('事業所・施設 一覧'!$D$4:OFFSET('事業所・施設 一覧'!D2031,-1,0),"久喜市",'事業所・施設 一覧'!$AC$4:OFFSET('事業所・施設 一覧'!AC2031,-1,0))</f>
        <v>40</v>
      </c>
    </row>
    <row r="33" spans="1:25" ht="20.100000000000001" customHeight="1" x14ac:dyDescent="0.15">
      <c r="A33" s="13">
        <v>29</v>
      </c>
      <c r="B33" s="14" t="s">
        <v>1013</v>
      </c>
      <c r="C33" s="2" t="s">
        <v>4104</v>
      </c>
      <c r="D33" s="22">
        <f ca="1">COUNTIFS('事業所・施設 一覧'!$D$4:OFFSET('事業所・施設 一覧'!D2031,-1,0),"北本市",'事業所・施設 一覧'!$P$4:OFFSET('事業所・施設 一覧'!P2031,-1,0),"&lt;&gt;")</f>
        <v>1</v>
      </c>
      <c r="E33" s="23">
        <f ca="1">SUMIF('事業所・施設 一覧'!$D$4:OFFSET('事業所・施設 一覧'!D2031,-1,0),"北本市",'事業所・施設 一覧'!$P$4:OFFSET('事業所・施設 一覧'!P2031,-1,0))</f>
        <v>30</v>
      </c>
      <c r="F33" s="24">
        <f ca="1">COUNTIFS('事業所・施設 一覧'!$D$4:OFFSET('事業所・施設 一覧'!D2031,-1,0),"北本市",'事業所・施設 一覧'!$S$4:OFFSET('事業所・施設 一覧'!S2031,-1,0),"&lt;&gt;")</f>
        <v>0</v>
      </c>
      <c r="G33" s="23">
        <f ca="1">SUMIF('事業所・施設 一覧'!$D$4:OFFSET('事業所・施設 一覧'!D2031,-1,0),"北本市",'事業所・施設 一覧'!$S$4:OFFSET('事業所・施設 一覧'!S2031,-1,0))</f>
        <v>0</v>
      </c>
      <c r="H33" s="24">
        <f ca="1">COUNTIFS('事業所・施設 一覧'!$D$4:OFFSET('事業所・施設 一覧'!D2031,-1,0),"北本市",'事業所・施設 一覧'!$T$4:OFFSET('事業所・施設 一覧'!T2031,-1,0),"&lt;&gt;")</f>
        <v>5</v>
      </c>
      <c r="I33" s="23">
        <f ca="1">SUMIF('事業所・施設 一覧'!$D$4:OFFSET('事業所・施設 一覧'!D2031,-1,0),"北本市",'事業所・施設 一覧'!$T$4:OFFSET('事業所・施設 一覧'!T2031,-1,0))</f>
        <v>149</v>
      </c>
      <c r="J33" s="24">
        <f ca="1">COUNTIFS('事業所・施設 一覧'!$D$4:OFFSET('事業所・施設 一覧'!D2031,-1,0),"北本市",'事業所・施設 一覧'!$U$4:OFFSET('事業所・施設 一覧'!U2031,-1,0),"&lt;&gt;")</f>
        <v>0</v>
      </c>
      <c r="K33" s="23">
        <f ca="1">SUMIF('事業所・施設 一覧'!$D$4:OFFSET('事業所・施設 一覧'!D2031,-1,0),"北本市",'事業所・施設 一覧'!$U$4:OFFSET('事業所・施設 一覧'!U2031,-1,0))</f>
        <v>0</v>
      </c>
      <c r="L33" s="24">
        <f ca="1">COUNTIFS('事業所・施設 一覧'!$D$4:OFFSET('事業所・施設 一覧'!D2031,-1,0),"北本市",'事業所・施設 一覧'!$V$4:OFFSET('事業所・施設 一覧'!V2031,-1,0),"&lt;&gt;")</f>
        <v>1</v>
      </c>
      <c r="M33" s="23">
        <f ca="1">SUMIF('事業所・施設 一覧'!$D$4:OFFSET('事業所・施設 一覧'!D2031,-1,0),"北本市",'事業所・施設 一覧'!$V$4:OFFSET('事業所・施設 一覧'!V2031,-1,0))</f>
        <v>20</v>
      </c>
      <c r="N33" s="24">
        <f ca="1">COUNTIFS('事業所・施設 一覧'!$D$4:OFFSET('事業所・施設 一覧'!D2031,-1,0),"北本市",'事業所・施設 一覧'!$W$4:OFFSET('事業所・施設 一覧'!W2031,-1,0),"&lt;&gt;")</f>
        <v>0</v>
      </c>
      <c r="O33" s="23">
        <f ca="1">SUMIF('事業所・施設 一覧'!$D$4:OFFSET('事業所・施設 一覧'!D2031,-1,0),"北本市",'事業所・施設 一覧'!$W$4:OFFSET('事業所・施設 一覧'!W2031,-1,0))</f>
        <v>0</v>
      </c>
      <c r="P33" s="24">
        <f ca="1">COUNTIFS('事業所・施設 一覧'!$D$4:OFFSET('事業所・施設 一覧'!D2031,-1,0),"北本市",'事業所・施設 一覧'!$X$4:OFFSET('事業所・施設 一覧'!X2031,-1,0),"&lt;&gt;")</f>
        <v>1</v>
      </c>
      <c r="Q33" s="23">
        <f ca="1">SUMIF('事業所・施設 一覧'!$D$4:OFFSET('事業所・施設 一覧'!D2031,-1,0),"北本市",'事業所・施設 一覧'!$X$4:OFFSET('事業所・施設 一覧'!X2031,-1,0))</f>
        <v>20</v>
      </c>
      <c r="R33" s="24">
        <f ca="1">COUNTIFS('事業所・施設 一覧'!$D$4:OFFSET('事業所・施設 一覧'!D2031,-1,0),"北本市",'事業所・施設 一覧'!$Z$4:OFFSET('事業所・施設 一覧'!Z2031,-1,0),"&lt;&gt;")</f>
        <v>0</v>
      </c>
      <c r="S33" s="23">
        <f ca="1">SUMIF('事業所・施設 一覧'!$D$4:OFFSET('事業所・施設 一覧'!D2031,-1,0),"北本市",'事業所・施設 一覧'!$Z$4:OFFSET('事業所・施設 一覧'!Z2031,-1,0))</f>
        <v>0</v>
      </c>
      <c r="T33" s="24">
        <f ca="1">COUNTIFS('事業所・施設 一覧'!$D$4:OFFSET('事業所・施設 一覧'!D2031,-1,0),"北本市",'事業所・施設 一覧'!$AA$4:OFFSET('事業所・施設 一覧'!AA2031,-1,0),"&lt;&gt;")</f>
        <v>5</v>
      </c>
      <c r="U33" s="25">
        <f ca="1">SUMIF('事業所・施設 一覧'!$D$4:OFFSET('事業所・施設 一覧'!D2031,-1,0),"北本市",'事業所・施設 一覧'!$AA$4:OFFSET('事業所・施設 一覧'!AA2031,-1,0))</f>
        <v>91</v>
      </c>
      <c r="V33" s="24">
        <f ca="1">COUNTIFS('事業所・施設 一覧'!$D$4:OFFSET('事業所・施設 一覧'!D2031,-1,0),"北本市",'事業所・施設 一覧'!$AB$4:OFFSET('事業所・施設 一覧'!AB2031,-1,0),"&lt;&gt;")</f>
        <v>1</v>
      </c>
      <c r="W33" s="25">
        <f ca="1">SUMIF('事業所・施設 一覧'!$D$4:OFFSET('事業所・施設 一覧'!D2031,-1,0),"北本市",'事業所・施設 一覧'!$AB$4:OFFSET('事業所・施設 一覧'!AB2031,-1,0))</f>
        <v>0</v>
      </c>
      <c r="X33" s="24">
        <f ca="1">COUNTIFS('事業所・施設 一覧'!$D$4:OFFSET('事業所・施設 一覧'!D2031,-1,0),"北本市",'事業所・施設 一覧'!$AC$4:OFFSET('事業所・施設 一覧'!AC2031,-1,0),"&lt;&gt;")</f>
        <v>1</v>
      </c>
      <c r="Y33" s="25">
        <f ca="1">SUMIF('事業所・施設 一覧'!$D$4:OFFSET('事業所・施設 一覧'!D2031,-1,0),"北本市",'事業所・施設 一覧'!$AC$4:OFFSET('事業所・施設 一覧'!AC2031,-1,0))</f>
        <v>0</v>
      </c>
    </row>
    <row r="34" spans="1:25" ht="20.100000000000001" customHeight="1" x14ac:dyDescent="0.15">
      <c r="A34" s="13">
        <v>30</v>
      </c>
      <c r="B34" s="14" t="s">
        <v>866</v>
      </c>
      <c r="C34" s="2" t="s">
        <v>4105</v>
      </c>
      <c r="D34" s="22">
        <f ca="1">COUNTIFS('事業所・施設 一覧'!$D$4:OFFSET('事業所・施設 一覧'!D2031,-1,0),"八潮市",'事業所・施設 一覧'!$P$4:OFFSET('事業所・施設 一覧'!P2031,-1,0),"&lt;&gt;")</f>
        <v>0</v>
      </c>
      <c r="E34" s="23">
        <f ca="1">SUMIF('事業所・施設 一覧'!$D$4:OFFSET('事業所・施設 一覧'!D2031,-1,0),"八潮市",'事業所・施設 一覧'!$P$4:OFFSET('事業所・施設 一覧'!P2031,-1,0))</f>
        <v>0</v>
      </c>
      <c r="F34" s="24">
        <f ca="1">COUNTIFS('事業所・施設 一覧'!$D$4:OFFSET('事業所・施設 一覧'!D2031,-1,0),"八潮市",'事業所・施設 一覧'!$S$4:OFFSET('事業所・施設 一覧'!S2031,-1,0),"&lt;&gt;")</f>
        <v>0</v>
      </c>
      <c r="G34" s="23">
        <f ca="1">SUMIF('事業所・施設 一覧'!$D$4:OFFSET('事業所・施設 一覧'!D2031,-1,0),"八潮市",'事業所・施設 一覧'!$S$4:OFFSET('事業所・施設 一覧'!S2031,-1,0))</f>
        <v>0</v>
      </c>
      <c r="H34" s="24">
        <f ca="1">COUNTIFS('事業所・施設 一覧'!$D$4:OFFSET('事業所・施設 一覧'!D2031,-1,0),"八潮市",'事業所・施設 一覧'!$T$4:OFFSET('事業所・施設 一覧'!T2031,-1,0),"&lt;&gt;")</f>
        <v>8</v>
      </c>
      <c r="I34" s="23">
        <f ca="1">SUMIF('事業所・施設 一覧'!$D$4:OFFSET('事業所・施設 一覧'!D2031,-1,0),"八潮市",'事業所・施設 一覧'!$T$4:OFFSET('事業所・施設 一覧'!T2031,-1,0))</f>
        <v>160</v>
      </c>
      <c r="J34" s="24">
        <f ca="1">COUNTIFS('事業所・施設 一覧'!$D$4:OFFSET('事業所・施設 一覧'!D2031,-1,0),"八潮市",'事業所・施設 一覧'!$U$4:OFFSET('事業所・施設 一覧'!U2031,-1,0),"&lt;&gt;")</f>
        <v>0</v>
      </c>
      <c r="K34" s="23">
        <f ca="1">SUMIF('事業所・施設 一覧'!$D$4:OFFSET('事業所・施設 一覧'!D2031,-1,0),"八潮市",'事業所・施設 一覧'!$U$4:OFFSET('事業所・施設 一覧'!U2031,-1,0))</f>
        <v>0</v>
      </c>
      <c r="L34" s="24">
        <f ca="1">COUNTIFS('事業所・施設 一覧'!$D$4:OFFSET('事業所・施設 一覧'!D2031,-1,0),"八潮市",'事業所・施設 一覧'!$V$4:OFFSET('事業所・施設 一覧'!V2031,-1,0),"&lt;&gt;")</f>
        <v>0</v>
      </c>
      <c r="M34" s="23">
        <f ca="1">SUMIF('事業所・施設 一覧'!$D$4:OFFSET('事業所・施設 一覧'!D2031,-1,0),"八潮市",'事業所・施設 一覧'!$V$4:OFFSET('事業所・施設 一覧'!V2031,-1,0))</f>
        <v>0</v>
      </c>
      <c r="N34" s="24">
        <f ca="1">COUNTIFS('事業所・施設 一覧'!$D$4:OFFSET('事業所・施設 一覧'!D2031,-1,0),"八潮市",'事業所・施設 一覧'!$W$4:OFFSET('事業所・施設 一覧'!W2031,-1,0),"&lt;&gt;")</f>
        <v>0</v>
      </c>
      <c r="O34" s="23">
        <f ca="1">SUMIF('事業所・施設 一覧'!$D$4:OFFSET('事業所・施設 一覧'!D2031,-1,0),"八潮市",'事業所・施設 一覧'!$W$4:OFFSET('事業所・施設 一覧'!W2031,-1,0))</f>
        <v>0</v>
      </c>
      <c r="P34" s="24">
        <f ca="1">COUNTIFS('事業所・施設 一覧'!$D$4:OFFSET('事業所・施設 一覧'!D2031,-1,0),"八潮市",'事業所・施設 一覧'!$X$4:OFFSET('事業所・施設 一覧'!X2031,-1,0),"&lt;&gt;")</f>
        <v>0</v>
      </c>
      <c r="Q34" s="23">
        <f ca="1">SUMIF('事業所・施設 一覧'!$D$4:OFFSET('事業所・施設 一覧'!D2031,-1,0),"八潮市",'事業所・施設 一覧'!$X$4:OFFSET('事業所・施設 一覧'!X2031,-1,0))</f>
        <v>0</v>
      </c>
      <c r="R34" s="24">
        <f ca="1">COUNTIFS('事業所・施設 一覧'!$D$4:OFFSET('事業所・施設 一覧'!D2031,-1,0),"八潮市",'事業所・施設 一覧'!$Z$4:OFFSET('事業所・施設 一覧'!Z2031,-1,0),"&lt;&gt;")</f>
        <v>3</v>
      </c>
      <c r="S34" s="23">
        <f ca="1">SUMIF('事業所・施設 一覧'!$D$4:OFFSET('事業所・施設 一覧'!D2031,-1,0),"八潮市",'事業所・施設 一覧'!$Z$4:OFFSET('事業所・施設 一覧'!Z2031,-1,0))</f>
        <v>60</v>
      </c>
      <c r="T34" s="24">
        <f ca="1">COUNTIFS('事業所・施設 一覧'!$D$4:OFFSET('事業所・施設 一覧'!D2031,-1,0),"八潮市",'事業所・施設 一覧'!$AA$4:OFFSET('事業所・施設 一覧'!AA2031,-1,0),"&lt;&gt;")</f>
        <v>8</v>
      </c>
      <c r="U34" s="25">
        <f ca="1">SUMIF('事業所・施設 一覧'!$D$4:OFFSET('事業所・施設 一覧'!D2031,-1,0),"八潮市",'事業所・施設 一覧'!$AA$4:OFFSET('事業所・施設 一覧'!AA2031,-1,0))</f>
        <v>160</v>
      </c>
      <c r="V34" s="24">
        <f ca="1">COUNTIFS('事業所・施設 一覧'!$D$4:OFFSET('事業所・施設 一覧'!D2031,-1,0),"八潮市",'事業所・施設 一覧'!$AB$4:OFFSET('事業所・施設 一覧'!AB2031,-1,0),"&lt;&gt;")</f>
        <v>0</v>
      </c>
      <c r="W34" s="25">
        <f ca="1">SUMIF('事業所・施設 一覧'!$D$4:OFFSET('事業所・施設 一覧'!D2031,-1,0),"八潮市",'事業所・施設 一覧'!$AB$4:OFFSET('事業所・施設 一覧'!AB2031,-1,0))</f>
        <v>0</v>
      </c>
      <c r="X34" s="24">
        <f ca="1">COUNTIFS('事業所・施設 一覧'!$D$4:OFFSET('事業所・施設 一覧'!D2031,-1,0),"八潮市",'事業所・施設 一覧'!$AC$4:OFFSET('事業所・施設 一覧'!AC2031,-1,0),"&lt;&gt;")</f>
        <v>0</v>
      </c>
      <c r="Y34" s="25">
        <f ca="1">SUMIF('事業所・施設 一覧'!$D$4:OFFSET('事業所・施設 一覧'!D2031,-1,0),"八潮市",'事業所・施設 一覧'!$AC$4:OFFSET('事業所・施設 一覧'!AC2031,-1,0))</f>
        <v>0</v>
      </c>
    </row>
    <row r="35" spans="1:25" ht="20.100000000000001" customHeight="1" x14ac:dyDescent="0.15">
      <c r="A35" s="13">
        <v>31</v>
      </c>
      <c r="B35" s="14" t="s">
        <v>1011</v>
      </c>
      <c r="C35" s="2" t="s">
        <v>4106</v>
      </c>
      <c r="D35" s="22">
        <f ca="1">COUNTIFS('事業所・施設 一覧'!$D$4:OFFSET('事業所・施設 一覧'!D2031,-1,0),"富士見市",'事業所・施設 一覧'!$P$4:OFFSET('事業所・施設 一覧'!P2031,-1,0),"&lt;&gt;")</f>
        <v>1</v>
      </c>
      <c r="E35" s="23">
        <f ca="1">SUMIF('事業所・施設 一覧'!$D$4:OFFSET('事業所・施設 一覧'!D2031,-1,0),"富士見市",'事業所・施設 一覧'!$P$4:OFFSET('事業所・施設 一覧'!P2031,-1,0))</f>
        <v>30</v>
      </c>
      <c r="F35" s="24">
        <f ca="1">COUNTIFS('事業所・施設 一覧'!$D$4:OFFSET('事業所・施設 一覧'!D2031,-1,0),"富士見市",'事業所・施設 一覧'!$S$4:OFFSET('事業所・施設 一覧'!S2031,-1,0),"&lt;&gt;")</f>
        <v>0</v>
      </c>
      <c r="G35" s="23">
        <f ca="1">SUMIF('事業所・施設 一覧'!$D$4:OFFSET('事業所・施設 一覧'!D2031,-1,0),"富士見市",'事業所・施設 一覧'!$S$4:OFFSET('事業所・施設 一覧'!S2031,-1,0))</f>
        <v>0</v>
      </c>
      <c r="H35" s="24">
        <f ca="1">COUNTIFS('事業所・施設 一覧'!$D$4:OFFSET('事業所・施設 一覧'!D2031,-1,0),"富士見市",'事業所・施設 一覧'!$T$4:OFFSET('事業所・施設 一覧'!T2031,-1,0),"&lt;&gt;")</f>
        <v>8</v>
      </c>
      <c r="I35" s="23">
        <f ca="1">SUMIF('事業所・施設 一覧'!$D$4:OFFSET('事業所・施設 一覧'!D2031,-1,0),"富士見市",'事業所・施設 一覧'!$T$4:OFFSET('事業所・施設 一覧'!T2031,-1,0))</f>
        <v>138</v>
      </c>
      <c r="J35" s="24">
        <f ca="1">COUNTIFS('事業所・施設 一覧'!$D$4:OFFSET('事業所・施設 一覧'!D2031,-1,0),"富士見市",'事業所・施設 一覧'!$U$4:OFFSET('事業所・施設 一覧'!U2031,-1,0),"&lt;&gt;")</f>
        <v>0</v>
      </c>
      <c r="K35" s="23">
        <f ca="1">SUMIF('事業所・施設 一覧'!$D$4:OFFSET('事業所・施設 一覧'!D2031,-1,0),"富士見市",'事業所・施設 一覧'!$U$4:OFFSET('事業所・施設 一覧'!U2031,-1,0))</f>
        <v>0</v>
      </c>
      <c r="L35" s="24">
        <f ca="1">COUNTIFS('事業所・施設 一覧'!$D$4:OFFSET('事業所・施設 一覧'!D2031,-1,0),"富士見市",'事業所・施設 一覧'!$V$4:OFFSET('事業所・施設 一覧'!V2031,-1,0),"&lt;&gt;")</f>
        <v>1</v>
      </c>
      <c r="M35" s="23">
        <f ca="1">SUMIF('事業所・施設 一覧'!$D$4:OFFSET('事業所・施設 一覧'!D2031,-1,0),"富士見市",'事業所・施設 一覧'!$V$4:OFFSET('事業所・施設 一覧'!V2031,-1,0))</f>
        <v>10</v>
      </c>
      <c r="N35" s="24">
        <f ca="1">COUNTIFS('事業所・施設 一覧'!$D$4:OFFSET('事業所・施設 一覧'!D2031,-1,0),"富士見市",'事業所・施設 一覧'!$W$4:OFFSET('事業所・施設 一覧'!W2031,-1,0),"&lt;&gt;")</f>
        <v>0</v>
      </c>
      <c r="O35" s="23">
        <f ca="1">SUMIF('事業所・施設 一覧'!$D$4:OFFSET('事業所・施設 一覧'!D2031,-1,0),"富士見市",'事業所・施設 一覧'!$W$4:OFFSET('事業所・施設 一覧'!W2031,-1,0))</f>
        <v>0</v>
      </c>
      <c r="P35" s="24">
        <f ca="1">COUNTIFS('事業所・施設 一覧'!$D$4:OFFSET('事業所・施設 一覧'!D2031,-1,0),"富士見市",'事業所・施設 一覧'!$X$4:OFFSET('事業所・施設 一覧'!X2031,-1,0),"&lt;&gt;")</f>
        <v>1</v>
      </c>
      <c r="Q35" s="23">
        <f ca="1">SUMIF('事業所・施設 一覧'!$D$4:OFFSET('事業所・施設 一覧'!D2031,-1,0),"富士見市",'事業所・施設 一覧'!$X$4:OFFSET('事業所・施設 一覧'!X2031,-1,0))</f>
        <v>6</v>
      </c>
      <c r="R35" s="24">
        <f ca="1">COUNTIFS('事業所・施設 一覧'!$D$4:OFFSET('事業所・施設 一覧'!D2031,-1,0),"富士見市",'事業所・施設 一覧'!$Z$4:OFFSET('事業所・施設 一覧'!Z2031,-1,0),"&lt;&gt;")</f>
        <v>2</v>
      </c>
      <c r="S35" s="23">
        <f ca="1">SUMIF('事業所・施設 一覧'!$D$4:OFFSET('事業所・施設 一覧'!D2031,-1,0),"富士見市",'事業所・施設 一覧'!$Z$4:OFFSET('事業所・施設 一覧'!Z2031,-1,0))</f>
        <v>40</v>
      </c>
      <c r="T35" s="24">
        <f ca="1">COUNTIFS('事業所・施設 一覧'!$D$4:OFFSET('事業所・施設 一覧'!D2031,-1,0),"富士見市",'事業所・施設 一覧'!$AA$4:OFFSET('事業所・施設 一覧'!AA2031,-1,0),"&lt;&gt;")</f>
        <v>8</v>
      </c>
      <c r="U35" s="25">
        <f ca="1">SUMIF('事業所・施設 一覧'!$D$4:OFFSET('事業所・施設 一覧'!D2031,-1,0),"富士見市",'事業所・施設 一覧'!$AA$4:OFFSET('事業所・施設 一覧'!AA2031,-1,0))</f>
        <v>164</v>
      </c>
      <c r="V35" s="24">
        <f ca="1">COUNTIFS('事業所・施設 一覧'!$D$4:OFFSET('事業所・施設 一覧'!D2031,-1,0),"富士見市",'事業所・施設 一覧'!$AB$4:OFFSET('事業所・施設 一覧'!AB2031,-1,0),"&lt;&gt;")</f>
        <v>1</v>
      </c>
      <c r="W35" s="25">
        <f ca="1">SUMIF('事業所・施設 一覧'!$D$4:OFFSET('事業所・施設 一覧'!D2031,-1,0),"富士見市",'事業所・施設 一覧'!$AB$4:OFFSET('事業所・施設 一覧'!AB2031,-1,0))</f>
        <v>0</v>
      </c>
      <c r="X35" s="24">
        <f ca="1">COUNTIFS('事業所・施設 一覧'!$D$4:OFFSET('事業所・施設 一覧'!D2031,-1,0),"富士見市",'事業所・施設 一覧'!$AC$4:OFFSET('事業所・施設 一覧'!AC2031,-1,0),"&lt;&gt;")</f>
        <v>1</v>
      </c>
      <c r="Y35" s="25">
        <f ca="1">SUMIF('事業所・施設 一覧'!$D$4:OFFSET('事業所・施設 一覧'!D2031,-1,0),"富士見市",'事業所・施設 一覧'!$AC$4:OFFSET('事業所・施設 一覧'!AC2031,-1,0))</f>
        <v>10</v>
      </c>
    </row>
    <row r="36" spans="1:25" ht="20.100000000000001" customHeight="1" x14ac:dyDescent="0.15">
      <c r="A36" s="13">
        <v>32</v>
      </c>
      <c r="B36" s="14" t="s">
        <v>866</v>
      </c>
      <c r="C36" s="2" t="s">
        <v>4107</v>
      </c>
      <c r="D36" s="22">
        <f ca="1">COUNTIFS('事業所・施設 一覧'!$D$4:OFFSET('事業所・施設 一覧'!D2031,-1,0),"三郷市",'事業所・施設 一覧'!$P$4:OFFSET('事業所・施設 一覧'!P2031,-1,0),"&lt;&gt;")</f>
        <v>0</v>
      </c>
      <c r="E36" s="23">
        <f ca="1">SUMIF('事業所・施設 一覧'!$D$4:OFFSET('事業所・施設 一覧'!D2031,-1,0),"三郷市",'事業所・施設 一覧'!$P$4:OFFSET('事業所・施設 一覧'!P2031,-1,0))</f>
        <v>0</v>
      </c>
      <c r="F36" s="24">
        <f ca="1">COUNTIFS('事業所・施設 一覧'!$D$4:OFFSET('事業所・施設 一覧'!D2031,-1,0),"三郷市",'事業所・施設 一覧'!$S$4:OFFSET('事業所・施設 一覧'!S2031,-1,0),"&lt;&gt;")</f>
        <v>0</v>
      </c>
      <c r="G36" s="23">
        <f ca="1">SUMIF('事業所・施設 一覧'!$D$4:OFFSET('事業所・施設 一覧'!D2031,-1,0),"三郷市",'事業所・施設 一覧'!$S$4:OFFSET('事業所・施設 一覧'!S2031,-1,0))</f>
        <v>0</v>
      </c>
      <c r="H36" s="24">
        <f ca="1">COUNTIFS('事業所・施設 一覧'!$D$4:OFFSET('事業所・施設 一覧'!D2031,-1,0),"三郷市",'事業所・施設 一覧'!$T$4:OFFSET('事業所・施設 一覧'!T2031,-1,0),"&lt;&gt;")</f>
        <v>7</v>
      </c>
      <c r="I36" s="23">
        <f ca="1">SUMIF('事業所・施設 一覧'!$D$4:OFFSET('事業所・施設 一覧'!D2031,-1,0),"三郷市",'事業所・施設 一覧'!$T$4:OFFSET('事業所・施設 一覧'!T2031,-1,0))</f>
        <v>150</v>
      </c>
      <c r="J36" s="24">
        <f ca="1">COUNTIFS('事業所・施設 一覧'!$D$4:OFFSET('事業所・施設 一覧'!D2031,-1,0),"三郷市",'事業所・施設 一覧'!$U$4:OFFSET('事業所・施設 一覧'!U2031,-1,0),"&lt;&gt;")</f>
        <v>0</v>
      </c>
      <c r="K36" s="23">
        <f ca="1">SUMIF('事業所・施設 一覧'!$D$4:OFFSET('事業所・施設 一覧'!D2031,-1,0),"三郷市",'事業所・施設 一覧'!$U$4:OFFSET('事業所・施設 一覧'!U2031,-1,0))</f>
        <v>0</v>
      </c>
      <c r="L36" s="24">
        <f ca="1">COUNTIFS('事業所・施設 一覧'!$D$4:OFFSET('事業所・施設 一覧'!D2031,-1,0),"三郷市",'事業所・施設 一覧'!$V$4:OFFSET('事業所・施設 一覧'!V2031,-1,0),"&lt;&gt;")</f>
        <v>0</v>
      </c>
      <c r="M36" s="23">
        <f ca="1">SUMIF('事業所・施設 一覧'!$D$4:OFFSET('事業所・施設 一覧'!D2031,-1,0),"三郷市",'事業所・施設 一覧'!$V$4:OFFSET('事業所・施設 一覧'!V2031,-1,0))</f>
        <v>0</v>
      </c>
      <c r="N36" s="24">
        <f ca="1">COUNTIFS('事業所・施設 一覧'!$D$4:OFFSET('事業所・施設 一覧'!D2031,-1,0),"三郷市",'事業所・施設 一覧'!$W$4:OFFSET('事業所・施設 一覧'!W2031,-1,0),"&lt;&gt;")</f>
        <v>0</v>
      </c>
      <c r="O36" s="23">
        <f ca="1">SUMIF('事業所・施設 一覧'!$D$4:OFFSET('事業所・施設 一覧'!D2031,-1,0),"三郷市",'事業所・施設 一覧'!$W$4:OFFSET('事業所・施設 一覧'!W2031,-1,0))</f>
        <v>0</v>
      </c>
      <c r="P36" s="24">
        <f ca="1">COUNTIFS('事業所・施設 一覧'!$D$4:OFFSET('事業所・施設 一覧'!D2031,-1,0),"三郷市",'事業所・施設 一覧'!$X$4:OFFSET('事業所・施設 一覧'!X2031,-1,0),"&lt;&gt;")</f>
        <v>2</v>
      </c>
      <c r="Q36" s="23">
        <f ca="1">SUMIF('事業所・施設 一覧'!$D$4:OFFSET('事業所・施設 一覧'!D2031,-1,0),"三郷市",'事業所・施設 一覧'!$X$4:OFFSET('事業所・施設 一覧'!X2031,-1,0))</f>
        <v>40</v>
      </c>
      <c r="R36" s="24">
        <f ca="1">COUNTIFS('事業所・施設 一覧'!$D$4:OFFSET('事業所・施設 一覧'!D2031,-1,0),"三郷市",'事業所・施設 一覧'!$Z$4:OFFSET('事業所・施設 一覧'!Z2031,-1,0),"&lt;&gt;")</f>
        <v>3</v>
      </c>
      <c r="S36" s="23">
        <f ca="1">SUMIF('事業所・施設 一覧'!$D$4:OFFSET('事業所・施設 一覧'!D2031,-1,0),"三郷市",'事業所・施設 一覧'!$Z$4:OFFSET('事業所・施設 一覧'!Z2031,-1,0))</f>
        <v>60</v>
      </c>
      <c r="T36" s="24">
        <f ca="1">COUNTIFS('事業所・施設 一覧'!$D$4:OFFSET('事業所・施設 一覧'!D2031,-1,0),"三郷市",'事業所・施設 一覧'!$AA$4:OFFSET('事業所・施設 一覧'!AA2031,-1,0),"&lt;&gt;")</f>
        <v>11</v>
      </c>
      <c r="U36" s="25">
        <f ca="1">SUMIF('事業所・施設 一覧'!$D$4:OFFSET('事業所・施設 一覧'!D2031,-1,0),"三郷市",'事業所・施設 一覧'!$AA$4:OFFSET('事業所・施設 一覧'!AA2031,-1,0))</f>
        <v>229</v>
      </c>
      <c r="V36" s="24">
        <f ca="1">COUNTIFS('事業所・施設 一覧'!$D$4:OFFSET('事業所・施設 一覧'!D2031,-1,0),"三郷市",'事業所・施設 一覧'!$AB$4:OFFSET('事業所・施設 一覧'!AB2031,-1,0),"&lt;&gt;")</f>
        <v>1</v>
      </c>
      <c r="W36" s="25">
        <f ca="1">SUMIF('事業所・施設 一覧'!$D$4:OFFSET('事業所・施設 一覧'!D2031,-1,0),"三郷市",'事業所・施設 一覧'!$AB$4:OFFSET('事業所・施設 一覧'!AB2031,-1,0))</f>
        <v>0</v>
      </c>
      <c r="X36" s="24">
        <f ca="1">COUNTIFS('事業所・施設 一覧'!$D$4:OFFSET('事業所・施設 一覧'!D2031,-1,0),"三郷市",'事業所・施設 一覧'!$AC$4:OFFSET('事業所・施設 一覧'!AC2031,-1,0),"&lt;&gt;")</f>
        <v>0</v>
      </c>
      <c r="Y36" s="25">
        <f ca="1">SUMIF('事業所・施設 一覧'!$D$4:OFFSET('事業所・施設 一覧'!D2031,-1,0),"三郷市",'事業所・施設 一覧'!$AC$4:OFFSET('事業所・施設 一覧'!AC2031,-1,0))</f>
        <v>0</v>
      </c>
    </row>
    <row r="37" spans="1:25" ht="20.100000000000001" customHeight="1" x14ac:dyDescent="0.15">
      <c r="A37" s="13">
        <v>33</v>
      </c>
      <c r="B37" s="14" t="s">
        <v>4156</v>
      </c>
      <c r="C37" s="2" t="s">
        <v>4108</v>
      </c>
      <c r="D37" s="22">
        <f ca="1">COUNTIFS('事業所・施設 一覧'!$D$4:OFFSET('事業所・施設 一覧'!D2031,-1,0),"蓮田市",'事業所・施設 一覧'!$P$4:OFFSET('事業所・施設 一覧'!P2031,-1,0),"&lt;&gt;")</f>
        <v>1</v>
      </c>
      <c r="E37" s="23">
        <f ca="1">SUMIF('事業所・施設 一覧'!$D$4:OFFSET('事業所・施設 一覧'!D2031,-1,0),"蓮田市",'事業所・施設 一覧'!$P$4:OFFSET('事業所・施設 一覧'!P2031,-1,0))</f>
        <v>30</v>
      </c>
      <c r="F37" s="24">
        <f ca="1">COUNTIFS('事業所・施設 一覧'!$D$4:OFFSET('事業所・施設 一覧'!D2031,-1,0),"蓮田市",'事業所・施設 一覧'!$S$4:OFFSET('事業所・施設 一覧'!S2031,-1,0),"&lt;&gt;")</f>
        <v>2</v>
      </c>
      <c r="G37" s="23">
        <f ca="1">SUMIF('事業所・施設 一覧'!$D$4:OFFSET('事業所・施設 一覧'!D2031,-1,0),"蓮田市",'事業所・施設 一覧'!$S$4:OFFSET('事業所・施設 一覧'!S2031,-1,0))</f>
        <v>140</v>
      </c>
      <c r="H37" s="24">
        <f ca="1">COUNTIFS('事業所・施設 一覧'!$D$4:OFFSET('事業所・施設 一覧'!D2031,-1,0),"蓮田市",'事業所・施設 一覧'!$T$4:OFFSET('事業所・施設 一覧'!T2031,-1,0),"&lt;&gt;")</f>
        <v>4</v>
      </c>
      <c r="I37" s="23">
        <f ca="1">SUMIF('事業所・施設 一覧'!$D$4:OFFSET('事業所・施設 一覧'!D2031,-1,0),"蓮田市",'事業所・施設 一覧'!$T$4:OFFSET('事業所・施設 一覧'!T2031,-1,0))</f>
        <v>108</v>
      </c>
      <c r="J37" s="24">
        <f ca="1">COUNTIFS('事業所・施設 一覧'!$D$4:OFFSET('事業所・施設 一覧'!D2031,-1,0),"蓮田市",'事業所・施設 一覧'!$U$4:OFFSET('事業所・施設 一覧'!U2031,-1,0),"&lt;&gt;")</f>
        <v>0</v>
      </c>
      <c r="K37" s="23">
        <f ca="1">SUMIF('事業所・施設 一覧'!$D$4:OFFSET('事業所・施設 一覧'!D2031,-1,0),"蓮田市",'事業所・施設 一覧'!$U$4:OFFSET('事業所・施設 一覧'!U2031,-1,0))</f>
        <v>0</v>
      </c>
      <c r="L37" s="24">
        <f ca="1">COUNTIFS('事業所・施設 一覧'!$D$4:OFFSET('事業所・施設 一覧'!D2031,-1,0),"蓮田市",'事業所・施設 一覧'!$V$4:OFFSET('事業所・施設 一覧'!V2031,-1,0),"&lt;&gt;")</f>
        <v>0</v>
      </c>
      <c r="M37" s="23">
        <f ca="1">SUMIF('事業所・施設 一覧'!$D$4:OFFSET('事業所・施設 一覧'!D2031,-1,0),"蓮田市",'事業所・施設 一覧'!$V$4:OFFSET('事業所・施設 一覧'!V2031,-1,0))</f>
        <v>0</v>
      </c>
      <c r="N37" s="24">
        <f ca="1">COUNTIFS('事業所・施設 一覧'!$D$4:OFFSET('事業所・施設 一覧'!D2031,-1,0),"蓮田市",'事業所・施設 一覧'!$W$4:OFFSET('事業所・施設 一覧'!W2031,-1,0),"&lt;&gt;")</f>
        <v>0</v>
      </c>
      <c r="O37" s="23">
        <f ca="1">SUMIF('事業所・施設 一覧'!$D$4:OFFSET('事業所・施設 一覧'!D2031,-1,0),"蓮田市",'事業所・施設 一覧'!$W$4:OFFSET('事業所・施設 一覧'!W2031,-1,0))</f>
        <v>0</v>
      </c>
      <c r="P37" s="24">
        <f ca="1">COUNTIFS('事業所・施設 一覧'!$D$4:OFFSET('事業所・施設 一覧'!D2031,-1,0),"蓮田市",'事業所・施設 一覧'!$X$4:OFFSET('事業所・施設 一覧'!X2031,-1,0),"&lt;&gt;")</f>
        <v>0</v>
      </c>
      <c r="Q37" s="23">
        <f ca="1">SUMIF('事業所・施設 一覧'!$D$4:OFFSET('事業所・施設 一覧'!D2031,-1,0),"蓮田市",'事業所・施設 一覧'!$X$4:OFFSET('事業所・施設 一覧'!X2031,-1,0))</f>
        <v>0</v>
      </c>
      <c r="R37" s="24">
        <f ca="1">COUNTIFS('事業所・施設 一覧'!$D$4:OFFSET('事業所・施設 一覧'!D2031,-1,0),"蓮田市",'事業所・施設 一覧'!$Z$4:OFFSET('事業所・施設 一覧'!Z2031,-1,0),"&lt;&gt;")</f>
        <v>1</v>
      </c>
      <c r="S37" s="23">
        <f ca="1">SUMIF('事業所・施設 一覧'!$D$4:OFFSET('事業所・施設 一覧'!D2031,-1,0),"蓮田市",'事業所・施設 一覧'!$Z$4:OFFSET('事業所・施設 一覧'!Z2031,-1,0))</f>
        <v>10</v>
      </c>
      <c r="T37" s="24">
        <f ca="1">COUNTIFS('事業所・施設 一覧'!$D$4:OFFSET('事業所・施設 一覧'!D2031,-1,0),"蓮田市",'事業所・施設 一覧'!$AA$4:OFFSET('事業所・施設 一覧'!AA2031,-1,0),"&lt;&gt;")</f>
        <v>3</v>
      </c>
      <c r="U37" s="25">
        <f ca="1">SUMIF('事業所・施設 一覧'!$D$4:OFFSET('事業所・施設 一覧'!D2031,-1,0),"蓮田市",'事業所・施設 一覧'!$AA$4:OFFSET('事業所・施設 一覧'!AA2031,-1,0))</f>
        <v>70</v>
      </c>
      <c r="V37" s="24">
        <f ca="1">COUNTIFS('事業所・施設 一覧'!$D$4:OFFSET('事業所・施設 一覧'!D2031,-1,0),"蓮田市",'事業所・施設 一覧'!$AB$4:OFFSET('事業所・施設 一覧'!AB2031,-1,0),"&lt;&gt;")</f>
        <v>0</v>
      </c>
      <c r="W37" s="25">
        <f ca="1">SUMIF('事業所・施設 一覧'!$D$4:OFFSET('事業所・施設 一覧'!D2031,-1,0),"蓮田市",'事業所・施設 一覧'!$AB$4:OFFSET('事業所・施設 一覧'!AB2031,-1,0))</f>
        <v>0</v>
      </c>
      <c r="X37" s="24">
        <f ca="1">COUNTIFS('事業所・施設 一覧'!$D$4:OFFSET('事業所・施設 一覧'!D2031,-1,0),"蓮田市",'事業所・施設 一覧'!$AC$4:OFFSET('事業所・施設 一覧'!AC2031,-1,0),"&lt;&gt;")</f>
        <v>1</v>
      </c>
      <c r="Y37" s="25">
        <f ca="1">SUMIF('事業所・施設 一覧'!$D$4:OFFSET('事業所・施設 一覧'!D2031,-1,0),"蓮田市",'事業所・施設 一覧'!$AC$4:OFFSET('事業所・施設 一覧'!AC2031,-1,0))</f>
        <v>10</v>
      </c>
    </row>
    <row r="38" spans="1:25" ht="20.100000000000001" customHeight="1" x14ac:dyDescent="0.15">
      <c r="A38" s="13">
        <v>34</v>
      </c>
      <c r="B38" s="14" t="s">
        <v>4155</v>
      </c>
      <c r="C38" s="2" t="s">
        <v>4109</v>
      </c>
      <c r="D38" s="22">
        <f ca="1">COUNTIFS('事業所・施設 一覧'!$D$4:OFFSET('事業所・施設 一覧'!D2031,-1,0),"坂戸市",'事業所・施設 一覧'!$P$4:OFFSET('事業所・施設 一覧'!P2031,-1,0),"&lt;&gt;")</f>
        <v>1</v>
      </c>
      <c r="E38" s="23">
        <f ca="1">SUMIF('事業所・施設 一覧'!$D$4:OFFSET('事業所・施設 一覧'!D2031,-1,0),"坂戸市",'事業所・施設 一覧'!$P$4:OFFSET('事業所・施設 一覧'!P2031,-1,0))</f>
        <v>50</v>
      </c>
      <c r="F38" s="24">
        <f ca="1">COUNTIFS('事業所・施設 一覧'!$D$4:OFFSET('事業所・施設 一覧'!D2031,-1,0),"坂戸市",'事業所・施設 一覧'!$S$4:OFFSET('事業所・施設 一覧'!S2031,-1,0),"&lt;&gt;")</f>
        <v>0</v>
      </c>
      <c r="G38" s="23">
        <f ca="1">SUMIF('事業所・施設 一覧'!$D$4:OFFSET('事業所・施設 一覧'!D2031,-1,0),"坂戸市",'事業所・施設 一覧'!$S$4:OFFSET('事業所・施設 一覧'!S2031,-1,0))</f>
        <v>0</v>
      </c>
      <c r="H38" s="24">
        <f ca="1">COUNTIFS('事業所・施設 一覧'!$D$4:OFFSET('事業所・施設 一覧'!D2031,-1,0),"坂戸市",'事業所・施設 一覧'!$T$4:OFFSET('事業所・施設 一覧'!T2031,-1,0),"&lt;&gt;")</f>
        <v>6</v>
      </c>
      <c r="I38" s="23">
        <f ca="1">SUMIF('事業所・施設 一覧'!$D$4:OFFSET('事業所・施設 一覧'!D2031,-1,0),"坂戸市",'事業所・施設 一覧'!$T$4:OFFSET('事業所・施設 一覧'!T2031,-1,0))</f>
        <v>120</v>
      </c>
      <c r="J38" s="24">
        <f ca="1">COUNTIFS('事業所・施設 一覧'!$D$4:OFFSET('事業所・施設 一覧'!D2031,-1,0),"坂戸市",'事業所・施設 一覧'!$U$4:OFFSET('事業所・施設 一覧'!U2031,-1,0),"&lt;&gt;")</f>
        <v>0</v>
      </c>
      <c r="K38" s="23">
        <f ca="1">SUMIF('事業所・施設 一覧'!$D$4:OFFSET('事業所・施設 一覧'!D2031,-1,0),"坂戸市",'事業所・施設 一覧'!$U$4:OFFSET('事業所・施設 一覧'!U2031,-1,0))</f>
        <v>0</v>
      </c>
      <c r="L38" s="24">
        <f ca="1">COUNTIFS('事業所・施設 一覧'!$D$4:OFFSET('事業所・施設 一覧'!D2031,-1,0),"坂戸市",'事業所・施設 一覧'!$V$4:OFFSET('事業所・施設 一覧'!V2031,-1,0),"&lt;&gt;")</f>
        <v>0</v>
      </c>
      <c r="M38" s="23">
        <f ca="1">SUMIF('事業所・施設 一覧'!$D$4:OFFSET('事業所・施設 一覧'!D2031,-1,0),"坂戸市",'事業所・施設 一覧'!$V$4:OFFSET('事業所・施設 一覧'!V2031,-1,0))</f>
        <v>0</v>
      </c>
      <c r="N38" s="24">
        <f ca="1">COUNTIFS('事業所・施設 一覧'!$D$4:OFFSET('事業所・施設 一覧'!D2031,-1,0),"坂戸市",'事業所・施設 一覧'!$W$4:OFFSET('事業所・施設 一覧'!W2031,-1,0),"&lt;&gt;")</f>
        <v>0</v>
      </c>
      <c r="O38" s="23">
        <f ca="1">SUMIF('事業所・施設 一覧'!$D$4:OFFSET('事業所・施設 一覧'!D2031,-1,0),"坂戸市",'事業所・施設 一覧'!$W$4:OFFSET('事業所・施設 一覧'!W2031,-1,0))</f>
        <v>0</v>
      </c>
      <c r="P38" s="24">
        <f ca="1">COUNTIFS('事業所・施設 一覧'!$D$4:OFFSET('事業所・施設 一覧'!D2031,-1,0),"坂戸市",'事業所・施設 一覧'!$X$4:OFFSET('事業所・施設 一覧'!X2031,-1,0),"&lt;&gt;")</f>
        <v>0</v>
      </c>
      <c r="Q38" s="23">
        <f ca="1">SUMIF('事業所・施設 一覧'!$D$4:OFFSET('事業所・施設 一覧'!D2031,-1,0),"坂戸市",'事業所・施設 一覧'!$X$4:OFFSET('事業所・施設 一覧'!X2031,-1,0))</f>
        <v>0</v>
      </c>
      <c r="R38" s="24">
        <f ca="1">COUNTIFS('事業所・施設 一覧'!$D$4:OFFSET('事業所・施設 一覧'!D2031,-1,0),"坂戸市",'事業所・施設 一覧'!$Z$4:OFFSET('事業所・施設 一覧'!Z2031,-1,0),"&lt;&gt;")</f>
        <v>0</v>
      </c>
      <c r="S38" s="23">
        <f ca="1">SUMIF('事業所・施設 一覧'!$D$4:OFFSET('事業所・施設 一覧'!D2031,-1,0),"坂戸市",'事業所・施設 一覧'!$Z$4:OFFSET('事業所・施設 一覧'!Z2031,-1,0))</f>
        <v>0</v>
      </c>
      <c r="T38" s="24">
        <f ca="1">COUNTIFS('事業所・施設 一覧'!$D$4:OFFSET('事業所・施設 一覧'!D2031,-1,0),"坂戸市",'事業所・施設 一覧'!$AA$4:OFFSET('事業所・施設 一覧'!AA2031,-1,0),"&lt;&gt;")</f>
        <v>13</v>
      </c>
      <c r="U38" s="25">
        <f ca="1">SUMIF('事業所・施設 一覧'!$D$4:OFFSET('事業所・施設 一覧'!D2031,-1,0),"坂戸市",'事業所・施設 一覧'!$AA$4:OFFSET('事業所・施設 一覧'!AA2031,-1,0))</f>
        <v>250</v>
      </c>
      <c r="V38" s="24">
        <f ca="1">COUNTIFS('事業所・施設 一覧'!$D$4:OFFSET('事業所・施設 一覧'!D2031,-1,0),"坂戸市",'事業所・施設 一覧'!$AB$4:OFFSET('事業所・施設 一覧'!AB2031,-1,0),"&lt;&gt;")</f>
        <v>1</v>
      </c>
      <c r="W38" s="25">
        <f ca="1">SUMIF('事業所・施設 一覧'!$D$4:OFFSET('事業所・施設 一覧'!D2031,-1,0),"坂戸市",'事業所・施設 一覧'!$AB$4:OFFSET('事業所・施設 一覧'!AB2031,-1,0))</f>
        <v>0</v>
      </c>
      <c r="X38" s="24">
        <f ca="1">COUNTIFS('事業所・施設 一覧'!$D$4:OFFSET('事業所・施設 一覧'!D2031,-1,0),"坂戸市",'事業所・施設 一覧'!$AC$4:OFFSET('事業所・施設 一覧'!AC2031,-1,0),"&lt;&gt;")</f>
        <v>1</v>
      </c>
      <c r="Y38" s="25">
        <f ca="1">SUMIF('事業所・施設 一覧'!$D$4:OFFSET('事業所・施設 一覧'!D2031,-1,0),"坂戸市",'事業所・施設 一覧'!$AC$4:OFFSET('事業所・施設 一覧'!AC2031,-1,0))</f>
        <v>10</v>
      </c>
    </row>
    <row r="39" spans="1:25" ht="20.100000000000001" customHeight="1" x14ac:dyDescent="0.15">
      <c r="A39" s="13">
        <v>35</v>
      </c>
      <c r="B39" s="14" t="s">
        <v>4156</v>
      </c>
      <c r="C39" s="2" t="s">
        <v>4110</v>
      </c>
      <c r="D39" s="22">
        <f ca="1">COUNTIFS('事業所・施設 一覧'!$D$4:OFFSET('事業所・施設 一覧'!D2031,-1,0),"幸手市",'事業所・施設 一覧'!$P$4:OFFSET('事業所・施設 一覧'!P2031,-1,0),"&lt;&gt;")</f>
        <v>1</v>
      </c>
      <c r="E39" s="23">
        <f ca="1">SUMIF('事業所・施設 一覧'!$D$4:OFFSET('事業所・施設 一覧'!D2031,-1,0),"幸手市",'事業所・施設 一覧'!$P$4:OFFSET('事業所・施設 一覧'!P2031,-1,0))</f>
        <v>50</v>
      </c>
      <c r="F39" s="24">
        <f ca="1">COUNTIFS('事業所・施設 一覧'!$D$4:OFFSET('事業所・施設 一覧'!D2031,-1,0),"幸手市",'事業所・施設 一覧'!$S$4:OFFSET('事業所・施設 一覧'!S2031,-1,0),"&lt;&gt;")</f>
        <v>0</v>
      </c>
      <c r="G39" s="23">
        <f ca="1">SUMIF('事業所・施設 一覧'!$D$4:OFFSET('事業所・施設 一覧'!D2031,-1,0),"幸手市",'事業所・施設 一覧'!$S$4:OFFSET('事業所・施設 一覧'!S2031,-1,0))</f>
        <v>0</v>
      </c>
      <c r="H39" s="24">
        <f ca="1">COUNTIFS('事業所・施設 一覧'!$D$4:OFFSET('事業所・施設 一覧'!D2031,-1,0),"幸手市",'事業所・施設 一覧'!$T$4:OFFSET('事業所・施設 一覧'!T2031,-1,0),"&lt;&gt;")</f>
        <v>4</v>
      </c>
      <c r="I39" s="23">
        <f ca="1">SUMIF('事業所・施設 一覧'!$D$4:OFFSET('事業所・施設 一覧'!D2031,-1,0),"幸手市",'事業所・施設 一覧'!$T$4:OFFSET('事業所・施設 一覧'!T2031,-1,0))</f>
        <v>151</v>
      </c>
      <c r="J39" s="24">
        <f ca="1">COUNTIFS('事業所・施設 一覧'!$D$4:OFFSET('事業所・施設 一覧'!D2031,-1,0),"幸手市",'事業所・施設 一覧'!$U$4:OFFSET('事業所・施設 一覧'!U2031,-1,0),"&lt;&gt;")</f>
        <v>0</v>
      </c>
      <c r="K39" s="23">
        <f ca="1">SUMIF('事業所・施設 一覧'!$D$4:OFFSET('事業所・施設 一覧'!D2031,-1,0),"幸手市",'事業所・施設 一覧'!$U$4:OFFSET('事業所・施設 一覧'!U2031,-1,0))</f>
        <v>0</v>
      </c>
      <c r="L39" s="24">
        <f ca="1">COUNTIFS('事業所・施設 一覧'!$D$4:OFFSET('事業所・施設 一覧'!D2031,-1,0),"幸手市",'事業所・施設 一覧'!$V$4:OFFSET('事業所・施設 一覧'!V2031,-1,0),"&lt;&gt;")</f>
        <v>0</v>
      </c>
      <c r="M39" s="23">
        <f ca="1">SUMIF('事業所・施設 一覧'!$D$4:OFFSET('事業所・施設 一覧'!D2031,-1,0),"幸手市",'事業所・施設 一覧'!$V$4:OFFSET('事業所・施設 一覧'!V2031,-1,0))</f>
        <v>0</v>
      </c>
      <c r="N39" s="24">
        <f ca="1">COUNTIFS('事業所・施設 一覧'!$D$4:OFFSET('事業所・施設 一覧'!D2031,-1,0),"幸手市",'事業所・施設 一覧'!$W$4:OFFSET('事業所・施設 一覧'!W2031,-1,0),"&lt;&gt;")</f>
        <v>0</v>
      </c>
      <c r="O39" s="23">
        <f ca="1">SUMIF('事業所・施設 一覧'!$D$4:OFFSET('事業所・施設 一覧'!D2031,-1,0),"幸手市",'事業所・施設 一覧'!$W$4:OFFSET('事業所・施設 一覧'!W2031,-1,0))</f>
        <v>0</v>
      </c>
      <c r="P39" s="24">
        <f ca="1">COUNTIFS('事業所・施設 一覧'!$D$4:OFFSET('事業所・施設 一覧'!D2031,-1,0),"幸手市",'事業所・施設 一覧'!$X$4:OFFSET('事業所・施設 一覧'!X2031,-1,0),"&lt;&gt;")</f>
        <v>0</v>
      </c>
      <c r="Q39" s="23">
        <f ca="1">SUMIF('事業所・施設 一覧'!$D$4:OFFSET('事業所・施設 一覧'!D2031,-1,0),"幸手市",'事業所・施設 一覧'!$X$4:OFFSET('事業所・施設 一覧'!X2031,-1,0))</f>
        <v>0</v>
      </c>
      <c r="R39" s="24">
        <f ca="1">COUNTIFS('事業所・施設 一覧'!$D$4:OFFSET('事業所・施設 一覧'!D2031,-1,0),"幸手市",'事業所・施設 一覧'!$Z$4:OFFSET('事業所・施設 一覧'!Z2031,-1,0),"&lt;&gt;")</f>
        <v>1</v>
      </c>
      <c r="S39" s="23">
        <f ca="1">SUMIF('事業所・施設 一覧'!$D$4:OFFSET('事業所・施設 一覧'!D2031,-1,0),"幸手市",'事業所・施設 一覧'!$Z$4:OFFSET('事業所・施設 一覧'!Z2031,-1,0))</f>
        <v>20</v>
      </c>
      <c r="T39" s="24">
        <f ca="1">COUNTIFS('事業所・施設 一覧'!$D$4:OFFSET('事業所・施設 一覧'!D2031,-1,0),"幸手市",'事業所・施設 一覧'!$AA$4:OFFSET('事業所・施設 一覧'!AA2031,-1,0),"&lt;&gt;")</f>
        <v>7</v>
      </c>
      <c r="U39" s="25">
        <f ca="1">SUMIF('事業所・施設 一覧'!$D$4:OFFSET('事業所・施設 一覧'!D2031,-1,0),"幸手市",'事業所・施設 一覧'!$AA$4:OFFSET('事業所・施設 一覧'!AA2031,-1,0))</f>
        <v>145</v>
      </c>
      <c r="V39" s="24">
        <f ca="1">COUNTIFS('事業所・施設 一覧'!$D$4:OFFSET('事業所・施設 一覧'!D2031,-1,0),"幸手市",'事業所・施設 一覧'!$AB$4:OFFSET('事業所・施設 一覧'!AB2031,-1,0),"&lt;&gt;")</f>
        <v>0</v>
      </c>
      <c r="W39" s="25">
        <f ca="1">SUMIF('事業所・施設 一覧'!$D$4:OFFSET('事業所・施設 一覧'!D2031,-1,0),"幸手市",'事業所・施設 一覧'!$AB$4:OFFSET('事業所・施設 一覧'!AB2031,-1,0))</f>
        <v>0</v>
      </c>
      <c r="X39" s="24">
        <f ca="1">COUNTIFS('事業所・施設 一覧'!$D$4:OFFSET('事業所・施設 一覧'!D2031,-1,0),"幸手市",'事業所・施設 一覧'!$AC$4:OFFSET('事業所・施設 一覧'!AC2031,-1,0),"&lt;&gt;")</f>
        <v>0</v>
      </c>
      <c r="Y39" s="25">
        <f ca="1">SUMIF('事業所・施設 一覧'!$D$4:OFFSET('事業所・施設 一覧'!D2031,-1,0),"幸手市",'事業所・施設 一覧'!$AC$4:OFFSET('事業所・施設 一覧'!AC2031,-1,0))</f>
        <v>0</v>
      </c>
    </row>
    <row r="40" spans="1:25" ht="20.100000000000001" customHeight="1" x14ac:dyDescent="0.15">
      <c r="A40" s="13">
        <v>36</v>
      </c>
      <c r="B40" s="14" t="s">
        <v>4155</v>
      </c>
      <c r="C40" s="2" t="s">
        <v>4111</v>
      </c>
      <c r="D40" s="22">
        <f ca="1">COUNTIFS('事業所・施設 一覧'!$D$4:OFFSET('事業所・施設 一覧'!D2031,-1,0),"鶴ヶ島市",'事業所・施設 一覧'!$P$4:OFFSET('事業所・施設 一覧'!P2031,-1,0),"&lt;&gt;")</f>
        <v>0</v>
      </c>
      <c r="E40" s="23">
        <f ca="1">SUMIF('事業所・施設 一覧'!$D$4:OFFSET('事業所・施設 一覧'!D2031,-1,0),"鶴ヶ島市",'事業所・施設 一覧'!$P$4:OFFSET('事業所・施設 一覧'!P2031,-1,0))</f>
        <v>0</v>
      </c>
      <c r="F40" s="24">
        <f ca="1">COUNTIFS('事業所・施設 一覧'!$D$4:OFFSET('事業所・施設 一覧'!D2031,-1,0),"鶴ヶ島市",'事業所・施設 一覧'!$S$4:OFFSET('事業所・施設 一覧'!S2031,-1,0),"&lt;&gt;")</f>
        <v>0</v>
      </c>
      <c r="G40" s="23">
        <f ca="1">SUMIF('事業所・施設 一覧'!$D$4:OFFSET('事業所・施設 一覧'!D2031,-1,0),"鶴ヶ島市",'事業所・施設 一覧'!$S$4:OFFSET('事業所・施設 一覧'!S2031,-1,0))</f>
        <v>0</v>
      </c>
      <c r="H40" s="24">
        <f ca="1">COUNTIFS('事業所・施設 一覧'!$D$4:OFFSET('事業所・施設 一覧'!D2031,-1,0),"鶴ヶ島市",'事業所・施設 一覧'!$T$4:OFFSET('事業所・施設 一覧'!T2031,-1,0),"&lt;&gt;")</f>
        <v>7</v>
      </c>
      <c r="I40" s="23">
        <f ca="1">SUMIF('事業所・施設 一覧'!$D$4:OFFSET('事業所・施設 一覧'!D2031,-1,0),"鶴ヶ島市",'事業所・施設 一覧'!$T$4:OFFSET('事業所・施設 一覧'!T2031,-1,0))</f>
        <v>145</v>
      </c>
      <c r="J40" s="24">
        <f ca="1">COUNTIFS('事業所・施設 一覧'!$D$4:OFFSET('事業所・施設 一覧'!D2031,-1,0),"鶴ヶ島市",'事業所・施設 一覧'!$U$4:OFFSET('事業所・施設 一覧'!U2031,-1,0),"&lt;&gt;")</f>
        <v>0</v>
      </c>
      <c r="K40" s="23">
        <f ca="1">SUMIF('事業所・施設 一覧'!$D$4:OFFSET('事業所・施設 一覧'!D2031,-1,0),"鶴ヶ島市",'事業所・施設 一覧'!$U$4:OFFSET('事業所・施設 一覧'!U2031,-1,0))</f>
        <v>0</v>
      </c>
      <c r="L40" s="24">
        <f ca="1">COUNTIFS('事業所・施設 一覧'!$D$4:OFFSET('事業所・施設 一覧'!D2031,-1,0),"鶴ヶ島市",'事業所・施設 一覧'!$V$4:OFFSET('事業所・施設 一覧'!V2031,-1,0),"&lt;&gt;")</f>
        <v>0</v>
      </c>
      <c r="M40" s="23">
        <f ca="1">SUMIF('事業所・施設 一覧'!$D$4:OFFSET('事業所・施設 一覧'!D2031,-1,0),"鶴ヶ島市",'事業所・施設 一覧'!$V$4:OFFSET('事業所・施設 一覧'!V2031,-1,0))</f>
        <v>0</v>
      </c>
      <c r="N40" s="24">
        <f ca="1">COUNTIFS('事業所・施設 一覧'!$D$4:OFFSET('事業所・施設 一覧'!D2031,-1,0),"鶴ヶ島市",'事業所・施設 一覧'!$W$4:OFFSET('事業所・施設 一覧'!W2031,-1,0),"&lt;&gt;")</f>
        <v>0</v>
      </c>
      <c r="O40" s="23">
        <f ca="1">SUMIF('事業所・施設 一覧'!$D$4:OFFSET('事業所・施設 一覧'!D2031,-1,0),"鶴ヶ島市",'事業所・施設 一覧'!$W$4:OFFSET('事業所・施設 一覧'!W2031,-1,0))</f>
        <v>0</v>
      </c>
      <c r="P40" s="24">
        <f ca="1">COUNTIFS('事業所・施設 一覧'!$D$4:OFFSET('事業所・施設 一覧'!D2031,-1,0),"鶴ヶ島市",'事業所・施設 一覧'!$X$4:OFFSET('事業所・施設 一覧'!X2031,-1,0),"&lt;&gt;")</f>
        <v>0</v>
      </c>
      <c r="Q40" s="23">
        <f ca="1">SUMIF('事業所・施設 一覧'!$D$4:OFFSET('事業所・施設 一覧'!D2031,-1,0),"鶴ヶ島市",'事業所・施設 一覧'!$X$4:OFFSET('事業所・施設 一覧'!X2031,-1,0))</f>
        <v>0</v>
      </c>
      <c r="R40" s="24">
        <f ca="1">COUNTIFS('事業所・施設 一覧'!$D$4:OFFSET('事業所・施設 一覧'!D2031,-1,0),"鶴ヶ島市",'事業所・施設 一覧'!$Z$4:OFFSET('事業所・施設 一覧'!Z2031,-1,0),"&lt;&gt;")</f>
        <v>1</v>
      </c>
      <c r="S40" s="23">
        <f ca="1">SUMIF('事業所・施設 一覧'!$D$4:OFFSET('事業所・施設 一覧'!D2031,-1,0),"鶴ヶ島市",'事業所・施設 一覧'!$Z$4:OFFSET('事業所・施設 一覧'!Z2031,-1,0))</f>
        <v>15</v>
      </c>
      <c r="T40" s="24">
        <f ca="1">COUNTIFS('事業所・施設 一覧'!$D$4:OFFSET('事業所・施設 一覧'!D2031,-1,0),"鶴ヶ島市",'事業所・施設 一覧'!$AA$4:OFFSET('事業所・施設 一覧'!AA2031,-1,0),"&lt;&gt;")</f>
        <v>9</v>
      </c>
      <c r="U40" s="25">
        <f ca="1">SUMIF('事業所・施設 一覧'!$D$4:OFFSET('事業所・施設 一覧'!D2031,-1,0),"鶴ヶ島市",'事業所・施設 一覧'!$AA$4:OFFSET('事業所・施設 一覧'!AA2031,-1,0))</f>
        <v>225</v>
      </c>
      <c r="V40" s="24">
        <f ca="1">COUNTIFS('事業所・施設 一覧'!$D$4:OFFSET('事業所・施設 一覧'!D2031,-1,0),"鶴ヶ島市",'事業所・施設 一覧'!$AB$4:OFFSET('事業所・施設 一覧'!AB2031,-1,0),"&lt;&gt;")</f>
        <v>1</v>
      </c>
      <c r="W40" s="25">
        <f ca="1">SUMIF('事業所・施設 一覧'!$D$4:OFFSET('事業所・施設 一覧'!D2031,-1,0),"鶴ヶ島市",'事業所・施設 一覧'!$AB$4:OFFSET('事業所・施設 一覧'!AB2031,-1,0))</f>
        <v>0</v>
      </c>
      <c r="X40" s="24">
        <f ca="1">COUNTIFS('事業所・施設 一覧'!$D$4:OFFSET('事業所・施設 一覧'!D2031,-1,0),"鶴ヶ島市",'事業所・施設 一覧'!$AC$4:OFFSET('事業所・施設 一覧'!AC2031,-1,0),"&lt;&gt;")</f>
        <v>0</v>
      </c>
      <c r="Y40" s="25">
        <f ca="1">SUMIF('事業所・施設 一覧'!$D$4:OFFSET('事業所・施設 一覧'!D2031,-1,0),"鶴ヶ島市",'事業所・施設 一覧'!$AC$4:OFFSET('事業所・施設 一覧'!AC2031,-1,0))</f>
        <v>0</v>
      </c>
    </row>
    <row r="41" spans="1:25" ht="20.100000000000001" customHeight="1" x14ac:dyDescent="0.15">
      <c r="A41" s="15">
        <v>37</v>
      </c>
      <c r="B41" s="14" t="s">
        <v>864</v>
      </c>
      <c r="C41" s="2" t="s">
        <v>4112</v>
      </c>
      <c r="D41" s="22">
        <f ca="1">COUNTIFS('事業所・施設 一覧'!$D$4:OFFSET('事業所・施設 一覧'!D2031,-1,0),"日高市",'事業所・施設 一覧'!$P$4:OFFSET('事業所・施設 一覧'!P2031,-1,0),"&lt;&gt;")</f>
        <v>0</v>
      </c>
      <c r="E41" s="23">
        <f ca="1">SUMIF('事業所・施設 一覧'!$D$4:OFFSET('事業所・施設 一覧'!D2031,-1,0),"日高市",'事業所・施設 一覧'!$P$4:OFFSET('事業所・施設 一覧'!P2031,-1,0))</f>
        <v>0</v>
      </c>
      <c r="F41" s="24">
        <f ca="1">COUNTIFS('事業所・施設 一覧'!$D$4:OFFSET('事業所・施設 一覧'!D2031,-1,0),"日高市",'事業所・施設 一覧'!$S$4:OFFSET('事業所・施設 一覧'!S2031,-1,0),"&lt;&gt;")</f>
        <v>0</v>
      </c>
      <c r="G41" s="23">
        <f ca="1">SUMIF('事業所・施設 一覧'!$D$4:OFFSET('事業所・施設 一覧'!D2031,-1,0),"日高市",'事業所・施設 一覧'!$S$4:OFFSET('事業所・施設 一覧'!S2031,-1,0))</f>
        <v>0</v>
      </c>
      <c r="H41" s="24">
        <f ca="1">COUNTIFS('事業所・施設 一覧'!$D$4:OFFSET('事業所・施設 一覧'!D2031,-1,0),"日高市",'事業所・施設 一覧'!$T$4:OFFSET('事業所・施設 一覧'!T2031,-1,0),"&lt;&gt;")</f>
        <v>8</v>
      </c>
      <c r="I41" s="23">
        <f ca="1">SUMIF('事業所・施設 一覧'!$D$4:OFFSET('事業所・施設 一覧'!D2031,-1,0),"日高市",'事業所・施設 一覧'!$T$4:OFFSET('事業所・施設 一覧'!T2031,-1,0))</f>
        <v>133</v>
      </c>
      <c r="J41" s="24">
        <f ca="1">COUNTIFS('事業所・施設 一覧'!$D$4:OFFSET('事業所・施設 一覧'!D2031,-1,0),"日高市",'事業所・施設 一覧'!$U$4:OFFSET('事業所・施設 一覧'!U2031,-1,0),"&lt;&gt;")</f>
        <v>0</v>
      </c>
      <c r="K41" s="23">
        <f ca="1">SUMIF('事業所・施設 一覧'!$D$4:OFFSET('事業所・施設 一覧'!D2031,-1,0),"日高市",'事業所・施設 一覧'!$U$4:OFFSET('事業所・施設 一覧'!U2031,-1,0))</f>
        <v>0</v>
      </c>
      <c r="L41" s="24">
        <f ca="1">COUNTIFS('事業所・施設 一覧'!$D$4:OFFSET('事業所・施設 一覧'!D2031,-1,0),"日高市",'事業所・施設 一覧'!$V$4:OFFSET('事業所・施設 一覧'!V2031,-1,0),"&lt;&gt;")</f>
        <v>0</v>
      </c>
      <c r="M41" s="23">
        <f ca="1">SUMIF('事業所・施設 一覧'!$D$4:OFFSET('事業所・施設 一覧'!D2031,-1,0),"日高市",'事業所・施設 一覧'!$V$4:OFFSET('事業所・施設 一覧'!V2031,-1,0))</f>
        <v>0</v>
      </c>
      <c r="N41" s="24">
        <f ca="1">COUNTIFS('事業所・施設 一覧'!$D$4:OFFSET('事業所・施設 一覧'!D2031,-1,0),"日高市",'事業所・施設 一覧'!$W$4:OFFSET('事業所・施設 一覧'!W2031,-1,0),"&lt;&gt;")</f>
        <v>0</v>
      </c>
      <c r="O41" s="23">
        <f ca="1">SUMIF('事業所・施設 一覧'!$D$4:OFFSET('事業所・施設 一覧'!D2031,-1,0),"日高市",'事業所・施設 一覧'!$W$4:OFFSET('事業所・施設 一覧'!W2031,-1,0))</f>
        <v>0</v>
      </c>
      <c r="P41" s="24">
        <f ca="1">COUNTIFS('事業所・施設 一覧'!$D$4:OFFSET('事業所・施設 一覧'!D2031,-1,0),"日高市",'事業所・施設 一覧'!$X$4:OFFSET('事業所・施設 一覧'!X2031,-1,0),"&lt;&gt;")</f>
        <v>2</v>
      </c>
      <c r="Q41" s="23">
        <f ca="1">SUMIF('事業所・施設 一覧'!$D$4:OFFSET('事業所・施設 一覧'!D2031,-1,0),"日高市",'事業所・施設 一覧'!$X$4:OFFSET('事業所・施設 一覧'!X2031,-1,0))</f>
        <v>12</v>
      </c>
      <c r="R41" s="24">
        <f ca="1">COUNTIFS('事業所・施設 一覧'!$D$4:OFFSET('事業所・施設 一覧'!D2031,-1,0),"日高市",'事業所・施設 一覧'!$Z$4:OFFSET('事業所・施設 一覧'!Z2031,-1,0),"&lt;&gt;")</f>
        <v>0</v>
      </c>
      <c r="S41" s="23">
        <f ca="1">SUMIF('事業所・施設 一覧'!$D$4:OFFSET('事業所・施設 一覧'!D2031,-1,0),"日高市",'事業所・施設 一覧'!$Z$4:OFFSET('事業所・施設 一覧'!Z2031,-1,0))</f>
        <v>0</v>
      </c>
      <c r="T41" s="24">
        <f ca="1">COUNTIFS('事業所・施設 一覧'!$D$4:OFFSET('事業所・施設 一覧'!D2031,-1,0),"日高市",'事業所・施設 一覧'!$AA$4:OFFSET('事業所・施設 一覧'!AA2031,-1,0),"&lt;&gt;")</f>
        <v>11</v>
      </c>
      <c r="U41" s="25">
        <f ca="1">SUMIF('事業所・施設 一覧'!$D$4:OFFSET('事業所・施設 一覧'!D2031,-1,0),"日高市",'事業所・施設 一覧'!$AA$4:OFFSET('事業所・施設 一覧'!AA2031,-1,0))</f>
        <v>225</v>
      </c>
      <c r="V41" s="24">
        <f ca="1">COUNTIFS('事業所・施設 一覧'!$D$4:OFFSET('事業所・施設 一覧'!D2031,-1,0),"日高市",'事業所・施設 一覧'!$AB$4:OFFSET('事業所・施設 一覧'!AB2031,-1,0),"&lt;&gt;")</f>
        <v>1</v>
      </c>
      <c r="W41" s="25">
        <f ca="1">SUMIF('事業所・施設 一覧'!$D$4:OFFSET('事業所・施設 一覧'!D2031,-1,0),"日高市",'事業所・施設 一覧'!$AB$4:OFFSET('事業所・施設 一覧'!AB2031,-1,0))</f>
        <v>0</v>
      </c>
      <c r="X41" s="24">
        <f ca="1">COUNTIFS('事業所・施設 一覧'!$D$4:OFFSET('事業所・施設 一覧'!D2031,-1,0),"日高市",'事業所・施設 一覧'!$AC$4:OFFSET('事業所・施設 一覧'!AC2031,-1,0),"&lt;&gt;")</f>
        <v>0</v>
      </c>
      <c r="Y41" s="25">
        <f ca="1">SUMIF('事業所・施設 一覧'!$D$4:OFFSET('事業所・施設 一覧'!D2031,-1,0),"日高市",'事業所・施設 一覧'!$AC$4:OFFSET('事業所・施設 一覧'!AC2031,-1,0))</f>
        <v>0</v>
      </c>
    </row>
    <row r="42" spans="1:25" ht="20.100000000000001" customHeight="1" x14ac:dyDescent="0.15">
      <c r="A42" s="15">
        <v>38</v>
      </c>
      <c r="B42" s="14" t="s">
        <v>866</v>
      </c>
      <c r="C42" s="2" t="s">
        <v>4113</v>
      </c>
      <c r="D42" s="22">
        <f ca="1">COUNTIFS('事業所・施設 一覧'!$D$4:OFFSET('事業所・施設 一覧'!D2031,-1,0),"吉川市",'事業所・施設 一覧'!$P$4:OFFSET('事業所・施設 一覧'!P2031,-1,0),"&lt;&gt;")</f>
        <v>0</v>
      </c>
      <c r="E42" s="23">
        <f ca="1">SUMIF('事業所・施設 一覧'!$D$4:OFFSET('事業所・施設 一覧'!D2031,-1,0),"吉川市",'事業所・施設 一覧'!$P$4:OFFSET('事業所・施設 一覧'!P2031,-1,0))</f>
        <v>0</v>
      </c>
      <c r="F42" s="24">
        <f ca="1">COUNTIFS('事業所・施設 一覧'!$D$4:OFFSET('事業所・施設 一覧'!D2031,-1,0),"吉川市",'事業所・施設 一覧'!$S$4:OFFSET('事業所・施設 一覧'!S2031,-1,0),"&lt;&gt;")</f>
        <v>0</v>
      </c>
      <c r="G42" s="23">
        <f ca="1">SUMIF('事業所・施設 一覧'!$D$4:OFFSET('事業所・施設 一覧'!D2031,-1,0),"吉川市",'事業所・施設 一覧'!$S$4:OFFSET('事業所・施設 一覧'!S2031,-1,0))</f>
        <v>0</v>
      </c>
      <c r="H42" s="24">
        <f ca="1">COUNTIFS('事業所・施設 一覧'!$D$4:OFFSET('事業所・施設 一覧'!D2031,-1,0),"吉川市",'事業所・施設 一覧'!$T$4:OFFSET('事業所・施設 一覧'!T2031,-1,0),"&lt;&gt;")</f>
        <v>4</v>
      </c>
      <c r="I42" s="23">
        <f ca="1">SUMIF('事業所・施設 一覧'!$D$4:OFFSET('事業所・施設 一覧'!D2031,-1,0),"吉川市",'事業所・施設 一覧'!$T$4:OFFSET('事業所・施設 一覧'!T2031,-1,0))</f>
        <v>76</v>
      </c>
      <c r="J42" s="24">
        <f ca="1">COUNTIFS('事業所・施設 一覧'!$D$4:OFFSET('事業所・施設 一覧'!D2031,-1,0),"吉川市",'事業所・施設 一覧'!$U$4:OFFSET('事業所・施設 一覧'!U2031,-1,0),"&lt;&gt;")</f>
        <v>0</v>
      </c>
      <c r="K42" s="23">
        <f ca="1">SUMIF('事業所・施設 一覧'!$D$4:OFFSET('事業所・施設 一覧'!D2031,-1,0),"吉川市",'事業所・施設 一覧'!$U$4:OFFSET('事業所・施設 一覧'!U2031,-1,0))</f>
        <v>0</v>
      </c>
      <c r="L42" s="24">
        <f ca="1">COUNTIFS('事業所・施設 一覧'!$D$4:OFFSET('事業所・施設 一覧'!D2031,-1,0),"吉川市",'事業所・施設 一覧'!$V$4:OFFSET('事業所・施設 一覧'!V2031,-1,0),"&lt;&gt;")</f>
        <v>1</v>
      </c>
      <c r="M42" s="23">
        <f ca="1">SUMIF('事業所・施設 一覧'!$D$4:OFFSET('事業所・施設 一覧'!D2031,-1,0),"吉川市",'事業所・施設 一覧'!$V$4:OFFSET('事業所・施設 一覧'!V2031,-1,0))</f>
        <v>9</v>
      </c>
      <c r="N42" s="24">
        <f ca="1">COUNTIFS('事業所・施設 一覧'!$D$4:OFFSET('事業所・施設 一覧'!D2031,-1,0),"吉川市",'事業所・施設 一覧'!$W$4:OFFSET('事業所・施設 一覧'!W2031,-1,0),"&lt;&gt;")</f>
        <v>0</v>
      </c>
      <c r="O42" s="23">
        <f ca="1">SUMIF('事業所・施設 一覧'!$D$4:OFFSET('事業所・施設 一覧'!D2031,-1,0),"吉川市",'事業所・施設 一覧'!$W$4:OFFSET('事業所・施設 一覧'!W2031,-1,0))</f>
        <v>0</v>
      </c>
      <c r="P42" s="24">
        <f ca="1">COUNTIFS('事業所・施設 一覧'!$D$4:OFFSET('事業所・施設 一覧'!D2031,-1,0),"吉川市",'事業所・施設 一覧'!$X$4:OFFSET('事業所・施設 一覧'!X2031,-1,0),"&lt;&gt;")</f>
        <v>3</v>
      </c>
      <c r="Q42" s="23">
        <f ca="1">SUMIF('事業所・施設 一覧'!$D$4:OFFSET('事業所・施設 一覧'!D2031,-1,0),"吉川市",'事業所・施設 一覧'!$X$4:OFFSET('事業所・施設 一覧'!X2031,-1,0))</f>
        <v>49</v>
      </c>
      <c r="R42" s="24">
        <f ca="1">COUNTIFS('事業所・施設 一覧'!$D$4:OFFSET('事業所・施設 一覧'!D2031,-1,0),"吉川市",'事業所・施設 一覧'!$Z$4:OFFSET('事業所・施設 一覧'!Z2031,-1,0),"&lt;&gt;")</f>
        <v>1</v>
      </c>
      <c r="S42" s="23">
        <f ca="1">SUMIF('事業所・施設 一覧'!$D$4:OFFSET('事業所・施設 一覧'!D2031,-1,0),"吉川市",'事業所・施設 一覧'!$Z$4:OFFSET('事業所・施設 一覧'!Z2031,-1,0))</f>
        <v>20</v>
      </c>
      <c r="T42" s="24">
        <f ca="1">COUNTIFS('事業所・施設 一覧'!$D$4:OFFSET('事業所・施設 一覧'!D2031,-1,0),"吉川市",'事業所・施設 一覧'!$AA$4:OFFSET('事業所・施設 一覧'!AA2031,-1,0),"&lt;&gt;")</f>
        <v>7</v>
      </c>
      <c r="U42" s="25">
        <f ca="1">SUMIF('事業所・施設 一覧'!$D$4:OFFSET('事業所・施設 一覧'!D2031,-1,0),"吉川市",'事業所・施設 一覧'!$AA$4:OFFSET('事業所・施設 一覧'!AA2031,-1,0))</f>
        <v>175</v>
      </c>
      <c r="V42" s="24">
        <f ca="1">COUNTIFS('事業所・施設 一覧'!$D$4:OFFSET('事業所・施設 一覧'!D2031,-1,0),"吉川市",'事業所・施設 一覧'!$AB$4:OFFSET('事業所・施設 一覧'!AB2031,-1,0),"&lt;&gt;")</f>
        <v>1</v>
      </c>
      <c r="W42" s="25">
        <f ca="1">SUMIF('事業所・施設 一覧'!$D$4:OFFSET('事業所・施設 一覧'!D2031,-1,0),"吉川市",'事業所・施設 一覧'!$AB$4:OFFSET('事業所・施設 一覧'!AB2031,-1,0))</f>
        <v>0</v>
      </c>
      <c r="X42" s="24">
        <f ca="1">COUNTIFS('事業所・施設 一覧'!$D$4:OFFSET('事業所・施設 一覧'!D2031,-1,0),"吉川市",'事業所・施設 一覧'!$AC$4:OFFSET('事業所・施設 一覧'!AC2031,-1,0),"&lt;&gt;")</f>
        <v>1</v>
      </c>
      <c r="Y42" s="25">
        <f ca="1">SUMIF('事業所・施設 一覧'!$D$4:OFFSET('事業所・施設 一覧'!D2031,-1,0),"吉川市",'事業所・施設 一覧'!$AC$4:OFFSET('事業所・施設 一覧'!AC2031,-1,0))</f>
        <v>10</v>
      </c>
    </row>
    <row r="43" spans="1:25" ht="20.100000000000001" customHeight="1" x14ac:dyDescent="0.15">
      <c r="A43" s="15">
        <v>39</v>
      </c>
      <c r="B43" s="14" t="s">
        <v>1011</v>
      </c>
      <c r="C43" s="2" t="s">
        <v>4114</v>
      </c>
      <c r="D43" s="22">
        <f ca="1">COUNTIFS('事業所・施設 一覧'!$D$4:OFFSET('事業所・施設 一覧'!D2031,-1,0),"ふじみ野市",'事業所・施設 一覧'!$P$4:OFFSET('事業所・施設 一覧'!P2031,-1,0),"&lt;&gt;")</f>
        <v>0</v>
      </c>
      <c r="E43" s="23">
        <f ca="1">SUMIF('事業所・施設 一覧'!$D$4:OFFSET('事業所・施設 一覧'!D2031,-1,0),"ふじみ野市",'事業所・施設 一覧'!$P$4:OFFSET('事業所・施設 一覧'!P2031,-1,0))</f>
        <v>0</v>
      </c>
      <c r="F43" s="24">
        <f ca="1">COUNTIFS('事業所・施設 一覧'!$D$4:OFFSET('事業所・施設 一覧'!D2031,-1,0),"ふじみ野市",'事業所・施設 一覧'!$S$4:OFFSET('事業所・施設 一覧'!S2031,-1,0),"&lt;&gt;")</f>
        <v>0</v>
      </c>
      <c r="G43" s="23">
        <f ca="1">SUMIF('事業所・施設 一覧'!$D$4:OFFSET('事業所・施設 一覧'!D2031,-1,0),"ふじみ野市",'事業所・施設 一覧'!$S$4:OFFSET('事業所・施設 一覧'!S2031,-1,0))</f>
        <v>0</v>
      </c>
      <c r="H43" s="24">
        <f ca="1">COUNTIFS('事業所・施設 一覧'!$D$4:OFFSET('事業所・施設 一覧'!D2031,-1,0),"ふじみ野市",'事業所・施設 一覧'!$T$4:OFFSET('事業所・施設 一覧'!T2031,-1,0),"&lt;&gt;")</f>
        <v>8</v>
      </c>
      <c r="I43" s="23">
        <f ca="1">SUMIF('事業所・施設 一覧'!$D$4:OFFSET('事業所・施設 一覧'!D2031,-1,0),"ふじみ野市",'事業所・施設 一覧'!$T$4:OFFSET('事業所・施設 一覧'!T2031,-1,0))</f>
        <v>132</v>
      </c>
      <c r="J43" s="24">
        <f ca="1">COUNTIFS('事業所・施設 一覧'!$D$4:OFFSET('事業所・施設 一覧'!D2031,-1,0),"ふじみ野市",'事業所・施設 一覧'!$U$4:OFFSET('事業所・施設 一覧'!U2031,-1,0),"&lt;&gt;")</f>
        <v>0</v>
      </c>
      <c r="K43" s="23">
        <f ca="1">SUMIF('事業所・施設 一覧'!$D$4:OFFSET('事業所・施設 一覧'!D2031,-1,0),"ふじみ野市",'事業所・施設 一覧'!$U$4:OFFSET('事業所・施設 一覧'!U2031,-1,0))</f>
        <v>0</v>
      </c>
      <c r="L43" s="24">
        <f ca="1">COUNTIFS('事業所・施設 一覧'!$D$4:OFFSET('事業所・施設 一覧'!D2031,-1,0),"ふじみ野市",'事業所・施設 一覧'!$V$4:OFFSET('事業所・施設 一覧'!V2031,-1,0),"&lt;&gt;")</f>
        <v>1</v>
      </c>
      <c r="M43" s="23">
        <f ca="1">SUMIF('事業所・施設 一覧'!$D$4:OFFSET('事業所・施設 一覧'!D2031,-1,0),"ふじみ野市",'事業所・施設 一覧'!$V$4:OFFSET('事業所・施設 一覧'!V2031,-1,0))</f>
        <v>20</v>
      </c>
      <c r="N43" s="24">
        <f ca="1">COUNTIFS('事業所・施設 一覧'!$D$4:OFFSET('事業所・施設 一覧'!D2031,-1,0),"ふじみ野市",'事業所・施設 一覧'!$W$4:OFFSET('事業所・施設 一覧'!W2031,-1,0),"&lt;&gt;")</f>
        <v>0</v>
      </c>
      <c r="O43" s="23">
        <f ca="1">SUMIF('事業所・施設 一覧'!$D$4:OFFSET('事業所・施設 一覧'!D2031,-1,0),"ふじみ野市",'事業所・施設 一覧'!$W$4:OFFSET('事業所・施設 一覧'!W2031,-1,0))</f>
        <v>0</v>
      </c>
      <c r="P43" s="24">
        <f ca="1">COUNTIFS('事業所・施設 一覧'!$D$4:OFFSET('事業所・施設 一覧'!D2031,-1,0),"ふじみ野市",'事業所・施設 一覧'!$X$4:OFFSET('事業所・施設 一覧'!X2031,-1,0),"&lt;&gt;")</f>
        <v>1</v>
      </c>
      <c r="Q43" s="23">
        <f ca="1">SUMIF('事業所・施設 一覧'!$D$4:OFFSET('事業所・施設 一覧'!D2031,-1,0),"ふじみ野市",'事業所・施設 一覧'!$X$4:OFFSET('事業所・施設 一覧'!X2031,-1,0))</f>
        <v>20</v>
      </c>
      <c r="R43" s="24">
        <f ca="1">COUNTIFS('事業所・施設 一覧'!$D$4:OFFSET('事業所・施設 一覧'!D2031,-1,0),"ふじみ野市",'事業所・施設 一覧'!$Z$4:OFFSET('事業所・施設 一覧'!Z2031,-1,0),"&lt;&gt;")</f>
        <v>2</v>
      </c>
      <c r="S43" s="23">
        <f ca="1">SUMIF('事業所・施設 一覧'!$D$4:OFFSET('事業所・施設 一覧'!D2031,-1,0),"ふじみ野市",'事業所・施設 一覧'!$Z$4:OFFSET('事業所・施設 一覧'!Z2031,-1,0))</f>
        <v>35</v>
      </c>
      <c r="T43" s="24">
        <f ca="1">COUNTIFS('事業所・施設 一覧'!$D$4:OFFSET('事業所・施設 一覧'!D2031,-1,0),"ふじみ野市",'事業所・施設 一覧'!$AA$4:OFFSET('事業所・施設 一覧'!AA2031,-1,0),"&lt;&gt;")</f>
        <v>10</v>
      </c>
      <c r="U43" s="25">
        <f ca="1">SUMIF('事業所・施設 一覧'!$D$4:OFFSET('事業所・施設 一覧'!D2031,-1,0),"ふじみ野市",'事業所・施設 一覧'!$AA$4:OFFSET('事業所・施設 一覧'!AA2031,-1,0))</f>
        <v>197</v>
      </c>
      <c r="V43" s="24">
        <f ca="1">COUNTIFS('事業所・施設 一覧'!$D$4:OFFSET('事業所・施設 一覧'!D2031,-1,0),"ふじみ野市",'事業所・施設 一覧'!$AB$4:OFFSET('事業所・施設 一覧'!AB2031,-1,0),"&lt;&gt;")</f>
        <v>2</v>
      </c>
      <c r="W43" s="25">
        <f ca="1">SUMIF('事業所・施設 一覧'!$D$4:OFFSET('事業所・施設 一覧'!D2031,-1,0),"ふじみ野市",'事業所・施設 一覧'!$AB$4:OFFSET('事業所・施設 一覧'!AB2031,-1,0))</f>
        <v>0</v>
      </c>
      <c r="X43" s="24">
        <f ca="1">COUNTIFS('事業所・施設 一覧'!$D$4:OFFSET('事業所・施設 一覧'!D2031,-1,0),"ふじみ野市",'事業所・施設 一覧'!$AC$4:OFFSET('事業所・施設 一覧'!AC2031,-1,0),"&lt;&gt;")</f>
        <v>0</v>
      </c>
      <c r="Y43" s="25">
        <f ca="1">SUMIF('事業所・施設 一覧'!$D$4:OFFSET('事業所・施設 一覧'!D2031,-1,0),"ふじみ野市",'事業所・施設 一覧'!$AC$4:OFFSET('事業所・施設 一覧'!AC2031,-1,0))</f>
        <v>0</v>
      </c>
    </row>
    <row r="44" spans="1:25" ht="20.100000000000001" customHeight="1" x14ac:dyDescent="0.15">
      <c r="A44" s="15">
        <v>40</v>
      </c>
      <c r="B44" s="14" t="s">
        <v>4156</v>
      </c>
      <c r="C44" s="2" t="s">
        <v>4115</v>
      </c>
      <c r="D44" s="22">
        <f ca="1">COUNTIFS('事業所・施設 一覧'!$D$4:OFFSET('事業所・施設 一覧'!D2031,-1,0),"白岡市",'事業所・施設 一覧'!$P$4:OFFSET('事業所・施設 一覧'!P2031,-1,0),"&lt;&gt;")</f>
        <v>1</v>
      </c>
      <c r="E44" s="23">
        <f ca="1">SUMIF('事業所・施設 一覧'!$D$4:OFFSET('事業所・施設 一覧'!D2031,-1,0),"白岡市",'事業所・施設 一覧'!$P$4:OFFSET('事業所・施設 一覧'!P2031,-1,0))</f>
        <v>60</v>
      </c>
      <c r="F44" s="24">
        <f ca="1">COUNTIFS('事業所・施設 一覧'!$D$4:OFFSET('事業所・施設 一覧'!D2031,-1,0),"白岡市",'事業所・施設 一覧'!$S$4:OFFSET('事業所・施設 一覧'!S2031,-1,0),"&lt;&gt;")</f>
        <v>0</v>
      </c>
      <c r="G44" s="23">
        <f ca="1">SUMIF('事業所・施設 一覧'!$D$4:OFFSET('事業所・施設 一覧'!D2031,-1,0),"白岡市",'事業所・施設 一覧'!$S$4:OFFSET('事業所・施設 一覧'!S2031,-1,0))</f>
        <v>0</v>
      </c>
      <c r="H44" s="24">
        <f ca="1">COUNTIFS('事業所・施設 一覧'!$D$4:OFFSET('事業所・施設 一覧'!D2031,-1,0),"白岡市",'事業所・施設 一覧'!$T$4:OFFSET('事業所・施設 一覧'!T2031,-1,0),"&lt;&gt;")</f>
        <v>4</v>
      </c>
      <c r="I44" s="23">
        <f ca="1">SUMIF('事業所・施設 一覧'!$D$4:OFFSET('事業所・施設 一覧'!D2031,-1,0),"白岡市",'事業所・施設 一覧'!$T$4:OFFSET('事業所・施設 一覧'!T2031,-1,0))</f>
        <v>106</v>
      </c>
      <c r="J44" s="24">
        <f ca="1">COUNTIFS('事業所・施設 一覧'!$D$4:OFFSET('事業所・施設 一覧'!D2031,-1,0),"白岡市",'事業所・施設 一覧'!$U$4:OFFSET('事業所・施設 一覧'!U2031,-1,0),"&lt;&gt;")</f>
        <v>0</v>
      </c>
      <c r="K44" s="23">
        <f ca="1">SUMIF('事業所・施設 一覧'!$D$4:OFFSET('事業所・施設 一覧'!D2031,-1,0),"白岡市",'事業所・施設 一覧'!$U$4:OFFSET('事業所・施設 一覧'!U2031,-1,0))</f>
        <v>0</v>
      </c>
      <c r="L44" s="24">
        <f ca="1">COUNTIFS('事業所・施設 一覧'!$D$4:OFFSET('事業所・施設 一覧'!D2031,-1,0),"白岡市",'事業所・施設 一覧'!$V$4:OFFSET('事業所・施設 一覧'!V2031,-1,0),"&lt;&gt;")</f>
        <v>0</v>
      </c>
      <c r="M44" s="23">
        <f ca="1">SUMIF('事業所・施設 一覧'!$D$4:OFFSET('事業所・施設 一覧'!D2031,-1,0),"白岡市",'事業所・施設 一覧'!$V$4:OFFSET('事業所・施設 一覧'!V2031,-1,0))</f>
        <v>0</v>
      </c>
      <c r="N44" s="24">
        <f ca="1">COUNTIFS('事業所・施設 一覧'!$D$4:OFFSET('事業所・施設 一覧'!D2031,-1,0),"白岡市",'事業所・施設 一覧'!$W$4:OFFSET('事業所・施設 一覧'!W2031,-1,0),"&lt;&gt;")</f>
        <v>0</v>
      </c>
      <c r="O44" s="23">
        <f ca="1">SUMIF('事業所・施設 一覧'!$D$4:OFFSET('事業所・施設 一覧'!D2031,-1,0),"白岡市",'事業所・施設 一覧'!$W$4:OFFSET('事業所・施設 一覧'!W2031,-1,0))</f>
        <v>0</v>
      </c>
      <c r="P44" s="24">
        <f ca="1">COUNTIFS('事業所・施設 一覧'!$D$4:OFFSET('事業所・施設 一覧'!D2031,-1,0),"白岡市",'事業所・施設 一覧'!$X$4:OFFSET('事業所・施設 一覧'!X2031,-1,0),"&lt;&gt;")</f>
        <v>0</v>
      </c>
      <c r="Q44" s="23">
        <f ca="1">SUMIF('事業所・施設 一覧'!$D$4:OFFSET('事業所・施設 一覧'!D2031,-1,0),"白岡市",'事業所・施設 一覧'!$X$4:OFFSET('事業所・施設 一覧'!X2031,-1,0))</f>
        <v>0</v>
      </c>
      <c r="R44" s="24">
        <f ca="1">COUNTIFS('事業所・施設 一覧'!$D$4:OFFSET('事業所・施設 一覧'!D2031,-1,0),"白岡市",'事業所・施設 一覧'!$Z$4:OFFSET('事業所・施設 一覧'!Z2031,-1,0),"&lt;&gt;")</f>
        <v>0</v>
      </c>
      <c r="S44" s="23">
        <f ca="1">SUMIF('事業所・施設 一覧'!$D$4:OFFSET('事業所・施設 一覧'!D2031,-1,0),"白岡市",'事業所・施設 一覧'!$Z$4:OFFSET('事業所・施設 一覧'!Z2031,-1,0))</f>
        <v>0</v>
      </c>
      <c r="T44" s="24">
        <f ca="1">COUNTIFS('事業所・施設 一覧'!$D$4:OFFSET('事業所・施設 一覧'!D2031,-1,0),"白岡市",'事業所・施設 一覧'!$AA$4:OFFSET('事業所・施設 一覧'!AA2031,-1,0),"&lt;&gt;")</f>
        <v>5</v>
      </c>
      <c r="U44" s="25">
        <f ca="1">SUMIF('事業所・施設 一覧'!$D$4:OFFSET('事業所・施設 一覧'!D2031,-1,0),"白岡市",'事業所・施設 一覧'!$AA$4:OFFSET('事業所・施設 一覧'!AA2031,-1,0))</f>
        <v>114</v>
      </c>
      <c r="V44" s="24">
        <f ca="1">COUNTIFS('事業所・施設 一覧'!$D$4:OFFSET('事業所・施設 一覧'!D2031,-1,0),"白岡市",'事業所・施設 一覧'!$AB$4:OFFSET('事業所・施設 一覧'!AB2031,-1,0),"&lt;&gt;")</f>
        <v>0</v>
      </c>
      <c r="W44" s="25">
        <f ca="1">SUMIF('事業所・施設 一覧'!$D$4:OFFSET('事業所・施設 一覧'!D2031,-1,0),"白岡市",'事業所・施設 一覧'!$AB$4:OFFSET('事業所・施設 一覧'!AB2031,-1,0))</f>
        <v>0</v>
      </c>
      <c r="X44" s="24">
        <f ca="1">COUNTIFS('事業所・施設 一覧'!$D$4:OFFSET('事業所・施設 一覧'!D2031,-1,0),"白岡市",'事業所・施設 一覧'!$AC$4:OFFSET('事業所・施設 一覧'!AC2031,-1,0),"&lt;&gt;")</f>
        <v>0</v>
      </c>
      <c r="Y44" s="25">
        <f ca="1">SUMIF('事業所・施設 一覧'!$D$4:OFFSET('事業所・施設 一覧'!D2031,-1,0),"白岡市",'事業所・施設 一覧'!$AC$4:OFFSET('事業所・施設 一覧'!AC2031,-1,0))</f>
        <v>0</v>
      </c>
    </row>
    <row r="45" spans="1:25" ht="20.100000000000001" customHeight="1" x14ac:dyDescent="0.15">
      <c r="A45" s="15">
        <v>41</v>
      </c>
      <c r="B45" s="14" t="s">
        <v>1013</v>
      </c>
      <c r="C45" s="2" t="s">
        <v>4116</v>
      </c>
      <c r="D45" s="22">
        <f ca="1">COUNTIFS('事業所・施設 一覧'!$D$4:OFFSET('事業所・施設 一覧'!D2031,-1,0),"*伊奈町*",'事業所・施設 一覧'!$P$4:OFFSET('事業所・施設 一覧'!P2031,-1,0),"&lt;&gt;")</f>
        <v>0</v>
      </c>
      <c r="E45" s="23">
        <f ca="1">SUMIF('事業所・施設 一覧'!$D$4:OFFSET('事業所・施設 一覧'!D2031,-1,0),"*伊奈町*",'事業所・施設 一覧'!$P$4:OFFSET('事業所・施設 一覧'!P2031,-1,0))</f>
        <v>0</v>
      </c>
      <c r="F45" s="24">
        <f ca="1">COUNTIFS('事業所・施設 一覧'!$D$4:OFFSET('事業所・施設 一覧'!D2031,-1,0),"*伊奈町*",'事業所・施設 一覧'!$S$4:OFFSET('事業所・施設 一覧'!S2031,-1,0),"&lt;&gt;")</f>
        <v>0</v>
      </c>
      <c r="G45" s="23">
        <f ca="1">SUMIF('事業所・施設 一覧'!$D$4:OFFSET('事業所・施設 一覧'!D2031,-1,0),"*伊奈町*",'事業所・施設 一覧'!$S$4:OFFSET('事業所・施設 一覧'!S2031,-1,0))</f>
        <v>0</v>
      </c>
      <c r="H45" s="24">
        <f ca="1">COUNTIFS('事業所・施設 一覧'!$D$4:OFFSET('事業所・施設 一覧'!D2031,-1,0),"*伊奈町*",'事業所・施設 一覧'!$T$4:OFFSET('事業所・施設 一覧'!T2031,-1,0),"&lt;&gt;")</f>
        <v>3</v>
      </c>
      <c r="I45" s="23">
        <f ca="1">SUMIF('事業所・施設 一覧'!$D$4:OFFSET('事業所・施設 一覧'!D2031,-1,0),"*伊奈町*",'事業所・施設 一覧'!$T$4:OFFSET('事業所・施設 一覧'!T2031,-1,0))</f>
        <v>60</v>
      </c>
      <c r="J45" s="24">
        <f ca="1">COUNTIFS('事業所・施設 一覧'!$D$4:OFFSET('事業所・施設 一覧'!D2031,-1,0),"*伊奈町*",'事業所・施設 一覧'!$U$4:OFFSET('事業所・施設 一覧'!U2031,-1,0),"&lt;&gt;")</f>
        <v>0</v>
      </c>
      <c r="K45" s="23">
        <f ca="1">SUMIF('事業所・施設 一覧'!$D$4:OFFSET('事業所・施設 一覧'!D2031,-1,0),"*伊奈町*",'事業所・施設 一覧'!$U$4:OFFSET('事業所・施設 一覧'!U2031,-1,0))</f>
        <v>0</v>
      </c>
      <c r="L45" s="24">
        <f ca="1">COUNTIFS('事業所・施設 一覧'!$D$4:OFFSET('事業所・施設 一覧'!D2031,-1,0),"*伊奈町*",'事業所・施設 一覧'!$V$4:OFFSET('事業所・施設 一覧'!V2031,-1,0),"&lt;&gt;")</f>
        <v>1</v>
      </c>
      <c r="M45" s="23">
        <f ca="1">SUMIF('事業所・施設 一覧'!$D$4:OFFSET('事業所・施設 一覧'!D2031,-1,0),"*伊奈町*",'事業所・施設 一覧'!$V$4:OFFSET('事業所・施設 一覧'!V2031,-1,0))</f>
        <v>20</v>
      </c>
      <c r="N45" s="24">
        <f ca="1">COUNTIFS('事業所・施設 一覧'!$D$4:OFFSET('事業所・施設 一覧'!D2031,-1,0),"*伊奈町*",'事業所・施設 一覧'!$W$4:OFFSET('事業所・施設 一覧'!W2031,-1,0),"&lt;&gt;")</f>
        <v>1</v>
      </c>
      <c r="O45" s="23">
        <f ca="1">SUMIF('事業所・施設 一覧'!$D$4:OFFSET('事業所・施設 一覧'!D2031,-1,0),"*伊奈町*",'事業所・施設 一覧'!$W$4:OFFSET('事業所・施設 一覧'!W2031,-1,0))</f>
        <v>20</v>
      </c>
      <c r="P45" s="24">
        <f ca="1">COUNTIFS('事業所・施設 一覧'!$D$4:OFFSET('事業所・施設 一覧'!D2031,-1,0),"*伊奈町*",'事業所・施設 一覧'!$X$4:OFFSET('事業所・施設 一覧'!X2031,-1,0),"&lt;&gt;")</f>
        <v>0</v>
      </c>
      <c r="Q45" s="23">
        <f ca="1">SUMIF('事業所・施設 一覧'!$D$4:OFFSET('事業所・施設 一覧'!D2031,-1,0),"*伊奈町*",'事業所・施設 一覧'!$X$4:OFFSET('事業所・施設 一覧'!X2031,-1,0))</f>
        <v>0</v>
      </c>
      <c r="R45" s="24">
        <f ca="1">COUNTIFS('事業所・施設 一覧'!$D$4:OFFSET('事業所・施設 一覧'!D2031,-1,0),"*伊奈町*",'事業所・施設 一覧'!$Z$4:OFFSET('事業所・施設 一覧'!Z2031,-1,0),"&lt;&gt;")</f>
        <v>0</v>
      </c>
      <c r="S45" s="23">
        <f ca="1">SUMIF('事業所・施設 一覧'!$D$4:OFFSET('事業所・施設 一覧'!D2031,-1,0),"*伊奈町*",'事業所・施設 一覧'!$Z$4:OFFSET('事業所・施設 一覧'!Z2031,-1,0))</f>
        <v>0</v>
      </c>
      <c r="T45" s="24">
        <f ca="1">COUNTIFS('事業所・施設 一覧'!$D$4:OFFSET('事業所・施設 一覧'!D2031,-1,0),"*伊奈町*",'事業所・施設 一覧'!$AA$4:OFFSET('事業所・施設 一覧'!AA2031,-1,0),"&lt;&gt;")</f>
        <v>4</v>
      </c>
      <c r="U45" s="25">
        <f ca="1">SUMIF('事業所・施設 一覧'!$D$4:OFFSET('事業所・施設 一覧'!D2031,-1,0),"*伊奈町*",'事業所・施設 一覧'!$AA$4:OFFSET('事業所・施設 一覧'!AA2031,-1,0))</f>
        <v>80</v>
      </c>
      <c r="V45" s="24">
        <f ca="1">COUNTIFS('事業所・施設 一覧'!$D$4:OFFSET('事業所・施設 一覧'!D2031,-1,0),"*伊奈町*",'事業所・施設 一覧'!$AB$4:OFFSET('事業所・施設 一覧'!AB2031,-1,0),"&lt;&gt;")</f>
        <v>0</v>
      </c>
      <c r="W45" s="25">
        <f ca="1">SUMIF('事業所・施設 一覧'!$D$4:OFFSET('事業所・施設 一覧'!D2031,-1,0),"*伊奈町*",'事業所・施設 一覧'!$AB$4:OFFSET('事業所・施設 一覧'!AB2031,-1,0))</f>
        <v>0</v>
      </c>
      <c r="X45" s="24">
        <f ca="1">COUNTIFS('事業所・施設 一覧'!$D$4:OFFSET('事業所・施設 一覧'!D2031,-1,0),"*伊奈町*",'事業所・施設 一覧'!$AC$4:OFFSET('事業所・施設 一覧'!AC2031,-1,0),"&lt;&gt;")</f>
        <v>0</v>
      </c>
      <c r="Y45" s="25">
        <f ca="1">SUMIF('事業所・施設 一覧'!$D$4:OFFSET('事業所・施設 一覧'!D2031,-1,0),"*伊奈町*",'事業所・施設 一覧'!$AC$4:OFFSET('事業所・施設 一覧'!AC2031,-1,0))</f>
        <v>0</v>
      </c>
    </row>
    <row r="46" spans="1:25" ht="20.100000000000001" customHeight="1" x14ac:dyDescent="0.15">
      <c r="A46" s="15">
        <v>42</v>
      </c>
      <c r="B46" s="14" t="s">
        <v>1011</v>
      </c>
      <c r="C46" s="2" t="s">
        <v>4117</v>
      </c>
      <c r="D46" s="22">
        <f ca="1">COUNTIFS('事業所・施設 一覧'!$D$4:OFFSET('事業所・施設 一覧'!D2031,-1,0),"*三芳町*",'事業所・施設 一覧'!$P$4:OFFSET('事業所・施設 一覧'!P2031,-1,0),"&lt;&gt;")</f>
        <v>2</v>
      </c>
      <c r="E46" s="23">
        <f ca="1">SUMIF('事業所・施設 一覧'!$D$4:OFFSET('事業所・施設 一覧'!D2031,-1,0),"*三芳町*",'事業所・施設 一覧'!$P$4:OFFSET('事業所・施設 一覧'!P2031,-1,0))</f>
        <v>90</v>
      </c>
      <c r="F46" s="24">
        <f ca="1">COUNTIFS('事業所・施設 一覧'!$D$4:OFFSET('事業所・施設 一覧'!D2031,-1,0),"*三芳町*",'事業所・施設 一覧'!$S$4:OFFSET('事業所・施設 一覧'!S2031,-1,0),"&lt;&gt;")</f>
        <v>0</v>
      </c>
      <c r="G46" s="23">
        <f ca="1">SUMIF('事業所・施設 一覧'!$D$4:OFFSET('事業所・施設 一覧'!D2031,-1,0),"*三芳町*",'事業所・施設 一覧'!$S$4:OFFSET('事業所・施設 一覧'!S2031,-1,0))</f>
        <v>0</v>
      </c>
      <c r="H46" s="24">
        <f ca="1">COUNTIFS('事業所・施設 一覧'!$D$4:OFFSET('事業所・施設 一覧'!D2031,-1,0),"*三芳町*",'事業所・施設 一覧'!$T$4:OFFSET('事業所・施設 一覧'!T2031,-1,0),"&lt;&gt;")</f>
        <v>5</v>
      </c>
      <c r="I46" s="23">
        <f ca="1">SUMIF('事業所・施設 一覧'!$D$4:OFFSET('事業所・施設 一覧'!D2031,-1,0),"*三芳町*",'事業所・施設 一覧'!$T$4:OFFSET('事業所・施設 一覧'!T2031,-1,0))</f>
        <v>170</v>
      </c>
      <c r="J46" s="24">
        <f ca="1">COUNTIFS('事業所・施設 一覧'!$D$4:OFFSET('事業所・施設 一覧'!D2031,-1,0),"*三芳町*",'事業所・施設 一覧'!$U$4:OFFSET('事業所・施設 一覧'!U2031,-1,0),"&lt;&gt;")</f>
        <v>0</v>
      </c>
      <c r="K46" s="23">
        <f ca="1">SUMIF('事業所・施設 一覧'!$D$4:OFFSET('事業所・施設 一覧'!D2031,-1,0),"*三芳町*",'事業所・施設 一覧'!$U$4:OFFSET('事業所・施設 一覧'!U2031,-1,0))</f>
        <v>0</v>
      </c>
      <c r="L46" s="24">
        <f ca="1">COUNTIFS('事業所・施設 一覧'!$D$4:OFFSET('事業所・施設 一覧'!D2031,-1,0),"*三芳町*",'事業所・施設 一覧'!$V$4:OFFSET('事業所・施設 一覧'!V2031,-1,0),"&lt;&gt;")</f>
        <v>0</v>
      </c>
      <c r="M46" s="23">
        <f ca="1">SUMIF('事業所・施設 一覧'!$D$4:OFFSET('事業所・施設 一覧'!D2031,-1,0),"*三芳町*",'事業所・施設 一覧'!$V$4:OFFSET('事業所・施設 一覧'!V2031,-1,0))</f>
        <v>0</v>
      </c>
      <c r="N46" s="24">
        <f ca="1">COUNTIFS('事業所・施設 一覧'!$D$4:OFFSET('事業所・施設 一覧'!D2031,-1,0),"*三芳町*",'事業所・施設 一覧'!$W$4:OFFSET('事業所・施設 一覧'!W2031,-1,0),"&lt;&gt;")</f>
        <v>0</v>
      </c>
      <c r="O46" s="23">
        <f ca="1">SUMIF('事業所・施設 一覧'!$D$4:OFFSET('事業所・施設 一覧'!D2031,-1,0),"*三芳町*",'事業所・施設 一覧'!$W$4:OFFSET('事業所・施設 一覧'!W2031,-1,0))</f>
        <v>0</v>
      </c>
      <c r="P46" s="24">
        <f ca="1">COUNTIFS('事業所・施設 一覧'!$D$4:OFFSET('事業所・施設 一覧'!D2031,-1,0),"*三芳町*",'事業所・施設 一覧'!$X$4:OFFSET('事業所・施設 一覧'!X2031,-1,0),"&lt;&gt;")</f>
        <v>0</v>
      </c>
      <c r="Q46" s="23">
        <f ca="1">SUMIF('事業所・施設 一覧'!$D$4:OFFSET('事業所・施設 一覧'!D2031,-1,0),"*三芳町*",'事業所・施設 一覧'!$X$4:OFFSET('事業所・施設 一覧'!X2031,-1,0))</f>
        <v>0</v>
      </c>
      <c r="R46" s="24">
        <f ca="1">COUNTIFS('事業所・施設 一覧'!$D$4:OFFSET('事業所・施設 一覧'!D2031,-1,0),"*三芳町*",'事業所・施設 一覧'!$Z$4:OFFSET('事業所・施設 一覧'!Z2031,-1,0),"&lt;&gt;")</f>
        <v>0</v>
      </c>
      <c r="S46" s="23">
        <f ca="1">SUMIF('事業所・施設 一覧'!$D$4:OFFSET('事業所・施設 一覧'!D2031,-1,0),"*三芳町*",'事業所・施設 一覧'!$Z$4:OFFSET('事業所・施設 一覧'!Z2031,-1,0))</f>
        <v>0</v>
      </c>
      <c r="T46" s="24">
        <f ca="1">COUNTIFS('事業所・施設 一覧'!$D$4:OFFSET('事業所・施設 一覧'!D2031,-1,0),"*三芳町*",'事業所・施設 一覧'!$AA$4:OFFSET('事業所・施設 一覧'!AA2031,-1,0),"&lt;&gt;")</f>
        <v>4</v>
      </c>
      <c r="U46" s="25">
        <f ca="1">SUMIF('事業所・施設 一覧'!$D$4:OFFSET('事業所・施設 一覧'!D2031,-1,0),"*三芳町*",'事業所・施設 一覧'!$AA$4:OFFSET('事業所・施設 一覧'!AA2031,-1,0))</f>
        <v>100</v>
      </c>
      <c r="V46" s="24">
        <f ca="1">COUNTIFS('事業所・施設 一覧'!$D$4:OFFSET('事業所・施設 一覧'!D2031,-1,0),"*三芳町*",'事業所・施設 一覧'!$AB$4:OFFSET('事業所・施設 一覧'!AB2031,-1,0),"&lt;&gt;")</f>
        <v>0</v>
      </c>
      <c r="W46" s="25">
        <f ca="1">SUMIF('事業所・施設 一覧'!$D$4:OFFSET('事業所・施設 一覧'!D2031,-1,0),"*三芳町*",'事業所・施設 一覧'!$AB$4:OFFSET('事業所・施設 一覧'!AB2031,-1,0))</f>
        <v>0</v>
      </c>
      <c r="X46" s="24">
        <f ca="1">COUNTIFS('事業所・施設 一覧'!$D$4:OFFSET('事業所・施設 一覧'!D2031,-1,0),"*三芳町*",'事業所・施設 一覧'!$AC$4:OFFSET('事業所・施設 一覧'!AC2031,-1,0),"&lt;&gt;")</f>
        <v>0</v>
      </c>
      <c r="Y46" s="25">
        <f ca="1">SUMIF('事業所・施設 一覧'!$D$4:OFFSET('事業所・施設 一覧'!D2031,-1,0),"*三芳町*",'事業所・施設 一覧'!$AC$4:OFFSET('事業所・施設 一覧'!AC2031,-1,0))</f>
        <v>0</v>
      </c>
    </row>
    <row r="47" spans="1:25" ht="20.100000000000001" customHeight="1" x14ac:dyDescent="0.15">
      <c r="A47" s="15">
        <v>43</v>
      </c>
      <c r="B47" s="14" t="s">
        <v>4155</v>
      </c>
      <c r="C47" s="2" t="s">
        <v>4118</v>
      </c>
      <c r="D47" s="22">
        <f ca="1">COUNTIFS('事業所・施設 一覧'!$D$4:OFFSET('事業所・施設 一覧'!D2031,-1,0),"*毛呂山町*",'事業所・施設 一覧'!$P$4:OFFSET('事業所・施設 一覧'!P2031,-1,0),"&lt;&gt;")</f>
        <v>7</v>
      </c>
      <c r="E47" s="23">
        <f ca="1">SUMIF('事業所・施設 一覧'!$D$4:OFFSET('事業所・施設 一覧'!D2031,-1,0),"*毛呂山町*",'事業所・施設 一覧'!$P$4:OFFSET('事業所・施設 一覧'!P2031,-1,0))</f>
        <v>555</v>
      </c>
      <c r="F47" s="24">
        <f ca="1">COUNTIFS('事業所・施設 一覧'!$D$4:OFFSET('事業所・施設 一覧'!D2031,-1,0),"*毛呂山町*",'事業所・施設 一覧'!$S$4:OFFSET('事業所・施設 一覧'!S2031,-1,0),"&lt;&gt;")</f>
        <v>1</v>
      </c>
      <c r="G47" s="23">
        <f ca="1">SUMIF('事業所・施設 一覧'!$D$4:OFFSET('事業所・施設 一覧'!D2031,-1,0),"*毛呂山町*",'事業所・施設 一覧'!$S$4:OFFSET('事業所・施設 一覧'!S2031,-1,0))</f>
        <v>332</v>
      </c>
      <c r="H47" s="24">
        <f ca="1">COUNTIFS('事業所・施設 一覧'!$D$4:OFFSET('事業所・施設 一覧'!D2031,-1,0),"*毛呂山町*",'事業所・施設 一覧'!$T$4:OFFSET('事業所・施設 一覧'!T2031,-1,0),"&lt;&gt;")</f>
        <v>8</v>
      </c>
      <c r="I47" s="23">
        <f ca="1">SUMIF('事業所・施設 一覧'!$D$4:OFFSET('事業所・施設 一覧'!D2031,-1,0),"*毛呂山町*",'事業所・施設 一覧'!$T$4:OFFSET('事業所・施設 一覧'!T2031,-1,0))</f>
        <v>530</v>
      </c>
      <c r="J47" s="24">
        <f ca="1">COUNTIFS('事業所・施設 一覧'!$D$4:OFFSET('事業所・施設 一覧'!D2031,-1,0),"*毛呂山町*",'事業所・施設 一覧'!$U$4:OFFSET('事業所・施設 一覧'!U2031,-1,0),"&lt;&gt;")</f>
        <v>0</v>
      </c>
      <c r="K47" s="23">
        <f ca="1">SUMIF('事業所・施設 一覧'!$D$4:OFFSET('事業所・施設 一覧'!D2031,-1,0),"*毛呂山町*",'事業所・施設 一覧'!$U$4:OFFSET('事業所・施設 一覧'!U2031,-1,0))</f>
        <v>0</v>
      </c>
      <c r="L47" s="24">
        <f ca="1">COUNTIFS('事業所・施設 一覧'!$D$4:OFFSET('事業所・施設 一覧'!D2031,-1,0),"*毛呂山町*",'事業所・施設 一覧'!$V$4:OFFSET('事業所・施設 一覧'!V2031,-1,0),"&lt;&gt;")</f>
        <v>0</v>
      </c>
      <c r="M47" s="23">
        <f ca="1">SUMIF('事業所・施設 一覧'!$D$4:OFFSET('事業所・施設 一覧'!D2031,-1,0),"*毛呂山町*",'事業所・施設 一覧'!$V$4:OFFSET('事業所・施設 一覧'!V2031,-1,0))</f>
        <v>0</v>
      </c>
      <c r="N47" s="24">
        <f ca="1">COUNTIFS('事業所・施設 一覧'!$D$4:OFFSET('事業所・施設 一覧'!D2031,-1,0),"*毛呂山町*",'事業所・施設 一覧'!$W$4:OFFSET('事業所・施設 一覧'!W2031,-1,0),"&lt;&gt;")</f>
        <v>0</v>
      </c>
      <c r="O47" s="23">
        <f ca="1">SUMIF('事業所・施設 一覧'!$D$4:OFFSET('事業所・施設 一覧'!D2031,-1,0),"*毛呂山町*",'事業所・施設 一覧'!$W$4:OFFSET('事業所・施設 一覧'!W2031,-1,0))</f>
        <v>0</v>
      </c>
      <c r="P47" s="24">
        <f ca="1">COUNTIFS('事業所・施設 一覧'!$D$4:OFFSET('事業所・施設 一覧'!D2031,-1,0),"*毛呂山町*",'事業所・施設 一覧'!$X$4:OFFSET('事業所・施設 一覧'!X2031,-1,0),"&lt;&gt;")</f>
        <v>1</v>
      </c>
      <c r="Q47" s="23">
        <f ca="1">SUMIF('事業所・施設 一覧'!$D$4:OFFSET('事業所・施設 一覧'!D2031,-1,0),"*毛呂山町*",'事業所・施設 一覧'!$X$4:OFFSET('事業所・施設 一覧'!X2031,-1,0))</f>
        <v>6</v>
      </c>
      <c r="R47" s="24">
        <f ca="1">COUNTIFS('事業所・施設 一覧'!$D$4:OFFSET('事業所・施設 一覧'!D2031,-1,0),"*毛呂山町*",'事業所・施設 一覧'!$Z$4:OFFSET('事業所・施設 一覧'!Z2031,-1,0),"&lt;&gt;")</f>
        <v>0</v>
      </c>
      <c r="S47" s="23">
        <f ca="1">SUMIF('事業所・施設 一覧'!$D$4:OFFSET('事業所・施設 一覧'!D2031,-1,0),"*毛呂山町*",'事業所・施設 一覧'!$Z$4:OFFSET('事業所・施設 一覧'!Z2031,-1,0))</f>
        <v>0</v>
      </c>
      <c r="T47" s="24">
        <f ca="1">COUNTIFS('事業所・施設 一覧'!$D$4:OFFSET('事業所・施設 一覧'!D2031,-1,0),"*毛呂山町*",'事業所・施設 一覧'!$AA$4:OFFSET('事業所・施設 一覧'!AA2031,-1,0),"&lt;&gt;")</f>
        <v>3</v>
      </c>
      <c r="U47" s="25">
        <f ca="1">SUMIF('事業所・施設 一覧'!$D$4:OFFSET('事業所・施設 一覧'!D2031,-1,0),"*毛呂山町*",'事業所・施設 一覧'!$AA$4:OFFSET('事業所・施設 一覧'!AA2031,-1,0))</f>
        <v>104</v>
      </c>
      <c r="V47" s="24">
        <f ca="1">COUNTIFS('事業所・施設 一覧'!$D$4:OFFSET('事業所・施設 一覧'!D2031,-1,0),"*毛呂山町*",'事業所・施設 一覧'!$AB$4:OFFSET('事業所・施設 一覧'!AB2031,-1,0),"&lt;&gt;")</f>
        <v>1</v>
      </c>
      <c r="W47" s="25">
        <f ca="1">SUMIF('事業所・施設 一覧'!$D$4:OFFSET('事業所・施設 一覧'!D2031,-1,0),"*毛呂山町*",'事業所・施設 一覧'!$AB$4:OFFSET('事業所・施設 一覧'!AB2031,-1,0))</f>
        <v>0</v>
      </c>
      <c r="X47" s="24">
        <f ca="1">COUNTIFS('事業所・施設 一覧'!$D$4:OFFSET('事業所・施設 一覧'!D2031,-1,0),"*毛呂山町*",'事業所・施設 一覧'!$AC$4:OFFSET('事業所・施設 一覧'!AC2031,-1,0),"&lt;&gt;")</f>
        <v>0</v>
      </c>
      <c r="Y47" s="25">
        <f ca="1">SUMIF('事業所・施設 一覧'!$D$4:OFFSET('事業所・施設 一覧'!D2031,-1,0),"*毛呂山町*",'事業所・施設 一覧'!$AC$4:OFFSET('事業所・施設 一覧'!AC2031,-1,0))</f>
        <v>0</v>
      </c>
    </row>
    <row r="48" spans="1:25" ht="20.100000000000001" customHeight="1" x14ac:dyDescent="0.15">
      <c r="A48" s="15">
        <v>44</v>
      </c>
      <c r="B48" s="14" t="s">
        <v>4155</v>
      </c>
      <c r="C48" s="2" t="s">
        <v>4119</v>
      </c>
      <c r="D48" s="22">
        <f ca="1">COUNTIFS('事業所・施設 一覧'!$D$4:OFFSET('事業所・施設 一覧'!D2031,-1,0),"*越生町*",'事業所・施設 一覧'!$P$4:OFFSET('事業所・施設 一覧'!P2031,-1,0),"&lt;&gt;")</f>
        <v>0</v>
      </c>
      <c r="E48" s="23">
        <f ca="1">SUMIF('事業所・施設 一覧'!$D$4:OFFSET('事業所・施設 一覧'!D2031,-1,0),"*越生町*",'事業所・施設 一覧'!$P$4:OFFSET('事業所・施設 一覧'!P2031,-1,0))</f>
        <v>0</v>
      </c>
      <c r="F48" s="24">
        <f ca="1">COUNTIFS('事業所・施設 一覧'!$D$4:OFFSET('事業所・施設 一覧'!D2031,-1,0),"*越生町*",'事業所・施設 一覧'!$S$4:OFFSET('事業所・施設 一覧'!S2031,-1,0),"&lt;&gt;")</f>
        <v>0</v>
      </c>
      <c r="G48" s="23">
        <f ca="1">SUMIF('事業所・施設 一覧'!$D$4:OFFSET('事業所・施設 一覧'!D2031,-1,0),"*越生町*",'事業所・施設 一覧'!$S$4:OFFSET('事業所・施設 一覧'!S2031,-1,0))</f>
        <v>0</v>
      </c>
      <c r="H48" s="24">
        <f ca="1">COUNTIFS('事業所・施設 一覧'!$D$4:OFFSET('事業所・施設 一覧'!D2031,-1,0),"*越生町*",'事業所・施設 一覧'!$T$4:OFFSET('事業所・施設 一覧'!T2031,-1,0),"&lt;&gt;")</f>
        <v>1</v>
      </c>
      <c r="I48" s="23">
        <f ca="1">SUMIF('事業所・施設 一覧'!$D$4:OFFSET('事業所・施設 一覧'!D2031,-1,0),"*越生町*",'事業所・施設 一覧'!$T$4:OFFSET('事業所・施設 一覧'!T2031,-1,0))</f>
        <v>24</v>
      </c>
      <c r="J48" s="24">
        <f ca="1">COUNTIFS('事業所・施設 一覧'!$D$4:OFFSET('事業所・施設 一覧'!D2031,-1,0),"*越生町*",'事業所・施設 一覧'!$U$4:OFFSET('事業所・施設 一覧'!U2031,-1,0),"&lt;&gt;")</f>
        <v>0</v>
      </c>
      <c r="K48" s="23">
        <f ca="1">SUMIF('事業所・施設 一覧'!$D$4:OFFSET('事業所・施設 一覧'!D2031,-1,0),"*越生町*",'事業所・施設 一覧'!$U$4:OFFSET('事業所・施設 一覧'!U2031,-1,0))</f>
        <v>0</v>
      </c>
      <c r="L48" s="24">
        <f ca="1">COUNTIFS('事業所・施設 一覧'!$D$4:OFFSET('事業所・施設 一覧'!D2031,-1,0),"*越生町*",'事業所・施設 一覧'!$V$4:OFFSET('事業所・施設 一覧'!V2031,-1,0),"&lt;&gt;")</f>
        <v>0</v>
      </c>
      <c r="M48" s="23">
        <f ca="1">SUMIF('事業所・施設 一覧'!$D$4:OFFSET('事業所・施設 一覧'!D2031,-1,0),"*越生町*",'事業所・施設 一覧'!$V$4:OFFSET('事業所・施設 一覧'!V2031,-1,0))</f>
        <v>0</v>
      </c>
      <c r="N48" s="24">
        <f ca="1">COUNTIFS('事業所・施設 一覧'!$D$4:OFFSET('事業所・施設 一覧'!D2031,-1,0),"*越生町*",'事業所・施設 一覧'!$W$4:OFFSET('事業所・施設 一覧'!W2031,-1,0),"&lt;&gt;")</f>
        <v>0</v>
      </c>
      <c r="O48" s="23">
        <f ca="1">SUMIF('事業所・施設 一覧'!$D$4:OFFSET('事業所・施設 一覧'!D2031,-1,0),"*越生町*",'事業所・施設 一覧'!$W$4:OFFSET('事業所・施設 一覧'!W2031,-1,0))</f>
        <v>0</v>
      </c>
      <c r="P48" s="24">
        <f ca="1">COUNTIFS('事業所・施設 一覧'!$D$4:OFFSET('事業所・施設 一覧'!D2031,-1,0),"*越生町*",'事業所・施設 一覧'!$X$4:OFFSET('事業所・施設 一覧'!X2031,-1,0),"&lt;&gt;")</f>
        <v>0</v>
      </c>
      <c r="Q48" s="23">
        <f ca="1">SUMIF('事業所・施設 一覧'!$D$4:OFFSET('事業所・施設 一覧'!D2031,-1,0),"*越生町*",'事業所・施設 一覧'!$X$4:OFFSET('事業所・施設 一覧'!X2031,-1,0))</f>
        <v>0</v>
      </c>
      <c r="R48" s="24">
        <f ca="1">COUNTIFS('事業所・施設 一覧'!$D$4:OFFSET('事業所・施設 一覧'!D2031,-1,0),"*越生町*",'事業所・施設 一覧'!$Z$4:OFFSET('事業所・施設 一覧'!Z2031,-1,0),"&lt;&gt;")</f>
        <v>0</v>
      </c>
      <c r="S48" s="23">
        <f ca="1">SUMIF('事業所・施設 一覧'!$D$4:OFFSET('事業所・施設 一覧'!D2031,-1,0),"*越生町*",'事業所・施設 一覧'!$Z$4:OFFSET('事業所・施設 一覧'!Z2031,-1,0))</f>
        <v>0</v>
      </c>
      <c r="T48" s="24">
        <f ca="1">COUNTIFS('事業所・施設 一覧'!$D$4:OFFSET('事業所・施設 一覧'!D2031,-1,0),"*越生町*",'事業所・施設 一覧'!$AA$4:OFFSET('事業所・施設 一覧'!AA2031,-1,0),"&lt;&gt;")</f>
        <v>2</v>
      </c>
      <c r="U48" s="25">
        <f ca="1">SUMIF('事業所・施設 一覧'!$D$4:OFFSET('事業所・施設 一覧'!D2031,-1,0),"*越生町*",'事業所・施設 一覧'!$AA$4:OFFSET('事業所・施設 一覧'!AA2031,-1,0))</f>
        <v>48</v>
      </c>
      <c r="V48" s="24">
        <f ca="1">COUNTIFS('事業所・施設 一覧'!$D$4:OFFSET('事業所・施設 一覧'!D2031,-1,0),"*越生町*",'事業所・施設 一覧'!$AB$4:OFFSET('事業所・施設 一覧'!AB2031,-1,0),"&lt;&gt;")</f>
        <v>0</v>
      </c>
      <c r="W48" s="25">
        <f ca="1">SUMIF('事業所・施設 一覧'!$D$4:OFFSET('事業所・施設 一覧'!D2031,-1,0),"*越生町*",'事業所・施設 一覧'!$AB$4:OFFSET('事業所・施設 一覧'!AB2031,-1,0))</f>
        <v>0</v>
      </c>
      <c r="X48" s="24">
        <f ca="1">COUNTIFS('事業所・施設 一覧'!$D$4:OFFSET('事業所・施設 一覧'!D2031,-1,0),"*越生町*",'事業所・施設 一覧'!$AC$4:OFFSET('事業所・施設 一覧'!AC2031,-1,0),"&lt;&gt;")</f>
        <v>0</v>
      </c>
      <c r="Y48" s="25">
        <f ca="1">SUMIF('事業所・施設 一覧'!$D$4:OFFSET('事業所・施設 一覧'!D2031,-1,0),"*越生町*",'事業所・施設 一覧'!$AC$4:OFFSET('事業所・施設 一覧'!AC2031,-1,0))</f>
        <v>0</v>
      </c>
    </row>
    <row r="49" spans="1:25" ht="20.100000000000001" customHeight="1" x14ac:dyDescent="0.15">
      <c r="A49" s="15">
        <v>45</v>
      </c>
      <c r="B49" s="14" t="s">
        <v>4155</v>
      </c>
      <c r="C49" s="2" t="s">
        <v>4120</v>
      </c>
      <c r="D49" s="22">
        <f ca="1">COUNTIFS('事業所・施設 一覧'!$D$4:OFFSET('事業所・施設 一覧'!D2031,-1,0),"*滑川町*",'事業所・施設 一覧'!$P$4:OFFSET('事業所・施設 一覧'!P2031,-1,0),"&lt;&gt;")</f>
        <v>2</v>
      </c>
      <c r="E49" s="23">
        <f ca="1">SUMIF('事業所・施設 一覧'!$D$4:OFFSET('事業所・施設 一覧'!D2031,-1,0),"*滑川町*",'事業所・施設 一覧'!$P$4:OFFSET('事業所・施設 一覧'!P2031,-1,0))</f>
        <v>96</v>
      </c>
      <c r="F49" s="24">
        <f ca="1">COUNTIFS('事業所・施設 一覧'!$D$4:OFFSET('事業所・施設 一覧'!D2031,-1,0),"*滑川町*",'事業所・施設 一覧'!$S$4:OFFSET('事業所・施設 一覧'!S2031,-1,0),"&lt;&gt;")</f>
        <v>0</v>
      </c>
      <c r="G49" s="23">
        <f ca="1">SUMIF('事業所・施設 一覧'!$D$4:OFFSET('事業所・施設 一覧'!D2031,-1,0),"*滑川町*",'事業所・施設 一覧'!$S$4:OFFSET('事業所・施設 一覧'!S2031,-1,0))</f>
        <v>0</v>
      </c>
      <c r="H49" s="24">
        <f ca="1">COUNTIFS('事業所・施設 一覧'!$D$4:OFFSET('事業所・施設 一覧'!D2031,-1,0),"*滑川町*",'事業所・施設 一覧'!$T$4:OFFSET('事業所・施設 一覧'!T2031,-1,0),"&lt;&gt;")</f>
        <v>3</v>
      </c>
      <c r="I49" s="23">
        <f ca="1">SUMIF('事業所・施設 一覧'!$D$4:OFFSET('事業所・施設 一覧'!D2031,-1,0),"*滑川町*",'事業所・施設 一覧'!$T$4:OFFSET('事業所・施設 一覧'!T2031,-1,0))</f>
        <v>126</v>
      </c>
      <c r="J49" s="24">
        <f ca="1">COUNTIFS('事業所・施設 一覧'!$D$4:OFFSET('事業所・施設 一覧'!D2031,-1,0),"*滑川町*",'事業所・施設 一覧'!$U$4:OFFSET('事業所・施設 一覧'!U2031,-1,0),"&lt;&gt;")</f>
        <v>0</v>
      </c>
      <c r="K49" s="23">
        <f ca="1">SUMIF('事業所・施設 一覧'!$D$4:OFFSET('事業所・施設 一覧'!D2031,-1,0),"*滑川町*",'事業所・施設 一覧'!$U$4:OFFSET('事業所・施設 一覧'!U2031,-1,0))</f>
        <v>0</v>
      </c>
      <c r="L49" s="24">
        <f ca="1">COUNTIFS('事業所・施設 一覧'!$D$4:OFFSET('事業所・施設 一覧'!D2031,-1,0),"*滑川町*",'事業所・施設 一覧'!$V$4:OFFSET('事業所・施設 一覧'!V2031,-1,0),"&lt;&gt;")</f>
        <v>0</v>
      </c>
      <c r="M49" s="23">
        <f ca="1">SUMIF('事業所・施設 一覧'!$D$4:OFFSET('事業所・施設 一覧'!D2031,-1,0),"*滑川町*",'事業所・施設 一覧'!$V$4:OFFSET('事業所・施設 一覧'!V2031,-1,0))</f>
        <v>0</v>
      </c>
      <c r="N49" s="24">
        <f ca="1">COUNTIFS('事業所・施設 一覧'!$D$4:OFFSET('事業所・施設 一覧'!D2031,-1,0),"*滑川町*",'事業所・施設 一覧'!$W$4:OFFSET('事業所・施設 一覧'!W2031,-1,0),"&lt;&gt;")</f>
        <v>0</v>
      </c>
      <c r="O49" s="23">
        <f ca="1">SUMIF('事業所・施設 一覧'!$D$4:OFFSET('事業所・施設 一覧'!D2031,-1,0),"*滑川町*",'事業所・施設 一覧'!$W$4:OFFSET('事業所・施設 一覧'!W2031,-1,0))</f>
        <v>0</v>
      </c>
      <c r="P49" s="24">
        <f ca="1">COUNTIFS('事業所・施設 一覧'!$D$4:OFFSET('事業所・施設 一覧'!D2031,-1,0),"*滑川町*",'事業所・施設 一覧'!$X$4:OFFSET('事業所・施設 一覧'!X2031,-1,0),"&lt;&gt;")</f>
        <v>0</v>
      </c>
      <c r="Q49" s="23">
        <f ca="1">SUMIF('事業所・施設 一覧'!$D$4:OFFSET('事業所・施設 一覧'!D2031,-1,0),"*滑川町*",'事業所・施設 一覧'!$X$4:OFFSET('事業所・施設 一覧'!X2031,-1,0))</f>
        <v>0</v>
      </c>
      <c r="R49" s="24">
        <f ca="1">COUNTIFS('事業所・施設 一覧'!$D$4:OFFSET('事業所・施設 一覧'!D2031,-1,0),"*滑川町*",'事業所・施設 一覧'!$Z$4:OFFSET('事業所・施設 一覧'!Z2031,-1,0),"&lt;&gt;")</f>
        <v>0</v>
      </c>
      <c r="S49" s="23">
        <f ca="1">SUMIF('事業所・施設 一覧'!$D$4:OFFSET('事業所・施設 一覧'!D2031,-1,0),"*滑川町*",'事業所・施設 一覧'!$Z$4:OFFSET('事業所・施設 一覧'!Z2031,-1,0))</f>
        <v>0</v>
      </c>
      <c r="T49" s="24">
        <f ca="1">COUNTIFS('事業所・施設 一覧'!$D$4:OFFSET('事業所・施設 一覧'!D2031,-1,0),"*滑川町*",'事業所・施設 一覧'!$AA$4:OFFSET('事業所・施設 一覧'!AA2031,-1,0),"&lt;&gt;")</f>
        <v>5</v>
      </c>
      <c r="U49" s="25">
        <f ca="1">SUMIF('事業所・施設 一覧'!$D$4:OFFSET('事業所・施設 一覧'!D2031,-1,0),"*滑川町*",'事業所・施設 一覧'!$AA$4:OFFSET('事業所・施設 一覧'!AA2031,-1,0))</f>
        <v>110</v>
      </c>
      <c r="V49" s="24">
        <f ca="1">COUNTIFS('事業所・施設 一覧'!$D$4:OFFSET('事業所・施設 一覧'!D2031,-1,0),"*滑川町*",'事業所・施設 一覧'!$AB$4:OFFSET('事業所・施設 一覧'!AB2031,-1,0),"&lt;&gt;")</f>
        <v>1</v>
      </c>
      <c r="W49" s="25">
        <f ca="1">SUMIF('事業所・施設 一覧'!$D$4:OFFSET('事業所・施設 一覧'!D2031,-1,0),"*滑川町*",'事業所・施設 一覧'!$AB$4:OFFSET('事業所・施設 一覧'!AB2031,-1,0))</f>
        <v>0</v>
      </c>
      <c r="X49" s="24">
        <f ca="1">COUNTIFS('事業所・施設 一覧'!$D$4:OFFSET('事業所・施設 一覧'!D2031,-1,0),"*滑川町*",'事業所・施設 一覧'!$AC$4:OFFSET('事業所・施設 一覧'!AC2031,-1,0),"&lt;&gt;")</f>
        <v>1</v>
      </c>
      <c r="Y49" s="25">
        <f ca="1">SUMIF('事業所・施設 一覧'!$D$4:OFFSET('事業所・施設 一覧'!D2031,-1,0),"*滑川町*",'事業所・施設 一覧'!$AC$4:OFFSET('事業所・施設 一覧'!AC2031,-1,0))</f>
        <v>10</v>
      </c>
    </row>
    <row r="50" spans="1:25" ht="20.100000000000001" customHeight="1" x14ac:dyDescent="0.15">
      <c r="A50" s="15">
        <v>46</v>
      </c>
      <c r="B50" s="14" t="s">
        <v>4155</v>
      </c>
      <c r="C50" s="2" t="s">
        <v>4121</v>
      </c>
      <c r="D50" s="22">
        <f ca="1">COUNTIFS('事業所・施設 一覧'!$D$4:OFFSET('事業所・施設 一覧'!D2031,-1,0),"*嵐山町*",'事業所・施設 一覧'!$P$4:OFFSET('事業所・施設 一覧'!P2031,-1,0),"&lt;&gt;")</f>
        <v>2</v>
      </c>
      <c r="E50" s="23">
        <f ca="1">SUMIF('事業所・施設 一覧'!$D$4:OFFSET('事業所・施設 一覧'!D2031,-1,0),"*嵐山町*",'事業所・施設 一覧'!$P$4:OFFSET('事業所・施設 一覧'!P2031,-1,0))</f>
        <v>369</v>
      </c>
      <c r="F50" s="24">
        <f ca="1">COUNTIFS('事業所・施設 一覧'!$D$4:OFFSET('事業所・施設 一覧'!D2031,-1,0),"*嵐山町*",'事業所・施設 一覧'!$S$4:OFFSET('事業所・施設 一覧'!S2031,-1,0),"&lt;&gt;")</f>
        <v>1</v>
      </c>
      <c r="G50" s="23">
        <f ca="1">SUMIF('事業所・施設 一覧'!$D$4:OFFSET('事業所・施設 一覧'!D2031,-1,0),"*嵐山町*",'事業所・施設 一覧'!$S$4:OFFSET('事業所・施設 一覧'!S2031,-1,0))</f>
        <v>60</v>
      </c>
      <c r="H50" s="24">
        <f ca="1">COUNTIFS('事業所・施設 一覧'!$D$4:OFFSET('事業所・施設 一覧'!D2031,-1,0),"*嵐山町*",'事業所・施設 一覧'!$T$4:OFFSET('事業所・施設 一覧'!T2031,-1,0),"&lt;&gt;")</f>
        <v>4</v>
      </c>
      <c r="I50" s="23">
        <f ca="1">SUMIF('事業所・施設 一覧'!$D$4:OFFSET('事業所・施設 一覧'!D2031,-1,0),"*嵐山町*",'事業所・施設 一覧'!$T$4:OFFSET('事業所・施設 一覧'!T2031,-1,0))</f>
        <v>405</v>
      </c>
      <c r="J50" s="24">
        <f ca="1">COUNTIFS('事業所・施設 一覧'!$D$4:OFFSET('事業所・施設 一覧'!D2031,-1,0),"*嵐山町*",'事業所・施設 一覧'!$U$4:OFFSET('事業所・施設 一覧'!U2031,-1,0),"&lt;&gt;")</f>
        <v>0</v>
      </c>
      <c r="K50" s="23">
        <f ca="1">SUMIF('事業所・施設 一覧'!$D$4:OFFSET('事業所・施設 一覧'!D2031,-1,0),"*嵐山町*",'事業所・施設 一覧'!$U$4:OFFSET('事業所・施設 一覧'!U2031,-1,0))</f>
        <v>0</v>
      </c>
      <c r="L50" s="24">
        <f ca="1">COUNTIFS('事業所・施設 一覧'!$D$4:OFFSET('事業所・施設 一覧'!D2031,-1,0),"*嵐山町*",'事業所・施設 一覧'!$V$4:OFFSET('事業所・施設 一覧'!V2031,-1,0),"&lt;&gt;")</f>
        <v>0</v>
      </c>
      <c r="M50" s="23">
        <f ca="1">SUMIF('事業所・施設 一覧'!$D$4:OFFSET('事業所・施設 一覧'!D2031,-1,0),"*嵐山町*",'事業所・施設 一覧'!$V$4:OFFSET('事業所・施設 一覧'!V2031,-1,0))</f>
        <v>0</v>
      </c>
      <c r="N50" s="24">
        <f ca="1">COUNTIFS('事業所・施設 一覧'!$D$4:OFFSET('事業所・施設 一覧'!D2031,-1,0),"*嵐山町*",'事業所・施設 一覧'!$W$4:OFFSET('事業所・施設 一覧'!W2031,-1,0),"&lt;&gt;")</f>
        <v>0</v>
      </c>
      <c r="O50" s="23">
        <f ca="1">SUMIF('事業所・施設 一覧'!$D$4:OFFSET('事業所・施設 一覧'!D2031,-1,0),"*嵐山町*",'事業所・施設 一覧'!$W$4:OFFSET('事業所・施設 一覧'!W2031,-1,0))</f>
        <v>0</v>
      </c>
      <c r="P50" s="24">
        <f ca="1">COUNTIFS('事業所・施設 一覧'!$D$4:OFFSET('事業所・施設 一覧'!D2031,-1,0),"*嵐山町*",'事業所・施設 一覧'!$X$4:OFFSET('事業所・施設 一覧'!X2031,-1,0),"&lt;&gt;")</f>
        <v>0</v>
      </c>
      <c r="Q50" s="23">
        <f ca="1">SUMIF('事業所・施設 一覧'!$D$4:OFFSET('事業所・施設 一覧'!D2031,-1,0),"*嵐山町*",'事業所・施設 一覧'!$X$4:OFFSET('事業所・施設 一覧'!X2031,-1,0))</f>
        <v>0</v>
      </c>
      <c r="R50" s="24">
        <f ca="1">COUNTIFS('事業所・施設 一覧'!$D$4:OFFSET('事業所・施設 一覧'!D2031,-1,0),"*嵐山町*",'事業所・施設 一覧'!$Z$4:OFFSET('事業所・施設 一覧'!Z2031,-1,0),"&lt;&gt;")</f>
        <v>0</v>
      </c>
      <c r="S50" s="23">
        <f ca="1">SUMIF('事業所・施設 一覧'!$D$4:OFFSET('事業所・施設 一覧'!D2031,-1,0),"*嵐山町*",'事業所・施設 一覧'!$Z$4:OFFSET('事業所・施設 一覧'!Z2031,-1,0))</f>
        <v>0</v>
      </c>
      <c r="T50" s="24">
        <f ca="1">COUNTIFS('事業所・施設 一覧'!$D$4:OFFSET('事業所・施設 一覧'!D2031,-1,0),"*嵐山町*",'事業所・施設 一覧'!$AA$4:OFFSET('事業所・施設 一覧'!AA2031,-1,0),"&lt;&gt;")</f>
        <v>5</v>
      </c>
      <c r="U50" s="25">
        <f ca="1">SUMIF('事業所・施設 一覧'!$D$4:OFFSET('事業所・施設 一覧'!D2031,-1,0),"*嵐山町*",'事業所・施設 一覧'!$AA$4:OFFSET('事業所・施設 一覧'!AA2031,-1,0))</f>
        <v>104</v>
      </c>
      <c r="V50" s="24">
        <f ca="1">COUNTIFS('事業所・施設 一覧'!$D$4:OFFSET('事業所・施設 一覧'!D2031,-1,0),"*嵐山町*",'事業所・施設 一覧'!$AB$4:OFFSET('事業所・施設 一覧'!AB2031,-1,0),"&lt;&gt;")</f>
        <v>1</v>
      </c>
      <c r="W50" s="25">
        <f ca="1">SUMIF('事業所・施設 一覧'!$D$4:OFFSET('事業所・施設 一覧'!D2031,-1,0),"*嵐山町*",'事業所・施設 一覧'!$AB$4:OFFSET('事業所・施設 一覧'!AB2031,-1,0))</f>
        <v>0</v>
      </c>
      <c r="X50" s="24">
        <f ca="1">COUNTIFS('事業所・施設 一覧'!$D$4:OFFSET('事業所・施設 一覧'!D2031,-1,0),"*嵐山町*",'事業所・施設 一覧'!$AC$4:OFFSET('事業所・施設 一覧'!AC2031,-1,0),"&lt;&gt;")</f>
        <v>1</v>
      </c>
      <c r="Y50" s="25">
        <f ca="1">SUMIF('事業所・施設 一覧'!$D$4:OFFSET('事業所・施設 一覧'!D2031,-1,0),"*嵐山町*",'事業所・施設 一覧'!$AC$4:OFFSET('事業所・施設 一覧'!AC2031,-1,0))</f>
        <v>10</v>
      </c>
    </row>
    <row r="51" spans="1:25" ht="20.100000000000001" customHeight="1" x14ac:dyDescent="0.15">
      <c r="A51" s="15">
        <v>47</v>
      </c>
      <c r="B51" s="14" t="s">
        <v>4155</v>
      </c>
      <c r="C51" s="2" t="s">
        <v>4122</v>
      </c>
      <c r="D51" s="22">
        <f ca="1">COUNTIFS('事業所・施設 一覧'!$D$4:OFFSET('事業所・施設 一覧'!D2031,-1,0),"*小川町*",'事業所・施設 一覧'!$P$4:OFFSET('事業所・施設 一覧'!P2031,-1,0),"&lt;&gt;")</f>
        <v>0</v>
      </c>
      <c r="E51" s="23">
        <f ca="1">SUMIF('事業所・施設 一覧'!$D$4:OFFSET('事業所・施設 一覧'!D2031,-1,0),"*小川町*",'事業所・施設 一覧'!$P$4:OFFSET('事業所・施設 一覧'!P2031,-1,0))</f>
        <v>0</v>
      </c>
      <c r="F51" s="24">
        <f ca="1">COUNTIFS('事業所・施設 一覧'!$D$4:OFFSET('事業所・施設 一覧'!D2031,-1,0),"*小川町*",'事業所・施設 一覧'!$S$4:OFFSET('事業所・施設 一覧'!S2031,-1,0),"&lt;&gt;")</f>
        <v>0</v>
      </c>
      <c r="G51" s="23">
        <f ca="1">SUMIF('事業所・施設 一覧'!$D$4:OFFSET('事業所・施設 一覧'!D2031,-1,0),"*小川町*",'事業所・施設 一覧'!$S$4:OFFSET('事業所・施設 一覧'!S2031,-1,0))</f>
        <v>0</v>
      </c>
      <c r="H51" s="24">
        <f ca="1">COUNTIFS('事業所・施設 一覧'!$D$4:OFFSET('事業所・施設 一覧'!D2031,-1,0),"*小川町*",'事業所・施設 一覧'!$T$4:OFFSET('事業所・施設 一覧'!T2031,-1,0),"&lt;&gt;")</f>
        <v>2</v>
      </c>
      <c r="I51" s="23">
        <f ca="1">SUMIF('事業所・施設 一覧'!$D$4:OFFSET('事業所・施設 一覧'!D2031,-1,0),"*小川町*",'事業所・施設 一覧'!$T$4:OFFSET('事業所・施設 一覧'!T2031,-1,0))</f>
        <v>55</v>
      </c>
      <c r="J51" s="24">
        <f ca="1">COUNTIFS('事業所・施設 一覧'!$D$4:OFFSET('事業所・施設 一覧'!D2031,-1,0),"*小川町*",'事業所・施設 一覧'!$U$4:OFFSET('事業所・施設 一覧'!U2031,-1,0),"&lt;&gt;")</f>
        <v>0</v>
      </c>
      <c r="K51" s="23">
        <f ca="1">SUMIF('事業所・施設 一覧'!$D$4:OFFSET('事業所・施設 一覧'!D2031,-1,0),"*小川町*",'事業所・施設 一覧'!$U$4:OFFSET('事業所・施設 一覧'!U2031,-1,0))</f>
        <v>0</v>
      </c>
      <c r="L51" s="24">
        <f ca="1">COUNTIFS('事業所・施設 一覧'!$D$4:OFFSET('事業所・施設 一覧'!D2031,-1,0),"*小川町*",'事業所・施設 一覧'!$V$4:OFFSET('事業所・施設 一覧'!V2031,-1,0),"&lt;&gt;")</f>
        <v>0</v>
      </c>
      <c r="M51" s="23">
        <f ca="1">SUMIF('事業所・施設 一覧'!$D$4:OFFSET('事業所・施設 一覧'!D2031,-1,0),"*小川町*",'事業所・施設 一覧'!$V$4:OFFSET('事業所・施設 一覧'!V2031,-1,0))</f>
        <v>0</v>
      </c>
      <c r="N51" s="24">
        <f ca="1">COUNTIFS('事業所・施設 一覧'!$D$4:OFFSET('事業所・施設 一覧'!D2031,-1,0),"*小川町*",'事業所・施設 一覧'!$W$4:OFFSET('事業所・施設 一覧'!W2031,-1,0),"&lt;&gt;")</f>
        <v>0</v>
      </c>
      <c r="O51" s="23">
        <f ca="1">SUMIF('事業所・施設 一覧'!$D$4:OFFSET('事業所・施設 一覧'!D2031,-1,0),"*小川町*",'事業所・施設 一覧'!$W$4:OFFSET('事業所・施設 一覧'!W2031,-1,0))</f>
        <v>0</v>
      </c>
      <c r="P51" s="24">
        <f ca="1">COUNTIFS('事業所・施設 一覧'!$D$4:OFFSET('事業所・施設 一覧'!D2031,-1,0),"*小川町*",'事業所・施設 一覧'!$X$4:OFFSET('事業所・施設 一覧'!X2031,-1,0),"&lt;&gt;")</f>
        <v>0</v>
      </c>
      <c r="Q51" s="23">
        <f ca="1">SUMIF('事業所・施設 一覧'!$D$4:OFFSET('事業所・施設 一覧'!D2031,-1,0),"*小川町*",'事業所・施設 一覧'!$X$4:OFFSET('事業所・施設 一覧'!X2031,-1,0))</f>
        <v>0</v>
      </c>
      <c r="R51" s="24">
        <f ca="1">COUNTIFS('事業所・施設 一覧'!$D$4:OFFSET('事業所・施設 一覧'!D2031,-1,0),"*小川町*",'事業所・施設 一覧'!$Z$4:OFFSET('事業所・施設 一覧'!Z2031,-1,0),"&lt;&gt;")</f>
        <v>1</v>
      </c>
      <c r="S51" s="23">
        <f ca="1">SUMIF('事業所・施設 一覧'!$D$4:OFFSET('事業所・施設 一覧'!D2031,-1,0),"*小川町*",'事業所・施設 一覧'!$Z$4:OFFSET('事業所・施設 一覧'!Z2031,-1,0))</f>
        <v>20</v>
      </c>
      <c r="T51" s="24">
        <f ca="1">COUNTIFS('事業所・施設 一覧'!$D$4:OFFSET('事業所・施設 一覧'!D2031,-1,0),"*小川町*",'事業所・施設 一覧'!$AA$4:OFFSET('事業所・施設 一覧'!AA2031,-1,0),"&lt;&gt;")</f>
        <v>3</v>
      </c>
      <c r="U51" s="25">
        <f ca="1">SUMIF('事業所・施設 一覧'!$D$4:OFFSET('事業所・施設 一覧'!D2031,-1,0),"*小川町*",'事業所・施設 一覧'!$AA$4:OFFSET('事業所・施設 一覧'!AA2031,-1,0))</f>
        <v>60</v>
      </c>
      <c r="V51" s="24">
        <f ca="1">COUNTIFS('事業所・施設 一覧'!$D$4:OFFSET('事業所・施設 一覧'!D2031,-1,0),"*小川町*",'事業所・施設 一覧'!$AB$4:OFFSET('事業所・施設 一覧'!AB2031,-1,0),"&lt;&gt;")</f>
        <v>0</v>
      </c>
      <c r="W51" s="25">
        <f ca="1">SUMIF('事業所・施設 一覧'!$D$4:OFFSET('事業所・施設 一覧'!D2031,-1,0),"*小川町*",'事業所・施設 一覧'!$AB$4:OFFSET('事業所・施設 一覧'!AB2031,-1,0))</f>
        <v>0</v>
      </c>
      <c r="X51" s="24">
        <f ca="1">COUNTIFS('事業所・施設 一覧'!$D$4:OFFSET('事業所・施設 一覧'!D2031,-1,0),"*小川町*",'事業所・施設 一覧'!$AC$4:OFFSET('事業所・施設 一覧'!AC2031,-1,0),"&lt;&gt;")</f>
        <v>0</v>
      </c>
      <c r="Y51" s="25">
        <f ca="1">SUMIF('事業所・施設 一覧'!$D$4:OFFSET('事業所・施設 一覧'!D2031,-1,0),"*小川町*",'事業所・施設 一覧'!$AC$4:OFFSET('事業所・施設 一覧'!AC2031,-1,0))</f>
        <v>0</v>
      </c>
    </row>
    <row r="52" spans="1:25" ht="20.100000000000001" customHeight="1" x14ac:dyDescent="0.15">
      <c r="A52" s="15">
        <v>48</v>
      </c>
      <c r="B52" s="14" t="s">
        <v>4155</v>
      </c>
      <c r="C52" s="2" t="s">
        <v>4123</v>
      </c>
      <c r="D52" s="22">
        <f ca="1">COUNTIFS('事業所・施設 一覧'!$D$4:OFFSET('事業所・施設 一覧'!D2031,-1,0),"*川島町*",'事業所・施設 一覧'!$P$4:OFFSET('事業所・施設 一覧'!P2031,-1,0),"&lt;&gt;")</f>
        <v>0</v>
      </c>
      <c r="E52" s="23">
        <f ca="1">SUMIF('事業所・施設 一覧'!$D$4:OFFSET('事業所・施設 一覧'!D2031,-1,0),"*川島町*",'事業所・施設 一覧'!$P$4:OFFSET('事業所・施設 一覧'!P2031,-1,0))</f>
        <v>0</v>
      </c>
      <c r="F52" s="24">
        <f ca="1">COUNTIFS('事業所・施設 一覧'!$D$4:OFFSET('事業所・施設 一覧'!D2031,-1,0),"*川島町*",'事業所・施設 一覧'!$S$4:OFFSET('事業所・施設 一覧'!S2031,-1,0),"&lt;&gt;")</f>
        <v>0</v>
      </c>
      <c r="G52" s="23">
        <f ca="1">SUMIF('事業所・施設 一覧'!$D$4:OFFSET('事業所・施設 一覧'!D2031,-1,0),"*川島町*",'事業所・施設 一覧'!$S$4:OFFSET('事業所・施設 一覧'!S2031,-1,0))</f>
        <v>0</v>
      </c>
      <c r="H52" s="24">
        <f ca="1">COUNTIFS('事業所・施設 一覧'!$D$4:OFFSET('事業所・施設 一覧'!D2031,-1,0),"*川島町*",'事業所・施設 一覧'!$T$4:OFFSET('事業所・施設 一覧'!T2031,-1,0),"&lt;&gt;")</f>
        <v>2</v>
      </c>
      <c r="I52" s="23">
        <f ca="1">SUMIF('事業所・施設 一覧'!$D$4:OFFSET('事業所・施設 一覧'!D2031,-1,0),"*川島町*",'事業所・施設 一覧'!$T$4:OFFSET('事業所・施設 一覧'!T2031,-1,0))</f>
        <v>70</v>
      </c>
      <c r="J52" s="24">
        <f ca="1">COUNTIFS('事業所・施設 一覧'!$D$4:OFFSET('事業所・施設 一覧'!D2031,-1,0),"*川島町*",'事業所・施設 一覧'!$U$4:OFFSET('事業所・施設 一覧'!U2031,-1,0),"&lt;&gt;")</f>
        <v>0</v>
      </c>
      <c r="K52" s="23">
        <f ca="1">SUMIF('事業所・施設 一覧'!$D$4:OFFSET('事業所・施設 一覧'!D2031,-1,0),"*川島町*",'事業所・施設 一覧'!$U$4:OFFSET('事業所・施設 一覧'!U2031,-1,0))</f>
        <v>0</v>
      </c>
      <c r="L52" s="24">
        <f ca="1">COUNTIFS('事業所・施設 一覧'!$D$4:OFFSET('事業所・施設 一覧'!D2031,-1,0),"*川島町*",'事業所・施設 一覧'!$V$4:OFFSET('事業所・施設 一覧'!V2031,-1,0),"&lt;&gt;")</f>
        <v>0</v>
      </c>
      <c r="M52" s="23">
        <f ca="1">SUMIF('事業所・施設 一覧'!$D$4:OFFSET('事業所・施設 一覧'!D2031,-1,0),"*川島町*",'事業所・施設 一覧'!$V$4:OFFSET('事業所・施設 一覧'!V2031,-1,0))</f>
        <v>0</v>
      </c>
      <c r="N52" s="24">
        <f ca="1">COUNTIFS('事業所・施設 一覧'!$D$4:OFFSET('事業所・施設 一覧'!D2031,-1,0),"*川島町*",'事業所・施設 一覧'!$W$4:OFFSET('事業所・施設 一覧'!W2031,-1,0),"&lt;&gt;")</f>
        <v>0</v>
      </c>
      <c r="O52" s="23">
        <f ca="1">SUMIF('事業所・施設 一覧'!$D$4:OFFSET('事業所・施設 一覧'!D2031,-1,0),"*川島町*",'事業所・施設 一覧'!$W$4:OFFSET('事業所・施設 一覧'!W2031,-1,0))</f>
        <v>0</v>
      </c>
      <c r="P52" s="24">
        <f ca="1">COUNTIFS('事業所・施設 一覧'!$D$4:OFFSET('事業所・施設 一覧'!D2031,-1,0),"*川島町*",'事業所・施設 一覧'!$X$4:OFFSET('事業所・施設 一覧'!X2031,-1,0),"&lt;&gt;")</f>
        <v>0</v>
      </c>
      <c r="Q52" s="23">
        <f ca="1">SUMIF('事業所・施設 一覧'!$D$4:OFFSET('事業所・施設 一覧'!D2031,-1,0),"*川島町*",'事業所・施設 一覧'!$X$4:OFFSET('事業所・施設 一覧'!X2031,-1,0))</f>
        <v>0</v>
      </c>
      <c r="R52" s="24">
        <f ca="1">COUNTIFS('事業所・施設 一覧'!$D$4:OFFSET('事業所・施設 一覧'!D2031,-1,0),"*川島町*",'事業所・施設 一覧'!$Z$4:OFFSET('事業所・施設 一覧'!Z2031,-1,0),"&lt;&gt;")</f>
        <v>0</v>
      </c>
      <c r="S52" s="23">
        <f ca="1">SUMIF('事業所・施設 一覧'!$D$4:OFFSET('事業所・施設 一覧'!D2031,-1,0),"*川島町*",'事業所・施設 一覧'!$Z$4:OFFSET('事業所・施設 一覧'!Z2031,-1,0))</f>
        <v>0</v>
      </c>
      <c r="T52" s="24">
        <f ca="1">COUNTIFS('事業所・施設 一覧'!$D$4:OFFSET('事業所・施設 一覧'!D2031,-1,0),"*川島町*",'事業所・施設 一覧'!$AA$4:OFFSET('事業所・施設 一覧'!AA2031,-1,0),"&lt;&gt;")</f>
        <v>2</v>
      </c>
      <c r="U52" s="25">
        <f ca="1">SUMIF('事業所・施設 一覧'!$D$4:OFFSET('事業所・施設 一覧'!D2031,-1,0),"*川島町*",'事業所・施設 一覧'!$AA$4:OFFSET('事業所・施設 一覧'!AA2031,-1,0))</f>
        <v>30</v>
      </c>
      <c r="V52" s="24">
        <f ca="1">COUNTIFS('事業所・施設 一覧'!$D$4:OFFSET('事業所・施設 一覧'!D2031,-1,0),"*川島町*",'事業所・施設 一覧'!$AB$4:OFFSET('事業所・施設 一覧'!AB2031,-1,0),"&lt;&gt;")</f>
        <v>0</v>
      </c>
      <c r="W52" s="25">
        <f ca="1">SUMIF('事業所・施設 一覧'!$D$4:OFFSET('事業所・施設 一覧'!D2031,-1,0),"*川島町*",'事業所・施設 一覧'!$AB$4:OFFSET('事業所・施設 一覧'!AB2031,-1,0))</f>
        <v>0</v>
      </c>
      <c r="X52" s="24">
        <f ca="1">COUNTIFS('事業所・施設 一覧'!$D$4:OFFSET('事業所・施設 一覧'!D2031,-1,0),"*川島町*",'事業所・施設 一覧'!$AC$4:OFFSET('事業所・施設 一覧'!AC2031,-1,0),"&lt;&gt;")</f>
        <v>0</v>
      </c>
      <c r="Y52" s="25">
        <f ca="1">SUMIF('事業所・施設 一覧'!$D$4:OFFSET('事業所・施設 一覧'!D2031,-1,0),"*川島町*",'事業所・施設 一覧'!$AC$4:OFFSET('事業所・施設 一覧'!AC2031,-1,0))</f>
        <v>0</v>
      </c>
    </row>
    <row r="53" spans="1:25" ht="20.100000000000001" customHeight="1" x14ac:dyDescent="0.15">
      <c r="A53" s="15">
        <v>49</v>
      </c>
      <c r="B53" s="14" t="s">
        <v>4155</v>
      </c>
      <c r="C53" s="2" t="s">
        <v>4124</v>
      </c>
      <c r="D53" s="22">
        <f ca="1">COUNTIFS('事業所・施設 一覧'!$D$4:OFFSET('事業所・施設 一覧'!D2031,-1,0),"*吉見町*",'事業所・施設 一覧'!$P$4:OFFSET('事業所・施設 一覧'!P2031,-1,0),"&lt;&gt;")</f>
        <v>2</v>
      </c>
      <c r="E53" s="23">
        <f ca="1">SUMIF('事業所・施設 一覧'!$D$4:OFFSET('事業所・施設 一覧'!D2031,-1,0),"*吉見町*",'事業所・施設 一覧'!$P$4:OFFSET('事業所・施設 一覧'!P2031,-1,0))</f>
        <v>120</v>
      </c>
      <c r="F53" s="24">
        <f ca="1">COUNTIFS('事業所・施設 一覧'!$D$4:OFFSET('事業所・施設 一覧'!D2031,-1,0),"*吉見町*",'事業所・施設 一覧'!$S$4:OFFSET('事業所・施設 一覧'!S2031,-1,0),"&lt;&gt;")</f>
        <v>0</v>
      </c>
      <c r="G53" s="23">
        <f ca="1">SUMIF('事業所・施設 一覧'!$D$4:OFFSET('事業所・施設 一覧'!D2031,-1,0),"*吉見町*",'事業所・施設 一覧'!$S$4:OFFSET('事業所・施設 一覧'!S2031,-1,0))</f>
        <v>0</v>
      </c>
      <c r="H53" s="24">
        <f ca="1">COUNTIFS('事業所・施設 一覧'!$D$4:OFFSET('事業所・施設 一覧'!D2031,-1,0),"*吉見町*",'事業所・施設 一覧'!$T$4:OFFSET('事業所・施設 一覧'!T2031,-1,0),"&lt;&gt;")</f>
        <v>3</v>
      </c>
      <c r="I53" s="23">
        <f ca="1">SUMIF('事業所・施設 一覧'!$D$4:OFFSET('事業所・施設 一覧'!D2031,-1,0),"*吉見町*",'事業所・施設 一覧'!$T$4:OFFSET('事業所・施設 一覧'!T2031,-1,0))</f>
        <v>134</v>
      </c>
      <c r="J53" s="24">
        <f ca="1">COUNTIFS('事業所・施設 一覧'!$D$4:OFFSET('事業所・施設 一覧'!D2031,-1,0),"*吉見町*",'事業所・施設 一覧'!$U$4:OFFSET('事業所・施設 一覧'!U2031,-1,0),"&lt;&gt;")</f>
        <v>0</v>
      </c>
      <c r="K53" s="23">
        <f ca="1">SUMIF('事業所・施設 一覧'!$D$4:OFFSET('事業所・施設 一覧'!D2031,-1,0),"*吉見町*",'事業所・施設 一覧'!$U$4:OFFSET('事業所・施設 一覧'!U2031,-1,0))</f>
        <v>0</v>
      </c>
      <c r="L53" s="24">
        <f ca="1">COUNTIFS('事業所・施設 一覧'!$D$4:OFFSET('事業所・施設 一覧'!D2031,-1,0),"*吉見町*",'事業所・施設 一覧'!$V$4:OFFSET('事業所・施設 一覧'!V2031,-1,0),"&lt;&gt;")</f>
        <v>1</v>
      </c>
      <c r="M53" s="23">
        <f ca="1">SUMIF('事業所・施設 一覧'!$D$4:OFFSET('事業所・施設 一覧'!D2031,-1,0),"*吉見町*",'事業所・施設 一覧'!$V$4:OFFSET('事業所・施設 一覧'!V2031,-1,0))</f>
        <v>6</v>
      </c>
      <c r="N53" s="24">
        <f ca="1">COUNTIFS('事業所・施設 一覧'!$D$4:OFFSET('事業所・施設 一覧'!D2031,-1,0),"*吉見町*",'事業所・施設 一覧'!$W$4:OFFSET('事業所・施設 一覧'!W2031,-1,0),"&lt;&gt;")</f>
        <v>0</v>
      </c>
      <c r="O53" s="23">
        <f ca="1">SUMIF('事業所・施設 一覧'!$D$4:OFFSET('事業所・施設 一覧'!D2031,-1,0),"*吉見町*",'事業所・施設 一覧'!$W$4:OFFSET('事業所・施設 一覧'!W2031,-1,0))</f>
        <v>0</v>
      </c>
      <c r="P53" s="24">
        <f ca="1">COUNTIFS('事業所・施設 一覧'!$D$4:OFFSET('事業所・施設 一覧'!D2031,-1,0),"*吉見町*",'事業所・施設 一覧'!$X$4:OFFSET('事業所・施設 一覧'!X2031,-1,0),"&lt;&gt;")</f>
        <v>0</v>
      </c>
      <c r="Q53" s="23">
        <f ca="1">SUMIF('事業所・施設 一覧'!$D$4:OFFSET('事業所・施設 一覧'!D2031,-1,0),"*吉見町*",'事業所・施設 一覧'!$X$4:OFFSET('事業所・施設 一覧'!X2031,-1,0))</f>
        <v>0</v>
      </c>
      <c r="R53" s="24">
        <f ca="1">COUNTIFS('事業所・施設 一覧'!$D$4:OFFSET('事業所・施設 一覧'!D2031,-1,0),"*吉見町*",'事業所・施設 一覧'!$Z$4:OFFSET('事業所・施設 一覧'!Z2031,-1,0),"&lt;&gt;")</f>
        <v>0</v>
      </c>
      <c r="S53" s="23">
        <f ca="1">SUMIF('事業所・施設 一覧'!$D$4:OFFSET('事業所・施設 一覧'!D2031,-1,0),"*吉見町*",'事業所・施設 一覧'!$Z$4:OFFSET('事業所・施設 一覧'!Z2031,-1,0))</f>
        <v>0</v>
      </c>
      <c r="T53" s="24">
        <f ca="1">COUNTIFS('事業所・施設 一覧'!$D$4:OFFSET('事業所・施設 一覧'!D2031,-1,0),"*吉見町*",'事業所・施設 一覧'!$AA$4:OFFSET('事業所・施設 一覧'!AA2031,-1,0),"&lt;&gt;")</f>
        <v>1</v>
      </c>
      <c r="U53" s="25">
        <f ca="1">SUMIF('事業所・施設 一覧'!$D$4:OFFSET('事業所・施設 一覧'!D2031,-1,0),"*吉見町*",'事業所・施設 一覧'!$AA$4:OFFSET('事業所・施設 一覧'!AA2031,-1,0))</f>
        <v>30</v>
      </c>
      <c r="V53" s="24">
        <f ca="1">COUNTIFS('事業所・施設 一覧'!$D$4:OFFSET('事業所・施設 一覧'!D2031,-1,0),"*吉見町*",'事業所・施設 一覧'!$AB$4:OFFSET('事業所・施設 一覧'!AB2031,-1,0),"&lt;&gt;")</f>
        <v>0</v>
      </c>
      <c r="W53" s="25">
        <f ca="1">SUMIF('事業所・施設 一覧'!$D$4:OFFSET('事業所・施設 一覧'!D2031,-1,0),"*吉見町*",'事業所・施設 一覧'!$AB$4:OFFSET('事業所・施設 一覧'!AB2031,-1,0))</f>
        <v>0</v>
      </c>
      <c r="X53" s="24">
        <f ca="1">COUNTIFS('事業所・施設 一覧'!$D$4:OFFSET('事業所・施設 一覧'!D2031,-1,0),"*吉見町*",'事業所・施設 一覧'!$AC$4:OFFSET('事業所・施設 一覧'!AC2031,-1,0),"&lt;&gt;")</f>
        <v>0</v>
      </c>
      <c r="Y53" s="25">
        <f ca="1">SUMIF('事業所・施設 一覧'!$D$4:OFFSET('事業所・施設 一覧'!D2031,-1,0),"*吉見町*",'事業所・施設 一覧'!$AC$4:OFFSET('事業所・施設 一覧'!AC2031,-1,0))</f>
        <v>0</v>
      </c>
    </row>
    <row r="54" spans="1:25" ht="20.100000000000001" customHeight="1" x14ac:dyDescent="0.15">
      <c r="A54" s="15">
        <v>50</v>
      </c>
      <c r="B54" s="14" t="s">
        <v>4155</v>
      </c>
      <c r="C54" s="2" t="s">
        <v>4125</v>
      </c>
      <c r="D54" s="22">
        <f ca="1">COUNTIFS('事業所・施設 一覧'!$D$4:OFFSET('事業所・施設 一覧'!D2031,-1,0),"*鳩山町*",'事業所・施設 一覧'!$P$4:OFFSET('事業所・施設 一覧'!P2031,-1,0),"&lt;&gt;")</f>
        <v>2</v>
      </c>
      <c r="E54" s="23">
        <f ca="1">SUMIF('事業所・施設 一覧'!$D$4:OFFSET('事業所・施設 一覧'!D2031,-1,0),"*鳩山町*",'事業所・施設 一覧'!$P$4:OFFSET('事業所・施設 一覧'!P2031,-1,0))</f>
        <v>107</v>
      </c>
      <c r="F54" s="24">
        <f ca="1">COUNTIFS('事業所・施設 一覧'!$D$4:OFFSET('事業所・施設 一覧'!D2031,-1,0),"*鳩山町*",'事業所・施設 一覧'!$S$4:OFFSET('事業所・施設 一覧'!S2031,-1,0),"&lt;&gt;")</f>
        <v>0</v>
      </c>
      <c r="G54" s="23">
        <f ca="1">SUMIF('事業所・施設 一覧'!$D$4:OFFSET('事業所・施設 一覧'!D2031,-1,0),"*鳩山町*",'事業所・施設 一覧'!$S$4:OFFSET('事業所・施設 一覧'!S2031,-1,0))</f>
        <v>0</v>
      </c>
      <c r="H54" s="24">
        <f ca="1">COUNTIFS('事業所・施設 一覧'!$D$4:OFFSET('事業所・施設 一覧'!D2031,-1,0),"*鳩山町*",'事業所・施設 一覧'!$T$4:OFFSET('事業所・施設 一覧'!T2031,-1,0),"&lt;&gt;")</f>
        <v>2</v>
      </c>
      <c r="I54" s="23">
        <f ca="1">SUMIF('事業所・施設 一覧'!$D$4:OFFSET('事業所・施設 一覧'!D2031,-1,0),"*鳩山町*",'事業所・施設 一覧'!$T$4:OFFSET('事業所・施設 一覧'!T2031,-1,0))</f>
        <v>120</v>
      </c>
      <c r="J54" s="24">
        <f ca="1">COUNTIFS('事業所・施設 一覧'!$D$4:OFFSET('事業所・施設 一覧'!D2031,-1,0),"*鳩山町*",'事業所・施設 一覧'!$U$4:OFFSET('事業所・施設 一覧'!U2031,-1,0),"&lt;&gt;")</f>
        <v>0</v>
      </c>
      <c r="K54" s="23">
        <f ca="1">SUMIF('事業所・施設 一覧'!$D$4:OFFSET('事業所・施設 一覧'!D2031,-1,0),"*鳩山町*",'事業所・施設 一覧'!$U$4:OFFSET('事業所・施設 一覧'!U2031,-1,0))</f>
        <v>0</v>
      </c>
      <c r="L54" s="24">
        <f ca="1">COUNTIFS('事業所・施設 一覧'!$D$4:OFFSET('事業所・施設 一覧'!D2031,-1,0),"*鳩山町*",'事業所・施設 一覧'!$V$4:OFFSET('事業所・施設 一覧'!V2031,-1,0),"&lt;&gt;")</f>
        <v>0</v>
      </c>
      <c r="M54" s="23">
        <f ca="1">SUMIF('事業所・施設 一覧'!$D$4:OFFSET('事業所・施設 一覧'!D2031,-1,0),"*鳩山町*",'事業所・施設 一覧'!$V$4:OFFSET('事業所・施設 一覧'!V2031,-1,0))</f>
        <v>0</v>
      </c>
      <c r="N54" s="24">
        <f ca="1">COUNTIFS('事業所・施設 一覧'!$D$4:OFFSET('事業所・施設 一覧'!D2031,-1,0),"*鳩山町*",'事業所・施設 一覧'!$W$4:OFFSET('事業所・施設 一覧'!W2031,-1,0),"&lt;&gt;")</f>
        <v>0</v>
      </c>
      <c r="O54" s="23">
        <f ca="1">SUMIF('事業所・施設 一覧'!$D$4:OFFSET('事業所・施設 一覧'!D2031,-1,0),"*鳩山町*",'事業所・施設 一覧'!$W$4:OFFSET('事業所・施設 一覧'!W2031,-1,0))</f>
        <v>0</v>
      </c>
      <c r="P54" s="24">
        <f ca="1">COUNTIFS('事業所・施設 一覧'!$D$4:OFFSET('事業所・施設 一覧'!D2031,-1,0),"*鳩山町*",'事業所・施設 一覧'!$X$4:OFFSET('事業所・施設 一覧'!X2031,-1,0),"&lt;&gt;")</f>
        <v>0</v>
      </c>
      <c r="Q54" s="23">
        <f ca="1">SUMIF('事業所・施設 一覧'!$D$4:OFFSET('事業所・施設 一覧'!D2031,-1,0),"*鳩山町*",'事業所・施設 一覧'!$X$4:OFFSET('事業所・施設 一覧'!X2031,-1,0))</f>
        <v>0</v>
      </c>
      <c r="R54" s="24">
        <f ca="1">COUNTIFS('事業所・施設 一覧'!$D$4:OFFSET('事業所・施設 一覧'!D2031,-1,0),"*鳩山町*",'事業所・施設 一覧'!$Z$4:OFFSET('事業所・施設 一覧'!Z2031,-1,0),"&lt;&gt;")</f>
        <v>0</v>
      </c>
      <c r="S54" s="23">
        <f ca="1">SUMIF('事業所・施設 一覧'!$D$4:OFFSET('事業所・施設 一覧'!D2031,-1,0),"*鳩山町*",'事業所・施設 一覧'!$Z$4:OFFSET('事業所・施設 一覧'!Z2031,-1,0))</f>
        <v>0</v>
      </c>
      <c r="T54" s="24">
        <f ca="1">COUNTIFS('事業所・施設 一覧'!$D$4:OFFSET('事業所・施設 一覧'!D2031,-1,0),"*鳩山町*",'事業所・施設 一覧'!$AA$4:OFFSET('事業所・施設 一覧'!AA2031,-1,0),"&lt;&gt;")</f>
        <v>1</v>
      </c>
      <c r="U54" s="25">
        <f ca="1">SUMIF('事業所・施設 一覧'!$D$4:OFFSET('事業所・施設 一覧'!D2031,-1,0),"*鳩山町*",'事業所・施設 一覧'!$AA$4:OFFSET('事業所・施設 一覧'!AA2031,-1,0))</f>
        <v>20</v>
      </c>
      <c r="V54" s="24">
        <f ca="1">COUNTIFS('事業所・施設 一覧'!$D$4:OFFSET('事業所・施設 一覧'!D2031,-1,0),"*鳩山町*",'事業所・施設 一覧'!$AB$4:OFFSET('事業所・施設 一覧'!AB2031,-1,0),"&lt;&gt;")</f>
        <v>0</v>
      </c>
      <c r="W54" s="25">
        <f ca="1">SUMIF('事業所・施設 一覧'!$D$4:OFFSET('事業所・施設 一覧'!D2031,-1,0),"*鳩山町*",'事業所・施設 一覧'!$AB$4:OFFSET('事業所・施設 一覧'!AB2031,-1,0))</f>
        <v>0</v>
      </c>
      <c r="X54" s="24">
        <f ca="1">COUNTIFS('事業所・施設 一覧'!$D$4:OFFSET('事業所・施設 一覧'!D2031,-1,0),"*鳩山町*",'事業所・施設 一覧'!$AC$4:OFFSET('事業所・施設 一覧'!AC2031,-1,0),"&lt;&gt;")</f>
        <v>0</v>
      </c>
      <c r="Y54" s="25">
        <f ca="1">SUMIF('事業所・施設 一覧'!$D$4:OFFSET('事業所・施設 一覧'!D2031,-1,0),"*鳩山町*",'事業所・施設 一覧'!$AC$4:OFFSET('事業所・施設 一覧'!AC2031,-1,0))</f>
        <v>0</v>
      </c>
    </row>
    <row r="55" spans="1:25" ht="20.100000000000001" customHeight="1" x14ac:dyDescent="0.15">
      <c r="A55" s="15">
        <v>51</v>
      </c>
      <c r="B55" s="14" t="s">
        <v>4155</v>
      </c>
      <c r="C55" s="2" t="s">
        <v>4126</v>
      </c>
      <c r="D55" s="22">
        <f ca="1">COUNTIFS('事業所・施設 一覧'!$D$4:OFFSET('事業所・施設 一覧'!D2031,-1,0),"*ときがわ町*",'事業所・施設 一覧'!$P$4:OFFSET('事業所・施設 一覧'!P2031,-1,0),"&lt;&gt;")</f>
        <v>0</v>
      </c>
      <c r="E55" s="23">
        <f ca="1">SUMIF('事業所・施設 一覧'!$D$4:OFFSET('事業所・施設 一覧'!D2031,-1,0),"*ときがわ町*",'事業所・施設 一覧'!$P$4:OFFSET('事業所・施設 一覧'!P2031,-1,0))</f>
        <v>0</v>
      </c>
      <c r="F55" s="24">
        <f ca="1">COUNTIFS('事業所・施設 一覧'!$D$4:OFFSET('事業所・施設 一覧'!D2031,-1,0),"*ときがわ町*",'事業所・施設 一覧'!$S$4:OFFSET('事業所・施設 一覧'!S2031,-1,0),"&lt;&gt;")</f>
        <v>0</v>
      </c>
      <c r="G55" s="23">
        <f ca="1">SUMIF('事業所・施設 一覧'!$D$4:OFFSET('事業所・施設 一覧'!D2031,-1,0),"*ときがわ町*",'事業所・施設 一覧'!$S$4:OFFSET('事業所・施設 一覧'!S2031,-1,0))</f>
        <v>0</v>
      </c>
      <c r="H55" s="24">
        <f ca="1">COUNTIFS('事業所・施設 一覧'!$D$4:OFFSET('事業所・施設 一覧'!D2031,-1,0),"*ときがわ町*",'事業所・施設 一覧'!$T$4:OFFSET('事業所・施設 一覧'!T2031,-1,0),"&lt;&gt;")</f>
        <v>1</v>
      </c>
      <c r="I55" s="23">
        <f ca="1">SUMIF('事業所・施設 一覧'!$D$4:OFFSET('事業所・施設 一覧'!D2031,-1,0),"*ときがわ町*",'事業所・施設 一覧'!$T$4:OFFSET('事業所・施設 一覧'!T2031,-1,0))</f>
        <v>18</v>
      </c>
      <c r="J55" s="24">
        <f ca="1">COUNTIFS('事業所・施設 一覧'!$D$4:OFFSET('事業所・施設 一覧'!D2031,-1,0),"*ときがわ町*",'事業所・施設 一覧'!$U$4:OFFSET('事業所・施設 一覧'!U2031,-1,0),"&lt;&gt;")</f>
        <v>0</v>
      </c>
      <c r="K55" s="23">
        <f ca="1">SUMIF('事業所・施設 一覧'!$D$4:OFFSET('事業所・施設 一覧'!D2031,-1,0),"*ときがわ町*",'事業所・施設 一覧'!$U$4:OFFSET('事業所・施設 一覧'!U2031,-1,0))</f>
        <v>0</v>
      </c>
      <c r="L55" s="24">
        <f ca="1">COUNTIFS('事業所・施設 一覧'!$D$4:OFFSET('事業所・施設 一覧'!D2031,-1,0),"*ときがわ町*",'事業所・施設 一覧'!$V$4:OFFSET('事業所・施設 一覧'!V2031,-1,0),"&lt;&gt;")</f>
        <v>0</v>
      </c>
      <c r="M55" s="23">
        <f ca="1">SUMIF('事業所・施設 一覧'!$D$4:OFFSET('事業所・施設 一覧'!D2031,-1,0),"*ときがわ町*",'事業所・施設 一覧'!$V$4:OFFSET('事業所・施設 一覧'!V2031,-1,0))</f>
        <v>0</v>
      </c>
      <c r="N55" s="24">
        <f ca="1">COUNTIFS('事業所・施設 一覧'!$D$4:OFFSET('事業所・施設 一覧'!D2031,-1,0),"*ときがわ町*",'事業所・施設 一覧'!$W$4:OFFSET('事業所・施設 一覧'!W2031,-1,0),"&lt;&gt;")</f>
        <v>0</v>
      </c>
      <c r="O55" s="23">
        <f ca="1">SUMIF('事業所・施設 一覧'!$D$4:OFFSET('事業所・施設 一覧'!D2031,-1,0),"*ときがわ町*",'事業所・施設 一覧'!$W$4:OFFSET('事業所・施設 一覧'!W2031,-1,0))</f>
        <v>0</v>
      </c>
      <c r="P55" s="24">
        <f ca="1">COUNTIFS('事業所・施設 一覧'!$D$4:OFFSET('事業所・施設 一覧'!D2031,-1,0),"*ときがわ町*",'事業所・施設 一覧'!$X$4:OFFSET('事業所・施設 一覧'!X2031,-1,0),"&lt;&gt;")</f>
        <v>0</v>
      </c>
      <c r="Q55" s="23">
        <f ca="1">SUMIF('事業所・施設 一覧'!$D$4:OFFSET('事業所・施設 一覧'!D2031,-1,0),"*ときがわ町*",'事業所・施設 一覧'!$X$4:OFFSET('事業所・施設 一覧'!X2031,-1,0))</f>
        <v>0</v>
      </c>
      <c r="R55" s="24">
        <f ca="1">COUNTIFS('事業所・施設 一覧'!$D$4:OFFSET('事業所・施設 一覧'!D2031,-1,0),"*ときがわ町*",'事業所・施設 一覧'!$Z$4:OFFSET('事業所・施設 一覧'!Z2031,-1,0),"&lt;&gt;")</f>
        <v>0</v>
      </c>
      <c r="S55" s="23">
        <f ca="1">SUMIF('事業所・施設 一覧'!$D$4:OFFSET('事業所・施設 一覧'!D2031,-1,0),"*ときがわ町*",'事業所・施設 一覧'!$Z$4:OFFSET('事業所・施設 一覧'!Z2031,-1,0))</f>
        <v>0</v>
      </c>
      <c r="T55" s="24">
        <f ca="1">COUNTIFS('事業所・施設 一覧'!$D$4:OFFSET('事業所・施設 一覧'!D2031,-1,0),"*ときがわ町*",'事業所・施設 一覧'!$AA$4:OFFSET('事業所・施設 一覧'!AA2031,-1,0),"&lt;&gt;")</f>
        <v>3</v>
      </c>
      <c r="U55" s="25">
        <f ca="1">SUMIF('事業所・施設 一覧'!$D$4:OFFSET('事業所・施設 一覧'!D2031,-1,0),"*ときがわ町*",'事業所・施設 一覧'!$AA$4:OFFSET('事業所・施設 一覧'!AA2031,-1,0))</f>
        <v>62</v>
      </c>
      <c r="V55" s="24">
        <f ca="1">COUNTIFS('事業所・施設 一覧'!$D$4:OFFSET('事業所・施設 一覧'!D2031,-1,0),"*ときがわ町*",'事業所・施設 一覧'!$AB$4:OFFSET('事業所・施設 一覧'!AB2031,-1,0),"&lt;&gt;")</f>
        <v>0</v>
      </c>
      <c r="W55" s="25">
        <f ca="1">SUMIF('事業所・施設 一覧'!$D$4:OFFSET('事業所・施設 一覧'!D2031,-1,0),"*ときがわ町*",'事業所・施設 一覧'!$AB$4:OFFSET('事業所・施設 一覧'!AB2031,-1,0))</f>
        <v>0</v>
      </c>
      <c r="X55" s="24">
        <f ca="1">COUNTIFS('事業所・施設 一覧'!$D$4:OFFSET('事業所・施設 一覧'!D2031,-1,0),"*ときがわ町*",'事業所・施設 一覧'!$AC$4:OFFSET('事業所・施設 一覧'!AC2031,-1,0),"&lt;&gt;")</f>
        <v>0</v>
      </c>
      <c r="Y55" s="25">
        <f ca="1">SUMIF('事業所・施設 一覧'!$D$4:OFFSET('事業所・施設 一覧'!D2031,-1,0),"*ときがわ町*",'事業所・施設 一覧'!$AC$4:OFFSET('事業所・施設 一覧'!AC2031,-1,0))</f>
        <v>0</v>
      </c>
    </row>
    <row r="56" spans="1:25" ht="20.100000000000001" customHeight="1" x14ac:dyDescent="0.15">
      <c r="A56" s="15">
        <v>52</v>
      </c>
      <c r="B56" s="14" t="s">
        <v>369</v>
      </c>
      <c r="C56" s="2" t="s">
        <v>4135</v>
      </c>
      <c r="D56" s="22">
        <f ca="1">COUNTIFS('事業所・施設 一覧'!$D$4:OFFSET('事業所・施設 一覧'!D2031,-1,0),"*横瀬町*",'事業所・施設 一覧'!$P$4:OFFSET('事業所・施設 一覧'!P2031,-1,0),"&lt;&gt;")</f>
        <v>0</v>
      </c>
      <c r="E56" s="23">
        <f ca="1">SUMIF('事業所・施設 一覧'!$D$4:OFFSET('事業所・施設 一覧'!D2031,-1,0),"*横瀬町*",'事業所・施設 一覧'!$P$4:OFFSET('事業所・施設 一覧'!P2031,-1,0))</f>
        <v>0</v>
      </c>
      <c r="F56" s="24">
        <f ca="1">COUNTIFS('事業所・施設 一覧'!$D$4:OFFSET('事業所・施設 一覧'!D2031,-1,0),"*横瀬町*",'事業所・施設 一覧'!$S$4:OFFSET('事業所・施設 一覧'!S2031,-1,0),"&lt;&gt;")</f>
        <v>0</v>
      </c>
      <c r="G56" s="23">
        <f ca="1">SUMIF('事業所・施設 一覧'!$D$4:OFFSET('事業所・施設 一覧'!D2031,-1,0),"*横瀬町*",'事業所・施設 一覧'!$S$4:OFFSET('事業所・施設 一覧'!S2031,-1,0))</f>
        <v>0</v>
      </c>
      <c r="H56" s="24">
        <f ca="1">COUNTIFS('事業所・施設 一覧'!$D$4:OFFSET('事業所・施設 一覧'!D2031,-1,0),"*横瀬町*",'事業所・施設 一覧'!$T$4:OFFSET('事業所・施設 一覧'!T2031,-1,0),"&lt;&gt;")</f>
        <v>0</v>
      </c>
      <c r="I56" s="23">
        <f ca="1">SUMIF('事業所・施設 一覧'!$D$4:OFFSET('事業所・施設 一覧'!D2031,-1,0),"*横瀬町*",'事業所・施設 一覧'!$T$4:OFFSET('事業所・施設 一覧'!T2031,-1,0))</f>
        <v>0</v>
      </c>
      <c r="J56" s="24">
        <f ca="1">COUNTIFS('事業所・施設 一覧'!$D$4:OFFSET('事業所・施設 一覧'!D2031,-1,0),"*横瀬町*",'事業所・施設 一覧'!$U$4:OFFSET('事業所・施設 一覧'!U2031,-1,0),"&lt;&gt;")</f>
        <v>0</v>
      </c>
      <c r="K56" s="23">
        <f ca="1">SUMIF('事業所・施設 一覧'!$D$4:OFFSET('事業所・施設 一覧'!D2031,-1,0),"*横瀬町*",'事業所・施設 一覧'!$U$4:OFFSET('事業所・施設 一覧'!U2031,-1,0))</f>
        <v>0</v>
      </c>
      <c r="L56" s="24">
        <f ca="1">COUNTIFS('事業所・施設 一覧'!$D$4:OFFSET('事業所・施設 一覧'!D2031,-1,0),"*横瀬町*",'事業所・施設 一覧'!$V$4:OFFSET('事業所・施設 一覧'!V2031,-1,0),"&lt;&gt;")</f>
        <v>0</v>
      </c>
      <c r="M56" s="23">
        <f ca="1">SUMIF('事業所・施設 一覧'!$D$4:OFFSET('事業所・施設 一覧'!D2031,-1,0),"*横瀬町*",'事業所・施設 一覧'!$V$4:OFFSET('事業所・施設 一覧'!V2031,-1,0))</f>
        <v>0</v>
      </c>
      <c r="N56" s="24">
        <f ca="1">COUNTIFS('事業所・施設 一覧'!$D$4:OFFSET('事業所・施設 一覧'!D2031,-1,0),"*横瀬町*",'事業所・施設 一覧'!$W$4:OFFSET('事業所・施設 一覧'!W2031,-1,0),"&lt;&gt;")</f>
        <v>0</v>
      </c>
      <c r="O56" s="23">
        <f ca="1">SUMIF('事業所・施設 一覧'!$D$4:OFFSET('事業所・施設 一覧'!D2031,-1,0),"*横瀬町*",'事業所・施設 一覧'!$W$4:OFFSET('事業所・施設 一覧'!W2031,-1,0))</f>
        <v>0</v>
      </c>
      <c r="P56" s="24">
        <f ca="1">COUNTIFS('事業所・施設 一覧'!$D$4:OFFSET('事業所・施設 一覧'!D2031,-1,0),"*横瀬町*",'事業所・施設 一覧'!$X$4:OFFSET('事業所・施設 一覧'!X2031,-1,0),"&lt;&gt;")</f>
        <v>0</v>
      </c>
      <c r="Q56" s="23">
        <f ca="1">SUMIF('事業所・施設 一覧'!$D$4:OFFSET('事業所・施設 一覧'!D2031,-1,0),"*横瀬町*",'事業所・施設 一覧'!$X$4:OFFSET('事業所・施設 一覧'!X2031,-1,0))</f>
        <v>0</v>
      </c>
      <c r="R56" s="24">
        <f ca="1">COUNTIFS('事業所・施設 一覧'!$D$4:OFFSET('事業所・施設 一覧'!D2031,-1,0),"*横瀬町*",'事業所・施設 一覧'!$Z$4:OFFSET('事業所・施設 一覧'!Z2031,-1,0),"&lt;&gt;")</f>
        <v>0</v>
      </c>
      <c r="S56" s="23">
        <f ca="1">SUMIF('事業所・施設 一覧'!$D$4:OFFSET('事業所・施設 一覧'!D2031,-1,0),"*横瀬町*",'事業所・施設 一覧'!$Z$4:OFFSET('事業所・施設 一覧'!Z2031,-1,0))</f>
        <v>0</v>
      </c>
      <c r="T56" s="24">
        <f ca="1">COUNTIFS('事業所・施設 一覧'!$D$4:OFFSET('事業所・施設 一覧'!D2031,-1,0),"*横瀬町*",'事業所・施設 一覧'!$AA$4:OFFSET('事業所・施設 一覧'!AA2031,-1,0),"&lt;&gt;")</f>
        <v>0</v>
      </c>
      <c r="U56" s="25">
        <f ca="1">SUMIF('事業所・施設 一覧'!$D$4:OFFSET('事業所・施設 一覧'!D2031,-1,0),"*横瀬町*",'事業所・施設 一覧'!$AA$4:OFFSET('事業所・施設 一覧'!AA2031,-1,0))</f>
        <v>0</v>
      </c>
      <c r="V56" s="24">
        <f ca="1">COUNTIFS('事業所・施設 一覧'!$D$4:OFFSET('事業所・施設 一覧'!D2031,-1,0),"*横瀬町*",'事業所・施設 一覧'!$AB$4:OFFSET('事業所・施設 一覧'!AB2031,-1,0),"&lt;&gt;")</f>
        <v>0</v>
      </c>
      <c r="W56" s="25">
        <f ca="1">SUMIF('事業所・施設 一覧'!$D$4:OFFSET('事業所・施設 一覧'!D2031,-1,0),"*横瀬町*",'事業所・施設 一覧'!$AB$4:OFFSET('事業所・施設 一覧'!AB2031,-1,0))</f>
        <v>0</v>
      </c>
      <c r="X56" s="24">
        <f ca="1">COUNTIFS('事業所・施設 一覧'!$D$4:OFFSET('事業所・施設 一覧'!D2031,-1,0),"*横瀬町*",'事業所・施設 一覧'!$AC$4:OFFSET('事業所・施設 一覧'!AC2031,-1,0),"&lt;&gt;")</f>
        <v>0</v>
      </c>
      <c r="Y56" s="25">
        <f ca="1">SUMIF('事業所・施設 一覧'!$D$4:OFFSET('事業所・施設 一覧'!D2031,-1,0),"*横瀬町*",'事業所・施設 一覧'!$AC$4:OFFSET('事業所・施設 一覧'!AC2031,-1,0))</f>
        <v>0</v>
      </c>
    </row>
    <row r="57" spans="1:25" ht="20.100000000000001" customHeight="1" x14ac:dyDescent="0.15">
      <c r="A57" s="15">
        <v>53</v>
      </c>
      <c r="B57" s="14" t="s">
        <v>369</v>
      </c>
      <c r="C57" s="2" t="s">
        <v>4136</v>
      </c>
      <c r="D57" s="22">
        <f ca="1">COUNTIFS('事業所・施設 一覧'!$D$4:OFFSET('事業所・施設 一覧'!D2031,-1,0),"*皆野町*",'事業所・施設 一覧'!$P$4:OFFSET('事業所・施設 一覧'!P2031,-1,0),"&lt;&gt;")</f>
        <v>1</v>
      </c>
      <c r="E57" s="23">
        <f ca="1">SUMIF('事業所・施設 一覧'!$D$4:OFFSET('事業所・施設 一覧'!D2031,-1,0),"*皆野町*",'事業所・施設 一覧'!$P$4:OFFSET('事業所・施設 一覧'!P2031,-1,0))</f>
        <v>50</v>
      </c>
      <c r="F57" s="24">
        <f ca="1">COUNTIFS('事業所・施設 一覧'!$D$4:OFFSET('事業所・施設 一覧'!D2031,-1,0),"*皆野町*",'事業所・施設 一覧'!$S$4:OFFSET('事業所・施設 一覧'!S2031,-1,0),"&lt;&gt;")</f>
        <v>0</v>
      </c>
      <c r="G57" s="23">
        <f ca="1">SUMIF('事業所・施設 一覧'!$D$4:OFFSET('事業所・施設 一覧'!D2031,-1,0),"*皆野町*",'事業所・施設 一覧'!$S$4:OFFSET('事業所・施設 一覧'!S2031,-1,0))</f>
        <v>0</v>
      </c>
      <c r="H57" s="24">
        <f ca="1">COUNTIFS('事業所・施設 一覧'!$D$4:OFFSET('事業所・施設 一覧'!D2031,-1,0),"*皆野町*",'事業所・施設 一覧'!$T$4:OFFSET('事業所・施設 一覧'!T2031,-1,0),"&lt;&gt;")</f>
        <v>2</v>
      </c>
      <c r="I57" s="23">
        <f ca="1">SUMIF('事業所・施設 一覧'!$D$4:OFFSET('事業所・施設 一覧'!D2031,-1,0),"*皆野町*",'事業所・施設 一覧'!$T$4:OFFSET('事業所・施設 一覧'!T2031,-1,0))</f>
        <v>73</v>
      </c>
      <c r="J57" s="24">
        <f ca="1">COUNTIFS('事業所・施設 一覧'!$D$4:OFFSET('事業所・施設 一覧'!D2031,-1,0),"*皆野町*",'事業所・施設 一覧'!$U$4:OFFSET('事業所・施設 一覧'!U2031,-1,0),"&lt;&gt;")</f>
        <v>0</v>
      </c>
      <c r="K57" s="23">
        <f ca="1">SUMIF('事業所・施設 一覧'!$D$4:OFFSET('事業所・施設 一覧'!D2031,-1,0),"*皆野町*",'事業所・施設 一覧'!$U$4:OFFSET('事業所・施設 一覧'!U2031,-1,0))</f>
        <v>0</v>
      </c>
      <c r="L57" s="24">
        <f ca="1">COUNTIFS('事業所・施設 一覧'!$D$4:OFFSET('事業所・施設 一覧'!D2031,-1,0),"*皆野町*",'事業所・施設 一覧'!$V$4:OFFSET('事業所・施設 一覧'!V2031,-1,0),"&lt;&gt;")</f>
        <v>0</v>
      </c>
      <c r="M57" s="23">
        <f ca="1">SUMIF('事業所・施設 一覧'!$D$4:OFFSET('事業所・施設 一覧'!D2031,-1,0),"*皆野町*",'事業所・施設 一覧'!$V$4:OFFSET('事業所・施設 一覧'!V2031,-1,0))</f>
        <v>0</v>
      </c>
      <c r="N57" s="24">
        <f ca="1">COUNTIFS('事業所・施設 一覧'!$D$4:OFFSET('事業所・施設 一覧'!D2031,-1,0),"*皆野町*",'事業所・施設 一覧'!$W$4:OFFSET('事業所・施設 一覧'!W2031,-1,0),"&lt;&gt;")</f>
        <v>0</v>
      </c>
      <c r="O57" s="23">
        <f ca="1">SUMIF('事業所・施設 一覧'!$D$4:OFFSET('事業所・施設 一覧'!D2031,-1,0),"*皆野町*",'事業所・施設 一覧'!$W$4:OFFSET('事業所・施設 一覧'!W2031,-1,0))</f>
        <v>0</v>
      </c>
      <c r="P57" s="24">
        <f ca="1">COUNTIFS('事業所・施設 一覧'!$D$4:OFFSET('事業所・施設 一覧'!D2031,-1,0),"*皆野町*",'事業所・施設 一覧'!$X$4:OFFSET('事業所・施設 一覧'!X2031,-1,0),"&lt;&gt;")</f>
        <v>0</v>
      </c>
      <c r="Q57" s="23">
        <f ca="1">SUMIF('事業所・施設 一覧'!$D$4:OFFSET('事業所・施設 一覧'!D2031,-1,0),"*皆野町*",'事業所・施設 一覧'!$X$4:OFFSET('事業所・施設 一覧'!X2031,-1,0))</f>
        <v>0</v>
      </c>
      <c r="R57" s="24">
        <f ca="1">COUNTIFS('事業所・施設 一覧'!$D$4:OFFSET('事業所・施設 一覧'!D2031,-1,0),"*皆野町*",'事業所・施設 一覧'!$Z$4:OFFSET('事業所・施設 一覧'!Z2031,-1,0),"&lt;&gt;")</f>
        <v>0</v>
      </c>
      <c r="S57" s="23">
        <f ca="1">SUMIF('事業所・施設 一覧'!$D$4:OFFSET('事業所・施設 一覧'!D2031,-1,0),"*皆野町*",'事業所・施設 一覧'!$Z$4:OFFSET('事業所・施設 一覧'!Z2031,-1,0))</f>
        <v>0</v>
      </c>
      <c r="T57" s="24">
        <f ca="1">COUNTIFS('事業所・施設 一覧'!$D$4:OFFSET('事業所・施設 一覧'!D2031,-1,0),"*皆野町*",'事業所・施設 一覧'!$AA$4:OFFSET('事業所・施設 一覧'!AA2031,-1,0),"&lt;&gt;")</f>
        <v>1</v>
      </c>
      <c r="U57" s="25">
        <f ca="1">SUMIF('事業所・施設 一覧'!$D$4:OFFSET('事業所・施設 一覧'!D2031,-1,0),"*皆野町*",'事業所・施設 一覧'!$AA$4:OFFSET('事業所・施設 一覧'!AA2031,-1,0))</f>
        <v>20</v>
      </c>
      <c r="V57" s="24">
        <f ca="1">COUNTIFS('事業所・施設 一覧'!$D$4:OFFSET('事業所・施設 一覧'!D2031,-1,0),"*皆野町*",'事業所・施設 一覧'!$AB$4:OFFSET('事業所・施設 一覧'!AB2031,-1,0),"&lt;&gt;")</f>
        <v>0</v>
      </c>
      <c r="W57" s="25">
        <f ca="1">SUMIF('事業所・施設 一覧'!$D$4:OFFSET('事業所・施設 一覧'!D2031,-1,0),"*皆野町*",'事業所・施設 一覧'!$AB$4:OFFSET('事業所・施設 一覧'!AB2031,-1,0))</f>
        <v>0</v>
      </c>
      <c r="X57" s="24">
        <f ca="1">COUNTIFS('事業所・施設 一覧'!$D$4:OFFSET('事業所・施設 一覧'!D2031,-1,0),"*皆野町*",'事業所・施設 一覧'!$AC$4:OFFSET('事業所・施設 一覧'!AC2031,-1,0),"&lt;&gt;")</f>
        <v>0</v>
      </c>
      <c r="Y57" s="25">
        <f ca="1">SUMIF('事業所・施設 一覧'!$D$4:OFFSET('事業所・施設 一覧'!D2031,-1,0),"*皆野町*",'事業所・施設 一覧'!$AC$4:OFFSET('事業所・施設 一覧'!AC2031,-1,0))</f>
        <v>0</v>
      </c>
    </row>
    <row r="58" spans="1:25" ht="20.100000000000001" customHeight="1" x14ac:dyDescent="0.15">
      <c r="A58" s="15">
        <v>54</v>
      </c>
      <c r="B58" s="14" t="s">
        <v>369</v>
      </c>
      <c r="C58" s="2" t="s">
        <v>4127</v>
      </c>
      <c r="D58" s="22">
        <f ca="1">COUNTIFS('事業所・施設 一覧'!$D$4:OFFSET('事業所・施設 一覧'!D2031,-1,0),"*長瀞町*",'事業所・施設 一覧'!$P$4:OFFSET('事業所・施設 一覧'!P2031,-1,0),"&lt;&gt;")</f>
        <v>0</v>
      </c>
      <c r="E58" s="23">
        <f ca="1">SUMIF('事業所・施設 一覧'!$D$4:OFFSET('事業所・施設 一覧'!D2031,-1,0),"*長瀞町*",'事業所・施設 一覧'!$P$4:OFFSET('事業所・施設 一覧'!P2031,-1,0))</f>
        <v>0</v>
      </c>
      <c r="F58" s="24">
        <f ca="1">COUNTIFS('事業所・施設 一覧'!$D$4:OFFSET('事業所・施設 一覧'!D2031,-1,0),"*長瀞町*",'事業所・施設 一覧'!$S$4:OFFSET('事業所・施設 一覧'!S2031,-1,0),"&lt;&gt;")</f>
        <v>0</v>
      </c>
      <c r="G58" s="23">
        <f ca="1">SUMIF('事業所・施設 一覧'!$D$4:OFFSET('事業所・施設 一覧'!D2031,-1,0),"*長瀞町*",'事業所・施設 一覧'!$S$4:OFFSET('事業所・施設 一覧'!S2031,-1,0))</f>
        <v>0</v>
      </c>
      <c r="H58" s="24">
        <f ca="1">COUNTIFS('事業所・施設 一覧'!$D$4:OFFSET('事業所・施設 一覧'!D2031,-1,0),"*長瀞町*",'事業所・施設 一覧'!$T$4:OFFSET('事業所・施設 一覧'!T2031,-1,0),"&lt;&gt;")</f>
        <v>0</v>
      </c>
      <c r="I58" s="23">
        <f ca="1">SUMIF('事業所・施設 一覧'!$D$4:OFFSET('事業所・施設 一覧'!D2031,-1,0),"*長瀞町*",'事業所・施設 一覧'!$T$4:OFFSET('事業所・施設 一覧'!T2031,-1,0))</f>
        <v>0</v>
      </c>
      <c r="J58" s="24">
        <f ca="1">COUNTIFS('事業所・施設 一覧'!$D$4:OFFSET('事業所・施設 一覧'!D2031,-1,0),"*長瀞町*",'事業所・施設 一覧'!$U$4:OFFSET('事業所・施設 一覧'!U2031,-1,0),"&lt;&gt;")</f>
        <v>0</v>
      </c>
      <c r="K58" s="23">
        <f ca="1">SUMIF('事業所・施設 一覧'!$D$4:OFFSET('事業所・施設 一覧'!D2031,-1,0),"*長瀞町*",'事業所・施設 一覧'!$U$4:OFFSET('事業所・施設 一覧'!U2031,-1,0))</f>
        <v>0</v>
      </c>
      <c r="L58" s="24">
        <f ca="1">COUNTIFS('事業所・施設 一覧'!$D$4:OFFSET('事業所・施設 一覧'!D2031,-1,0),"*長瀞町*",'事業所・施設 一覧'!$V$4:OFFSET('事業所・施設 一覧'!V2031,-1,0),"&lt;&gt;")</f>
        <v>0</v>
      </c>
      <c r="M58" s="23">
        <f ca="1">SUMIF('事業所・施設 一覧'!$D$4:OFFSET('事業所・施設 一覧'!D2031,-1,0),"*長瀞町*",'事業所・施設 一覧'!$V$4:OFFSET('事業所・施設 一覧'!V2031,-1,0))</f>
        <v>0</v>
      </c>
      <c r="N58" s="24">
        <f ca="1">COUNTIFS('事業所・施設 一覧'!$D$4:OFFSET('事業所・施設 一覧'!D2031,-1,0),"*長瀞町*",'事業所・施設 一覧'!$W$4:OFFSET('事業所・施設 一覧'!W2031,-1,0),"&lt;&gt;")</f>
        <v>0</v>
      </c>
      <c r="O58" s="23">
        <f ca="1">SUMIF('事業所・施設 一覧'!$D$4:OFFSET('事業所・施設 一覧'!D2031,-1,0),"*長瀞町*",'事業所・施設 一覧'!$W$4:OFFSET('事業所・施設 一覧'!W2031,-1,0))</f>
        <v>0</v>
      </c>
      <c r="P58" s="24">
        <f ca="1">COUNTIFS('事業所・施設 一覧'!$D$4:OFFSET('事業所・施設 一覧'!D2031,-1,0),"*長瀞町*",'事業所・施設 一覧'!$X$4:OFFSET('事業所・施設 一覧'!X2031,-1,0),"&lt;&gt;")</f>
        <v>0</v>
      </c>
      <c r="Q58" s="23">
        <f ca="1">SUMIF('事業所・施設 一覧'!$D$4:OFFSET('事業所・施設 一覧'!D2031,-1,0),"*長瀞町*",'事業所・施設 一覧'!$X$4:OFFSET('事業所・施設 一覧'!X2031,-1,0))</f>
        <v>0</v>
      </c>
      <c r="R58" s="24">
        <f ca="1">COUNTIFS('事業所・施設 一覧'!$D$4:OFFSET('事業所・施設 一覧'!D2031,-1,0),"*長瀞町*",'事業所・施設 一覧'!$Z$4:OFFSET('事業所・施設 一覧'!Z2031,-1,0),"&lt;&gt;")</f>
        <v>0</v>
      </c>
      <c r="S58" s="23">
        <f ca="1">SUMIF('事業所・施設 一覧'!$D$4:OFFSET('事業所・施設 一覧'!D2031,-1,0),"*長瀞町*",'事業所・施設 一覧'!$Z$4:OFFSET('事業所・施設 一覧'!Z2031,-1,0))</f>
        <v>0</v>
      </c>
      <c r="T58" s="24">
        <f ca="1">COUNTIFS('事業所・施設 一覧'!$D$4:OFFSET('事業所・施設 一覧'!D2031,-1,0),"*長瀞町*",'事業所・施設 一覧'!$AA$4:OFFSET('事業所・施設 一覧'!AA2031,-1,0),"&lt;&gt;")</f>
        <v>1</v>
      </c>
      <c r="U58" s="25">
        <f ca="1">SUMIF('事業所・施設 一覧'!$D$4:OFFSET('事業所・施設 一覧'!D2031,-1,0),"*長瀞町*",'事業所・施設 一覧'!$AA$4:OFFSET('事業所・施設 一覧'!AA2031,-1,0))</f>
        <v>20</v>
      </c>
      <c r="V58" s="24">
        <f ca="1">COUNTIFS('事業所・施設 一覧'!$D$4:OFFSET('事業所・施設 一覧'!D2031,-1,0),"*長瀞町*",'事業所・施設 一覧'!$AB$4:OFFSET('事業所・施設 一覧'!AB2031,-1,0),"&lt;&gt;")</f>
        <v>0</v>
      </c>
      <c r="W58" s="25">
        <f ca="1">SUMIF('事業所・施設 一覧'!$D$4:OFFSET('事業所・施設 一覧'!D2031,-1,0),"*長瀞町*",'事業所・施設 一覧'!$AB$4:OFFSET('事業所・施設 一覧'!AB2031,-1,0))</f>
        <v>0</v>
      </c>
      <c r="X58" s="24">
        <f ca="1">COUNTIFS('事業所・施設 一覧'!$D$4:OFFSET('事業所・施設 一覧'!D2031,-1,0),"*長瀞町*",'事業所・施設 一覧'!$AC$4:OFFSET('事業所・施設 一覧'!AC2031,-1,0),"&lt;&gt;")</f>
        <v>0</v>
      </c>
      <c r="Y58" s="25">
        <f ca="1">SUMIF('事業所・施設 一覧'!$D$4:OFFSET('事業所・施設 一覧'!D2031,-1,0),"*長瀞町*",'事業所・施設 一覧'!$AC$4:OFFSET('事業所・施設 一覧'!AC2031,-1,0))</f>
        <v>0</v>
      </c>
    </row>
    <row r="59" spans="1:25" ht="20.100000000000001" customHeight="1" x14ac:dyDescent="0.15">
      <c r="A59" s="15">
        <v>55</v>
      </c>
      <c r="B59" s="14" t="s">
        <v>369</v>
      </c>
      <c r="C59" s="2" t="s">
        <v>4128</v>
      </c>
      <c r="D59" s="22">
        <f ca="1">COUNTIFS('事業所・施設 一覧'!$D$4:OFFSET('事業所・施設 一覧'!D2031,-1,0),"*小鹿野町*",'事業所・施設 一覧'!$P$4:OFFSET('事業所・施設 一覧'!P2031,-1,0),"&lt;&gt;")</f>
        <v>1</v>
      </c>
      <c r="E59" s="23">
        <f ca="1">SUMIF('事業所・施設 一覧'!$D$4:OFFSET('事業所・施設 一覧'!D2031,-1,0),"*小鹿野町*",'事業所・施設 一覧'!$P$4:OFFSET('事業所・施設 一覧'!P2031,-1,0))</f>
        <v>50</v>
      </c>
      <c r="F59" s="24">
        <f ca="1">COUNTIFS('事業所・施設 一覧'!$D$4:OFFSET('事業所・施設 一覧'!D2031,-1,0),"*小鹿野町*",'事業所・施設 一覧'!$S$4:OFFSET('事業所・施設 一覧'!S2031,-1,0),"&lt;&gt;")</f>
        <v>0</v>
      </c>
      <c r="G59" s="23">
        <f ca="1">SUMIF('事業所・施設 一覧'!$D$4:OFFSET('事業所・施設 一覧'!D2031,-1,0),"*小鹿野町*",'事業所・施設 一覧'!$S$4:OFFSET('事業所・施設 一覧'!S2031,-1,0))</f>
        <v>0</v>
      </c>
      <c r="H59" s="24">
        <f ca="1">COUNTIFS('事業所・施設 一覧'!$D$4:OFFSET('事業所・施設 一覧'!D2031,-1,0),"*小鹿野町*",'事業所・施設 一覧'!$T$4:OFFSET('事業所・施設 一覧'!T2031,-1,0),"&lt;&gt;")</f>
        <v>1</v>
      </c>
      <c r="I59" s="23">
        <f ca="1">SUMIF('事業所・施設 一覧'!$D$4:OFFSET('事業所・施設 一覧'!D2031,-1,0),"*小鹿野町*",'事業所・施設 一覧'!$T$4:OFFSET('事業所・施設 一覧'!T2031,-1,0))</f>
        <v>50</v>
      </c>
      <c r="J59" s="24">
        <f ca="1">COUNTIFS('事業所・施設 一覧'!$D$4:OFFSET('事業所・施設 一覧'!D2031,-1,0),"*小鹿野町*",'事業所・施設 一覧'!$U$4:OFFSET('事業所・施設 一覧'!U2031,-1,0),"&lt;&gt;")</f>
        <v>0</v>
      </c>
      <c r="K59" s="23">
        <f ca="1">SUMIF('事業所・施設 一覧'!$D$4:OFFSET('事業所・施設 一覧'!D2031,-1,0),"*小鹿野町*",'事業所・施設 一覧'!$U$4:OFFSET('事業所・施設 一覧'!U2031,-1,0))</f>
        <v>0</v>
      </c>
      <c r="L59" s="24">
        <f ca="1">COUNTIFS('事業所・施設 一覧'!$D$4:OFFSET('事業所・施設 一覧'!D2031,-1,0),"*小鹿野町*",'事業所・施設 一覧'!$V$4:OFFSET('事業所・施設 一覧'!V2031,-1,0),"&lt;&gt;")</f>
        <v>0</v>
      </c>
      <c r="M59" s="23">
        <f ca="1">SUMIF('事業所・施設 一覧'!$D$4:OFFSET('事業所・施設 一覧'!D2031,-1,0),"*小鹿野町*",'事業所・施設 一覧'!$V$4:OFFSET('事業所・施設 一覧'!V2031,-1,0))</f>
        <v>0</v>
      </c>
      <c r="N59" s="24">
        <f ca="1">COUNTIFS('事業所・施設 一覧'!$D$4:OFFSET('事業所・施設 一覧'!D2031,-1,0),"*小鹿野町*",'事業所・施設 一覧'!$W$4:OFFSET('事業所・施設 一覧'!W2031,-1,0),"&lt;&gt;")</f>
        <v>0</v>
      </c>
      <c r="O59" s="23">
        <f ca="1">SUMIF('事業所・施設 一覧'!$D$4:OFFSET('事業所・施設 一覧'!D2031,-1,0),"*小鹿野町*",'事業所・施設 一覧'!$W$4:OFFSET('事業所・施設 一覧'!W2031,-1,0))</f>
        <v>0</v>
      </c>
      <c r="P59" s="24">
        <f ca="1">COUNTIFS('事業所・施設 一覧'!$D$4:OFFSET('事業所・施設 一覧'!D2031,-1,0),"*小鹿野町*",'事業所・施設 一覧'!$X$4:OFFSET('事業所・施設 一覧'!X2031,-1,0),"&lt;&gt;")</f>
        <v>0</v>
      </c>
      <c r="Q59" s="23">
        <f ca="1">SUMIF('事業所・施設 一覧'!$D$4:OFFSET('事業所・施設 一覧'!D2031,-1,0),"*小鹿野町*",'事業所・施設 一覧'!$X$4:OFFSET('事業所・施設 一覧'!X2031,-1,0))</f>
        <v>0</v>
      </c>
      <c r="R59" s="24">
        <f ca="1">COUNTIFS('事業所・施設 一覧'!$D$4:OFFSET('事業所・施設 一覧'!D2031,-1,0),"*小鹿野町*",'事業所・施設 一覧'!$Z$4:OFFSET('事業所・施設 一覧'!Z2031,-1,0),"&lt;&gt;")</f>
        <v>0</v>
      </c>
      <c r="S59" s="23">
        <f ca="1">SUMIF('事業所・施設 一覧'!$D$4:OFFSET('事業所・施設 一覧'!D2031,-1,0),"*小鹿野町*",'事業所・施設 一覧'!$Z$4:OFFSET('事業所・施設 一覧'!Z2031,-1,0))</f>
        <v>0</v>
      </c>
      <c r="T59" s="24">
        <f ca="1">COUNTIFS('事業所・施設 一覧'!$D$4:OFFSET('事業所・施設 一覧'!D2031,-1,0),"*小鹿野町*",'事業所・施設 一覧'!$AA$4:OFFSET('事業所・施設 一覧'!AA2031,-1,0),"&lt;&gt;")</f>
        <v>3</v>
      </c>
      <c r="U59" s="25">
        <f ca="1">SUMIF('事業所・施設 一覧'!$D$4:OFFSET('事業所・施設 一覧'!D2031,-1,0),"*小鹿野町*",'事業所・施設 一覧'!$AA$4:OFFSET('事業所・施設 一覧'!AA2031,-1,0))</f>
        <v>60</v>
      </c>
      <c r="V59" s="24">
        <f ca="1">COUNTIFS('事業所・施設 一覧'!$D$4:OFFSET('事業所・施設 一覧'!D2031,-1,0),"*小鹿野町*",'事業所・施設 一覧'!$AB$4:OFFSET('事業所・施設 一覧'!AB2031,-1,0),"&lt;&gt;")</f>
        <v>0</v>
      </c>
      <c r="W59" s="25">
        <f ca="1">SUMIF('事業所・施設 一覧'!$D$4:OFFSET('事業所・施設 一覧'!D2031,-1,0),"*小鹿野町*",'事業所・施設 一覧'!$AB$4:OFFSET('事業所・施設 一覧'!AB2031,-1,0))</f>
        <v>0</v>
      </c>
      <c r="X59" s="24">
        <f ca="1">COUNTIFS('事業所・施設 一覧'!$D$4:OFFSET('事業所・施設 一覧'!D2031,-1,0),"*小鹿野町*",'事業所・施設 一覧'!$AC$4:OFFSET('事業所・施設 一覧'!AC2031,-1,0),"&lt;&gt;")</f>
        <v>0</v>
      </c>
      <c r="Y59" s="25">
        <f ca="1">SUMIF('事業所・施設 一覧'!$D$4:OFFSET('事業所・施設 一覧'!D2031,-1,0),"*小鹿野町*",'事業所・施設 一覧'!$AC$4:OFFSET('事業所・施設 一覧'!AC2031,-1,0))</f>
        <v>0</v>
      </c>
    </row>
    <row r="60" spans="1:25" ht="20.100000000000001" customHeight="1" x14ac:dyDescent="0.15">
      <c r="A60" s="15">
        <v>56</v>
      </c>
      <c r="B60" s="14" t="s">
        <v>4155</v>
      </c>
      <c r="C60" s="2" t="s">
        <v>4137</v>
      </c>
      <c r="D60" s="22">
        <f ca="1">COUNTIFS('事業所・施設 一覧'!$D$4:OFFSET('事業所・施設 一覧'!D2031,-1,0),"*東秩父村*",'事業所・施設 一覧'!$P$4:OFFSET('事業所・施設 一覧'!P2031,-1,0),"&lt;&gt;")</f>
        <v>0</v>
      </c>
      <c r="E60" s="23">
        <f ca="1">SUMIF('事業所・施設 一覧'!$D$4:OFFSET('事業所・施設 一覧'!D2031,-1,0),"*東秩父村*",'事業所・施設 一覧'!$P$4:OFFSET('事業所・施設 一覧'!P2031,-1,0))</f>
        <v>0</v>
      </c>
      <c r="F60" s="24">
        <f ca="1">COUNTIFS('事業所・施設 一覧'!$D$4:OFFSET('事業所・施設 一覧'!D2031,-1,0),"*東秩父村*",'事業所・施設 一覧'!$S$4:OFFSET('事業所・施設 一覧'!S2031,-1,0),"&lt;&gt;")</f>
        <v>0</v>
      </c>
      <c r="G60" s="23">
        <f ca="1">SUMIF('事業所・施設 一覧'!$D$4:OFFSET('事業所・施設 一覧'!D2031,-1,0),"*東秩父村*",'事業所・施設 一覧'!$S$4:OFFSET('事業所・施設 一覧'!S2031,-1,0))</f>
        <v>0</v>
      </c>
      <c r="H60" s="24">
        <f ca="1">COUNTIFS('事業所・施設 一覧'!$D$4:OFFSET('事業所・施設 一覧'!D2031,-1,0),"*東秩父村*",'事業所・施設 一覧'!$T$4:OFFSET('事業所・施設 一覧'!T2031,-1,0),"&lt;&gt;")</f>
        <v>0</v>
      </c>
      <c r="I60" s="23">
        <f ca="1">SUMIF('事業所・施設 一覧'!$D$4:OFFSET('事業所・施設 一覧'!D2031,-1,0),"*東秩父村*",'事業所・施設 一覧'!$T$4:OFFSET('事業所・施設 一覧'!T2031,-1,0))</f>
        <v>0</v>
      </c>
      <c r="J60" s="24">
        <f ca="1">COUNTIFS('事業所・施設 一覧'!$D$4:OFFSET('事業所・施設 一覧'!D2031,-1,0),"*東秩父村*",'事業所・施設 一覧'!$U$4:OFFSET('事業所・施設 一覧'!U2031,-1,0),"&lt;&gt;")</f>
        <v>0</v>
      </c>
      <c r="K60" s="23">
        <f ca="1">SUMIF('事業所・施設 一覧'!$D$4:OFFSET('事業所・施設 一覧'!D2031,-1,0),"*東秩父村*",'事業所・施設 一覧'!$U$4:OFFSET('事業所・施設 一覧'!U2031,-1,0))</f>
        <v>0</v>
      </c>
      <c r="L60" s="24">
        <f ca="1">COUNTIFS('事業所・施設 一覧'!$D$4:OFFSET('事業所・施設 一覧'!D2031,-1,0),"*東秩父村*",'事業所・施設 一覧'!$V$4:OFFSET('事業所・施設 一覧'!V2031,-1,0),"&lt;&gt;")</f>
        <v>0</v>
      </c>
      <c r="M60" s="23">
        <f ca="1">SUMIF('事業所・施設 一覧'!$D$4:OFFSET('事業所・施設 一覧'!D2031,-1,0),"*東秩父村*",'事業所・施設 一覧'!$V$4:OFFSET('事業所・施設 一覧'!V2031,-1,0))</f>
        <v>0</v>
      </c>
      <c r="N60" s="24">
        <f ca="1">COUNTIFS('事業所・施設 一覧'!$D$4:OFFSET('事業所・施設 一覧'!D2031,-1,0),"*東秩父村*",'事業所・施設 一覧'!$W$4:OFFSET('事業所・施設 一覧'!W2031,-1,0),"&lt;&gt;")</f>
        <v>0</v>
      </c>
      <c r="O60" s="23">
        <f ca="1">SUMIF('事業所・施設 一覧'!$D$4:OFFSET('事業所・施設 一覧'!D2031,-1,0),"*東秩父村*",'事業所・施設 一覧'!$W$4:OFFSET('事業所・施設 一覧'!W2031,-1,0))</f>
        <v>0</v>
      </c>
      <c r="P60" s="24">
        <f ca="1">COUNTIFS('事業所・施設 一覧'!$D$4:OFFSET('事業所・施設 一覧'!D2031,-1,0),"*東秩父村*",'事業所・施設 一覧'!$X$4:OFFSET('事業所・施設 一覧'!X2031,-1,0),"&lt;&gt;")</f>
        <v>0</v>
      </c>
      <c r="Q60" s="23">
        <f ca="1">SUMIF('事業所・施設 一覧'!$D$4:OFFSET('事業所・施設 一覧'!D2031,-1,0),"*東秩父村*",'事業所・施設 一覧'!$X$4:OFFSET('事業所・施設 一覧'!X2031,-1,0))</f>
        <v>0</v>
      </c>
      <c r="R60" s="24">
        <f ca="1">COUNTIFS('事業所・施設 一覧'!$D$4:OFFSET('事業所・施設 一覧'!D2031,-1,0),"*東秩父村*",'事業所・施設 一覧'!$Z$4:OFFSET('事業所・施設 一覧'!Z2031,-1,0),"&lt;&gt;")</f>
        <v>0</v>
      </c>
      <c r="S60" s="23">
        <f ca="1">SUMIF('事業所・施設 一覧'!$D$4:OFFSET('事業所・施設 一覧'!D2031,-1,0),"*東秩父村*",'事業所・施設 一覧'!$Z$4:OFFSET('事業所・施設 一覧'!Z2031,-1,0))</f>
        <v>0</v>
      </c>
      <c r="T60" s="24">
        <f ca="1">COUNTIFS('事業所・施設 一覧'!$D$4:OFFSET('事業所・施設 一覧'!D2031,-1,0),"*東秩父村*",'事業所・施設 一覧'!$AA$4:OFFSET('事業所・施設 一覧'!AA2031,-1,0),"&lt;&gt;")</f>
        <v>0</v>
      </c>
      <c r="U60" s="25">
        <f ca="1">SUMIF('事業所・施設 一覧'!$D$4:OFFSET('事業所・施設 一覧'!D2031,-1,0),"*東秩父村*",'事業所・施設 一覧'!$AA$4:OFFSET('事業所・施設 一覧'!AA2031,-1,0))</f>
        <v>0</v>
      </c>
      <c r="V60" s="24">
        <f ca="1">COUNTIFS('事業所・施設 一覧'!$D$4:OFFSET('事業所・施設 一覧'!D2031,-1,0),"*東秩父村*",'事業所・施設 一覧'!$AB$4:OFFSET('事業所・施設 一覧'!AB2031,-1,0),"&lt;&gt;")</f>
        <v>0</v>
      </c>
      <c r="W60" s="25">
        <f ca="1">SUMIF('事業所・施設 一覧'!$D$4:OFFSET('事業所・施設 一覧'!D2031,-1,0),"*東秩父村*",'事業所・施設 一覧'!$AB$4:OFFSET('事業所・施設 一覧'!AB2031,-1,0))</f>
        <v>0</v>
      </c>
      <c r="X60" s="24">
        <f ca="1">COUNTIFS('事業所・施設 一覧'!$D$4:OFFSET('事業所・施設 一覧'!D2031,-1,0),"*東秩父村*",'事業所・施設 一覧'!$AC$4:OFFSET('事業所・施設 一覧'!AC2031,-1,0),"&lt;&gt;")</f>
        <v>0</v>
      </c>
      <c r="Y60" s="25">
        <f ca="1">SUMIF('事業所・施設 一覧'!$D$4:OFFSET('事業所・施設 一覧'!D2031,-1,0),"*東秩父村*",'事業所・施設 一覧'!$AC$4:OFFSET('事業所・施設 一覧'!AC2031,-1,0))</f>
        <v>0</v>
      </c>
    </row>
    <row r="61" spans="1:25" ht="20.100000000000001" customHeight="1" x14ac:dyDescent="0.15">
      <c r="A61" s="15">
        <v>57</v>
      </c>
      <c r="B61" s="14" t="s">
        <v>865</v>
      </c>
      <c r="C61" s="2" t="s">
        <v>4129</v>
      </c>
      <c r="D61" s="22">
        <f ca="1">COUNTIFS('事業所・施設 一覧'!$D$4:OFFSET('事業所・施設 一覧'!D2031,-1,0),"*美里町*",'事業所・施設 一覧'!$P$4:OFFSET('事業所・施設 一覧'!P2031,-1,0),"&lt;&gt;")</f>
        <v>4</v>
      </c>
      <c r="E61" s="23">
        <f ca="1">SUMIF('事業所・施設 一覧'!$D$4:OFFSET('事業所・施設 一覧'!D2031,-1,0),"*美里町*",'事業所・施設 一覧'!$P$4:OFFSET('事業所・施設 一覧'!P2031,-1,0))</f>
        <v>205</v>
      </c>
      <c r="F61" s="24">
        <f ca="1">COUNTIFS('事業所・施設 一覧'!$D$4:OFFSET('事業所・施設 一覧'!D2031,-1,0),"*美里町*",'事業所・施設 一覧'!$S$4:OFFSET('事業所・施設 一覧'!S2031,-1,0),"&lt;&gt;")</f>
        <v>0</v>
      </c>
      <c r="G61" s="23">
        <f ca="1">SUMIF('事業所・施設 一覧'!$D$4:OFFSET('事業所・施設 一覧'!D2031,-1,0),"*美里町*",'事業所・施設 一覧'!$S$4:OFFSET('事業所・施設 一覧'!S2031,-1,0))</f>
        <v>0</v>
      </c>
      <c r="H61" s="24">
        <f ca="1">COUNTIFS('事業所・施設 一覧'!$D$4:OFFSET('事業所・施設 一覧'!D2031,-1,0),"*美里町*",'事業所・施設 一覧'!$T$4:OFFSET('事業所・施設 一覧'!T2031,-1,0),"&lt;&gt;")</f>
        <v>5</v>
      </c>
      <c r="I61" s="23">
        <f ca="1">SUMIF('事業所・施設 一覧'!$D$4:OFFSET('事業所・施設 一覧'!D2031,-1,0),"*美里町*",'事業所・施設 一覧'!$T$4:OFFSET('事業所・施設 一覧'!T2031,-1,0))</f>
        <v>231</v>
      </c>
      <c r="J61" s="24">
        <f ca="1">COUNTIFS('事業所・施設 一覧'!$D$4:OFFSET('事業所・施設 一覧'!D2031,-1,0),"*美里町*",'事業所・施設 一覧'!$U$4:OFFSET('事業所・施設 一覧'!U2031,-1,0),"&lt;&gt;")</f>
        <v>0</v>
      </c>
      <c r="K61" s="23">
        <f ca="1">SUMIF('事業所・施設 一覧'!$D$4:OFFSET('事業所・施設 一覧'!D2031,-1,0),"*美里町*",'事業所・施設 一覧'!$U$4:OFFSET('事業所・施設 一覧'!U2031,-1,0))</f>
        <v>0</v>
      </c>
      <c r="L61" s="24">
        <f ca="1">COUNTIFS('事業所・施設 一覧'!$D$4:OFFSET('事業所・施設 一覧'!D2031,-1,0),"*美里町*",'事業所・施設 一覧'!$V$4:OFFSET('事業所・施設 一覧'!V2031,-1,0),"&lt;&gt;")</f>
        <v>0</v>
      </c>
      <c r="M61" s="23">
        <f ca="1">SUMIF('事業所・施設 一覧'!$D$4:OFFSET('事業所・施設 一覧'!D2031,-1,0),"*美里町*",'事業所・施設 一覧'!$V$4:OFFSET('事業所・施設 一覧'!V2031,-1,0))</f>
        <v>0</v>
      </c>
      <c r="N61" s="24">
        <f ca="1">COUNTIFS('事業所・施設 一覧'!$D$4:OFFSET('事業所・施設 一覧'!D2031,-1,0),"*美里町*",'事業所・施設 一覧'!$W$4:OFFSET('事業所・施設 一覧'!W2031,-1,0),"&lt;&gt;")</f>
        <v>0</v>
      </c>
      <c r="O61" s="23">
        <f ca="1">SUMIF('事業所・施設 一覧'!$D$4:OFFSET('事業所・施設 一覧'!D2031,-1,0),"*美里町*",'事業所・施設 一覧'!$W$4:OFFSET('事業所・施設 一覧'!W2031,-1,0))</f>
        <v>0</v>
      </c>
      <c r="P61" s="24">
        <f ca="1">COUNTIFS('事業所・施設 一覧'!$D$4:OFFSET('事業所・施設 一覧'!D2031,-1,0),"*美里町*",'事業所・施設 一覧'!$X$4:OFFSET('事業所・施設 一覧'!X2031,-1,0),"&lt;&gt;")</f>
        <v>0</v>
      </c>
      <c r="Q61" s="23">
        <f ca="1">SUMIF('事業所・施設 一覧'!$D$4:OFFSET('事業所・施設 一覧'!D2031,-1,0),"*美里町*",'事業所・施設 一覧'!$X$4:OFFSET('事業所・施設 一覧'!X2031,-1,0))</f>
        <v>0</v>
      </c>
      <c r="R61" s="24">
        <f ca="1">COUNTIFS('事業所・施設 一覧'!$D$4:OFFSET('事業所・施設 一覧'!D2031,-1,0),"*美里町*",'事業所・施設 一覧'!$Z$4:OFFSET('事業所・施設 一覧'!Z2031,-1,0),"&lt;&gt;")</f>
        <v>0</v>
      </c>
      <c r="S61" s="23">
        <f ca="1">SUMIF('事業所・施設 一覧'!$D$4:OFFSET('事業所・施設 一覧'!D2031,-1,0),"*美里町*",'事業所・施設 一覧'!$Z$4:OFFSET('事業所・施設 一覧'!Z2031,-1,0))</f>
        <v>0</v>
      </c>
      <c r="T61" s="24">
        <f ca="1">COUNTIFS('事業所・施設 一覧'!$D$4:OFFSET('事業所・施設 一覧'!D2031,-1,0),"*美里町*",'事業所・施設 一覧'!$AA$4:OFFSET('事業所・施設 一覧'!AA2031,-1,0),"&lt;&gt;")</f>
        <v>2</v>
      </c>
      <c r="U61" s="25">
        <f ca="1">SUMIF('事業所・施設 一覧'!$D$4:OFFSET('事業所・施設 一覧'!D2031,-1,0),"*美里町*",'事業所・施設 一覧'!$AA$4:OFFSET('事業所・施設 一覧'!AA2031,-1,0))</f>
        <v>47</v>
      </c>
      <c r="V61" s="24">
        <f ca="1">COUNTIFS('事業所・施設 一覧'!$D$4:OFFSET('事業所・施設 一覧'!D2031,-1,0),"*美里町*",'事業所・施設 一覧'!$AB$4:OFFSET('事業所・施設 一覧'!AB2031,-1,0),"&lt;&gt;")</f>
        <v>0</v>
      </c>
      <c r="W61" s="25">
        <f ca="1">SUMIF('事業所・施設 一覧'!$D$4:OFFSET('事業所・施設 一覧'!D2031,-1,0),"*美里町*",'事業所・施設 一覧'!$AB$4:OFFSET('事業所・施設 一覧'!AB2031,-1,0))</f>
        <v>0</v>
      </c>
      <c r="X61" s="24">
        <f ca="1">COUNTIFS('事業所・施設 一覧'!$D$4:OFFSET('事業所・施設 一覧'!D2031,-1,0),"*美里町*",'事業所・施設 一覧'!$AC$4:OFFSET('事業所・施設 一覧'!AC2031,-1,0),"&lt;&gt;")</f>
        <v>0</v>
      </c>
      <c r="Y61" s="25">
        <f ca="1">SUMIF('事業所・施設 一覧'!$D$4:OFFSET('事業所・施設 一覧'!D2031,-1,0),"*美里町*",'事業所・施設 一覧'!$AC$4:OFFSET('事業所・施設 一覧'!AC2031,-1,0))</f>
        <v>0</v>
      </c>
    </row>
    <row r="62" spans="1:25" ht="20.100000000000001" customHeight="1" x14ac:dyDescent="0.15">
      <c r="A62" s="15">
        <v>58</v>
      </c>
      <c r="B62" s="14" t="s">
        <v>865</v>
      </c>
      <c r="C62" s="2" t="s">
        <v>4130</v>
      </c>
      <c r="D62" s="22">
        <f ca="1">COUNTIFS('事業所・施設 一覧'!$D$4:OFFSET('事業所・施設 一覧'!D2031,-1,0),"*神川町*",'事業所・施設 一覧'!$P$4:OFFSET('事業所・施設 一覧'!P2031,-1,0),"&lt;&gt;")</f>
        <v>2</v>
      </c>
      <c r="E62" s="23">
        <f ca="1">SUMIF('事業所・施設 一覧'!$D$4:OFFSET('事業所・施設 一覧'!D2031,-1,0),"*神川町*",'事業所・施設 一覧'!$P$4:OFFSET('事業所・施設 一覧'!P2031,-1,0))</f>
        <v>80</v>
      </c>
      <c r="F62" s="24">
        <f ca="1">COUNTIFS('事業所・施設 一覧'!$D$4:OFFSET('事業所・施設 一覧'!D2031,-1,0),"*神川町*",'事業所・施設 一覧'!$S$4:OFFSET('事業所・施設 一覧'!S2031,-1,0),"&lt;&gt;")</f>
        <v>0</v>
      </c>
      <c r="G62" s="23">
        <f ca="1">SUMIF('事業所・施設 一覧'!$D$4:OFFSET('事業所・施設 一覧'!D2031,-1,0),"*神川町*",'事業所・施設 一覧'!$S$4:OFFSET('事業所・施設 一覧'!S2031,-1,0))</f>
        <v>0</v>
      </c>
      <c r="H62" s="24">
        <f ca="1">COUNTIFS('事業所・施設 一覧'!$D$4:OFFSET('事業所・施設 一覧'!D2031,-1,0),"*神川町*",'事業所・施設 一覧'!$T$4:OFFSET('事業所・施設 一覧'!T2031,-1,0),"&lt;&gt;")</f>
        <v>5</v>
      </c>
      <c r="I62" s="23">
        <f ca="1">SUMIF('事業所・施設 一覧'!$D$4:OFFSET('事業所・施設 一覧'!D2031,-1,0),"*神川町*",'事業所・施設 一覧'!$T$4:OFFSET('事業所・施設 一覧'!T2031,-1,0))</f>
        <v>120</v>
      </c>
      <c r="J62" s="24">
        <f ca="1">COUNTIFS('事業所・施設 一覧'!$D$4:OFFSET('事業所・施設 一覧'!D2031,-1,0),"*神川町*",'事業所・施設 一覧'!$U$4:OFFSET('事業所・施設 一覧'!U2031,-1,0),"&lt;&gt;")</f>
        <v>0</v>
      </c>
      <c r="K62" s="23">
        <f ca="1">SUMIF('事業所・施設 一覧'!$D$4:OFFSET('事業所・施設 一覧'!D2031,-1,0),"*神川町*",'事業所・施設 一覧'!$U$4:OFFSET('事業所・施設 一覧'!U2031,-1,0))</f>
        <v>0</v>
      </c>
      <c r="L62" s="24">
        <f ca="1">COUNTIFS('事業所・施設 一覧'!$D$4:OFFSET('事業所・施設 一覧'!D2031,-1,0),"*神川町*",'事業所・施設 一覧'!$V$4:OFFSET('事業所・施設 一覧'!V2031,-1,0),"&lt;&gt;")</f>
        <v>0</v>
      </c>
      <c r="M62" s="23">
        <f ca="1">SUMIF('事業所・施設 一覧'!$D$4:OFFSET('事業所・施設 一覧'!D2031,-1,0),"*神川町*",'事業所・施設 一覧'!$V$4:OFFSET('事業所・施設 一覧'!V2031,-1,0))</f>
        <v>0</v>
      </c>
      <c r="N62" s="24">
        <f ca="1">COUNTIFS('事業所・施設 一覧'!$D$4:OFFSET('事業所・施設 一覧'!D2031,-1,0),"*神川町*",'事業所・施設 一覧'!$W$4:OFFSET('事業所・施設 一覧'!W2031,-1,0),"&lt;&gt;")</f>
        <v>0</v>
      </c>
      <c r="O62" s="23">
        <f ca="1">SUMIF('事業所・施設 一覧'!$D$4:OFFSET('事業所・施設 一覧'!D2031,-1,0),"*神川町*",'事業所・施設 一覧'!$W$4:OFFSET('事業所・施設 一覧'!W2031,-1,0))</f>
        <v>0</v>
      </c>
      <c r="P62" s="24">
        <f ca="1">COUNTIFS('事業所・施設 一覧'!$D$4:OFFSET('事業所・施設 一覧'!D2031,-1,0),"*神川町*",'事業所・施設 一覧'!$X$4:OFFSET('事業所・施設 一覧'!X2031,-1,0),"&lt;&gt;")</f>
        <v>0</v>
      </c>
      <c r="Q62" s="23">
        <f ca="1">SUMIF('事業所・施設 一覧'!$D$4:OFFSET('事業所・施設 一覧'!D2031,-1,0),"*神川町*",'事業所・施設 一覧'!$X$4:OFFSET('事業所・施設 一覧'!X2031,-1,0))</f>
        <v>0</v>
      </c>
      <c r="R62" s="24">
        <f ca="1">COUNTIFS('事業所・施設 一覧'!$D$4:OFFSET('事業所・施設 一覧'!D2031,-1,0),"*神川町*",'事業所・施設 一覧'!$Z$4:OFFSET('事業所・施設 一覧'!Z2031,-1,0),"&lt;&gt;")</f>
        <v>0</v>
      </c>
      <c r="S62" s="23">
        <f ca="1">SUMIF('事業所・施設 一覧'!$D$4:OFFSET('事業所・施設 一覧'!D2031,-1,0),"*神川町*",'事業所・施設 一覧'!$Z$4:OFFSET('事業所・施設 一覧'!Z2031,-1,0))</f>
        <v>0</v>
      </c>
      <c r="T62" s="24">
        <f ca="1">COUNTIFS('事業所・施設 一覧'!$D$4:OFFSET('事業所・施設 一覧'!D2031,-1,0),"*神川町*",'事業所・施設 一覧'!$AA$4:OFFSET('事業所・施設 一覧'!AA2031,-1,0),"&lt;&gt;")</f>
        <v>6</v>
      </c>
      <c r="U62" s="25">
        <f ca="1">SUMIF('事業所・施設 一覧'!$D$4:OFFSET('事業所・施設 一覧'!D2031,-1,0),"*神川町*",'事業所・施設 一覧'!$AA$4:OFFSET('事業所・施設 一覧'!AA2031,-1,0))</f>
        <v>115</v>
      </c>
      <c r="V62" s="24">
        <f ca="1">COUNTIFS('事業所・施設 一覧'!$D$4:OFFSET('事業所・施設 一覧'!D2031,-1,0),"*神川町*",'事業所・施設 一覧'!$AB$4:OFFSET('事業所・施設 一覧'!AB2031,-1,0),"&lt;&gt;")</f>
        <v>0</v>
      </c>
      <c r="W62" s="25">
        <f ca="1">SUMIF('事業所・施設 一覧'!$D$4:OFFSET('事業所・施設 一覧'!D2031,-1,0),"*神川町*",'事業所・施設 一覧'!$AB$4:OFFSET('事業所・施設 一覧'!AB2031,-1,0))</f>
        <v>0</v>
      </c>
      <c r="X62" s="24">
        <f ca="1">COUNTIFS('事業所・施設 一覧'!$D$4:OFFSET('事業所・施設 一覧'!D2031,-1,0),"*神川町*",'事業所・施設 一覧'!$AC$4:OFFSET('事業所・施設 一覧'!AC2031,-1,0),"&lt;&gt;")</f>
        <v>0</v>
      </c>
      <c r="Y62" s="25">
        <f ca="1">SUMIF('事業所・施設 一覧'!$D$4:OFFSET('事業所・施設 一覧'!D2031,-1,0),"*神川町*",'事業所・施設 一覧'!$AC$4:OFFSET('事業所・施設 一覧'!AC2031,-1,0))</f>
        <v>0</v>
      </c>
    </row>
    <row r="63" spans="1:25" ht="20.100000000000001" customHeight="1" x14ac:dyDescent="0.15">
      <c r="A63" s="15">
        <v>59</v>
      </c>
      <c r="B63" s="14" t="s">
        <v>865</v>
      </c>
      <c r="C63" s="2" t="s">
        <v>4138</v>
      </c>
      <c r="D63" s="22">
        <f ca="1">COUNTIFS('事業所・施設 一覧'!$D$4:OFFSET('事業所・施設 一覧'!D2031,-1,0),"*上里町*",'事業所・施設 一覧'!$P$4:OFFSET('事業所・施設 一覧'!P2031,-1,0),"&lt;&gt;")</f>
        <v>1</v>
      </c>
      <c r="E63" s="23">
        <f ca="1">SUMIF('事業所・施設 一覧'!$D$4:OFFSET('事業所・施設 一覧'!D2031,-1,0),"*上里町*",'事業所・施設 一覧'!$P$4:OFFSET('事業所・施設 一覧'!P2031,-1,0))</f>
        <v>50</v>
      </c>
      <c r="F63" s="24">
        <f ca="1">COUNTIFS('事業所・施設 一覧'!$D$4:OFFSET('事業所・施設 一覧'!D2031,-1,0),"*上里町*",'事業所・施設 一覧'!$S$4:OFFSET('事業所・施設 一覧'!S2031,-1,0),"&lt;&gt;")</f>
        <v>0</v>
      </c>
      <c r="G63" s="23">
        <f ca="1">SUMIF('事業所・施設 一覧'!$D$4:OFFSET('事業所・施設 一覧'!D2031,-1,0),"*上里町*",'事業所・施設 一覧'!$S$4:OFFSET('事業所・施設 一覧'!S2031,-1,0))</f>
        <v>0</v>
      </c>
      <c r="H63" s="24">
        <f ca="1">COUNTIFS('事業所・施設 一覧'!$D$4:OFFSET('事業所・施設 一覧'!D2031,-1,0),"*上里町*",'事業所・施設 一覧'!$T$4:OFFSET('事業所・施設 一覧'!T2031,-1,0),"&lt;&gt;")</f>
        <v>4</v>
      </c>
      <c r="I63" s="23">
        <f ca="1">SUMIF('事業所・施設 一覧'!$D$4:OFFSET('事業所・施設 一覧'!D2031,-1,0),"*上里町*",'事業所・施設 一覧'!$T$4:OFFSET('事業所・施設 一覧'!T2031,-1,0))</f>
        <v>150</v>
      </c>
      <c r="J63" s="24">
        <f ca="1">COUNTIFS('事業所・施設 一覧'!$D$4:OFFSET('事業所・施設 一覧'!D2031,-1,0),"*上里町*",'事業所・施設 一覧'!$U$4:OFFSET('事業所・施設 一覧'!U2031,-1,0),"&lt;&gt;")</f>
        <v>0</v>
      </c>
      <c r="K63" s="23">
        <f ca="1">SUMIF('事業所・施設 一覧'!$D$4:OFFSET('事業所・施設 一覧'!D2031,-1,0),"*上里町*",'事業所・施設 一覧'!$U$4:OFFSET('事業所・施設 一覧'!U2031,-1,0))</f>
        <v>0</v>
      </c>
      <c r="L63" s="24">
        <f ca="1">COUNTIFS('事業所・施設 一覧'!$D$4:OFFSET('事業所・施設 一覧'!D2031,-1,0),"*上里町*",'事業所・施設 一覧'!$V$4:OFFSET('事業所・施設 一覧'!V2031,-1,0),"&lt;&gt;")</f>
        <v>0</v>
      </c>
      <c r="M63" s="23">
        <f ca="1">SUMIF('事業所・施設 一覧'!$D$4:OFFSET('事業所・施設 一覧'!D2031,-1,0),"*上里町*",'事業所・施設 一覧'!$V$4:OFFSET('事業所・施設 一覧'!V2031,-1,0))</f>
        <v>0</v>
      </c>
      <c r="N63" s="24">
        <f ca="1">COUNTIFS('事業所・施設 一覧'!$D$4:OFFSET('事業所・施設 一覧'!D2031,-1,0),"*上里町*",'事業所・施設 一覧'!$W$4:OFFSET('事業所・施設 一覧'!W2031,-1,0),"&lt;&gt;")</f>
        <v>0</v>
      </c>
      <c r="O63" s="23">
        <f ca="1">SUMIF('事業所・施設 一覧'!$D$4:OFFSET('事業所・施設 一覧'!D2031,-1,0),"*上里町*",'事業所・施設 一覧'!$W$4:OFFSET('事業所・施設 一覧'!W2031,-1,0))</f>
        <v>0</v>
      </c>
      <c r="P63" s="24">
        <f ca="1">COUNTIFS('事業所・施設 一覧'!$D$4:OFFSET('事業所・施設 一覧'!D2031,-1,0),"*上里町*",'事業所・施設 一覧'!$X$4:OFFSET('事業所・施設 一覧'!X2031,-1,0),"&lt;&gt;")</f>
        <v>0</v>
      </c>
      <c r="Q63" s="23">
        <f ca="1">SUMIF('事業所・施設 一覧'!$D$4:OFFSET('事業所・施設 一覧'!D2031,-1,0),"*上里町*",'事業所・施設 一覧'!$X$4:OFFSET('事業所・施設 一覧'!X2031,-1,0))</f>
        <v>0</v>
      </c>
      <c r="R63" s="24">
        <f ca="1">COUNTIFS('事業所・施設 一覧'!$D$4:OFFSET('事業所・施設 一覧'!D2031,-1,0),"*上里町*",'事業所・施設 一覧'!$Z$4:OFFSET('事業所・施設 一覧'!Z2031,-1,0),"&lt;&gt;")</f>
        <v>1</v>
      </c>
      <c r="S63" s="23">
        <f ca="1">SUMIF('事業所・施設 一覧'!$D$4:OFFSET('事業所・施設 一覧'!D2031,-1,0),"*上里町*",'事業所・施設 一覧'!$Z$4:OFFSET('事業所・施設 一覧'!Z2031,-1,0))</f>
        <v>10</v>
      </c>
      <c r="T63" s="24">
        <f ca="1">COUNTIFS('事業所・施設 一覧'!$D$4:OFFSET('事業所・施設 一覧'!D2031,-1,0),"*上里町*",'事業所・施設 一覧'!$AA$4:OFFSET('事業所・施設 一覧'!AA2031,-1,0),"&lt;&gt;")</f>
        <v>0</v>
      </c>
      <c r="U63" s="25">
        <f ca="1">SUMIF('事業所・施設 一覧'!$D$4:OFFSET('事業所・施設 一覧'!D2031,-1,0),"*上里町*",'事業所・施設 一覧'!$AA$4:OFFSET('事業所・施設 一覧'!AA2031,-1,0))</f>
        <v>0</v>
      </c>
      <c r="V63" s="24">
        <f ca="1">COUNTIFS('事業所・施設 一覧'!$D$4:OFFSET('事業所・施設 一覧'!D2031,-1,0),"*上里町*",'事業所・施設 一覧'!$AB$4:OFFSET('事業所・施設 一覧'!AB2031,-1,0),"&lt;&gt;")</f>
        <v>0</v>
      </c>
      <c r="W63" s="25">
        <f ca="1">SUMIF('事業所・施設 一覧'!$D$4:OFFSET('事業所・施設 一覧'!D2031,-1,0),"*上里町*",'事業所・施設 一覧'!$AB$4:OFFSET('事業所・施設 一覧'!AB2031,-1,0))</f>
        <v>0</v>
      </c>
      <c r="X63" s="24">
        <f ca="1">COUNTIFS('事業所・施設 一覧'!$D$4:OFFSET('事業所・施設 一覧'!D2031,-1,0),"*上里町*",'事業所・施設 一覧'!$AC$4:OFFSET('事業所・施設 一覧'!AC2031,-1,0),"&lt;&gt;")</f>
        <v>0</v>
      </c>
      <c r="Y63" s="25">
        <f ca="1">SUMIF('事業所・施設 一覧'!$D$4:OFFSET('事業所・施設 一覧'!D2031,-1,0),"*上里町*",'事業所・施設 一覧'!$AC$4:OFFSET('事業所・施設 一覧'!AC2031,-1,0))</f>
        <v>0</v>
      </c>
    </row>
    <row r="64" spans="1:25" ht="20.100000000000001" customHeight="1" x14ac:dyDescent="0.15">
      <c r="A64" s="15">
        <v>60</v>
      </c>
      <c r="B64" s="14" t="s">
        <v>865</v>
      </c>
      <c r="C64" s="2" t="s">
        <v>4131</v>
      </c>
      <c r="D64" s="22">
        <f ca="1">COUNTIFS('事業所・施設 一覧'!$D$4:OFFSET('事業所・施設 一覧'!D2031,-1,0),"*寄居町*",'事業所・施設 一覧'!$P$4:OFFSET('事業所・施設 一覧'!P2031,-1,0),"&lt;&gt;")</f>
        <v>1</v>
      </c>
      <c r="E64" s="23">
        <f ca="1">SUMIF('事業所・施設 一覧'!$D$4:OFFSET('事業所・施設 一覧'!D2031,-1,0),"*寄居町*",'事業所・施設 一覧'!$P$4:OFFSET('事業所・施設 一覧'!P2031,-1,0))</f>
        <v>50</v>
      </c>
      <c r="F64" s="24">
        <f ca="1">COUNTIFS('事業所・施設 一覧'!$D$4:OFFSET('事業所・施設 一覧'!D2031,-1,0),"*寄居町*",'事業所・施設 一覧'!$S$4:OFFSET('事業所・施設 一覧'!S2031,-1,0),"&lt;&gt;")</f>
        <v>1</v>
      </c>
      <c r="G64" s="23">
        <f ca="1">SUMIF('事業所・施設 一覧'!$D$4:OFFSET('事業所・施設 一覧'!D2031,-1,0),"*寄居町*",'事業所・施設 一覧'!$S$4:OFFSET('事業所・施設 一覧'!S2031,-1,0))</f>
        <v>90</v>
      </c>
      <c r="H64" s="24">
        <f ca="1">COUNTIFS('事業所・施設 一覧'!$D$4:OFFSET('事業所・施設 一覧'!D2031,-1,0),"*寄居町*",'事業所・施設 一覧'!$T$4:OFFSET('事業所・施設 一覧'!T2031,-1,0),"&lt;&gt;")</f>
        <v>7</v>
      </c>
      <c r="I64" s="23">
        <f ca="1">SUMIF('事業所・施設 一覧'!$D$4:OFFSET('事業所・施設 一覧'!D2031,-1,0),"*寄居町*",'事業所・施設 一覧'!$T$4:OFFSET('事業所・施設 一覧'!T2031,-1,0))</f>
        <v>152</v>
      </c>
      <c r="J64" s="24">
        <f ca="1">COUNTIFS('事業所・施設 一覧'!$D$4:OFFSET('事業所・施設 一覧'!D2031,-1,0),"*寄居町*",'事業所・施設 一覧'!$U$4:OFFSET('事業所・施設 一覧'!U2031,-1,0),"&lt;&gt;")</f>
        <v>0</v>
      </c>
      <c r="K64" s="23">
        <f ca="1">SUMIF('事業所・施設 一覧'!$D$4:OFFSET('事業所・施設 一覧'!D2031,-1,0),"*寄居町*",'事業所・施設 一覧'!$U$4:OFFSET('事業所・施設 一覧'!U2031,-1,0))</f>
        <v>0</v>
      </c>
      <c r="L64" s="24">
        <f ca="1">COUNTIFS('事業所・施設 一覧'!$D$4:OFFSET('事業所・施設 一覧'!D2031,-1,0),"*寄居町*",'事業所・施設 一覧'!$V$4:OFFSET('事業所・施設 一覧'!V2031,-1,0),"&lt;&gt;")</f>
        <v>0</v>
      </c>
      <c r="M64" s="23">
        <f ca="1">SUMIF('事業所・施設 一覧'!$D$4:OFFSET('事業所・施設 一覧'!D2031,-1,0),"*寄居町*",'事業所・施設 一覧'!$V$4:OFFSET('事業所・施設 一覧'!V2031,-1,0))</f>
        <v>0</v>
      </c>
      <c r="N64" s="24">
        <f ca="1">COUNTIFS('事業所・施設 一覧'!$D$4:OFFSET('事業所・施設 一覧'!D2031,-1,0),"*寄居町*",'事業所・施設 一覧'!$W$4:OFFSET('事業所・施設 一覧'!W2031,-1,0),"&lt;&gt;")</f>
        <v>0</v>
      </c>
      <c r="O64" s="23">
        <f ca="1">SUMIF('事業所・施設 一覧'!$D$4:OFFSET('事業所・施設 一覧'!D2031,-1,0),"*寄居町*",'事業所・施設 一覧'!$W$4:OFFSET('事業所・施設 一覧'!W2031,-1,0))</f>
        <v>0</v>
      </c>
      <c r="P64" s="24">
        <f ca="1">COUNTIFS('事業所・施設 一覧'!$D$4:OFFSET('事業所・施設 一覧'!D2031,-1,0),"*寄居町*",'事業所・施設 一覧'!$X$4:OFFSET('事業所・施設 一覧'!X2031,-1,0),"&lt;&gt;")</f>
        <v>1</v>
      </c>
      <c r="Q64" s="23">
        <f ca="1">SUMIF('事業所・施設 一覧'!$D$4:OFFSET('事業所・施設 一覧'!D2031,-1,0),"*寄居町*",'事業所・施設 一覧'!$X$4:OFFSET('事業所・施設 一覧'!X2031,-1,0))</f>
        <v>6</v>
      </c>
      <c r="R64" s="24">
        <f ca="1">COUNTIFS('事業所・施設 一覧'!$D$4:OFFSET('事業所・施設 一覧'!D2031,-1,0),"*寄居町*",'事業所・施設 一覧'!$Z$4:OFFSET('事業所・施設 一覧'!Z2031,-1,0),"&lt;&gt;")</f>
        <v>0</v>
      </c>
      <c r="S64" s="23">
        <f ca="1">SUMIF('事業所・施設 一覧'!$D$4:OFFSET('事業所・施設 一覧'!D2031,-1,0),"*寄居町*",'事業所・施設 一覧'!$Z$4:OFFSET('事業所・施設 一覧'!Z2031,-1,0))</f>
        <v>0</v>
      </c>
      <c r="T64" s="24">
        <f ca="1">COUNTIFS('事業所・施設 一覧'!$D$4:OFFSET('事業所・施設 一覧'!D2031,-1,0),"*寄居町*",'事業所・施設 一覧'!$AA$4:OFFSET('事業所・施設 一覧'!AA2031,-1,0),"&lt;&gt;")</f>
        <v>6</v>
      </c>
      <c r="U64" s="25">
        <f ca="1">SUMIF('事業所・施設 一覧'!$D$4:OFFSET('事業所・施設 一覧'!D2031,-1,0),"*寄居町*",'事業所・施設 一覧'!$AA$4:OFFSET('事業所・施設 一覧'!AA2031,-1,0))</f>
        <v>93</v>
      </c>
      <c r="V64" s="24">
        <f ca="1">COUNTIFS('事業所・施設 一覧'!$D$4:OFFSET('事業所・施設 一覧'!D2031,-1,0),"*寄居町*",'事業所・施設 一覧'!$AB$4:OFFSET('事業所・施設 一覧'!AB2031,-1,0),"&lt;&gt;")</f>
        <v>0</v>
      </c>
      <c r="W64" s="25">
        <f ca="1">SUMIF('事業所・施設 一覧'!$D$4:OFFSET('事業所・施設 一覧'!D2031,-1,0),"*寄居町*",'事業所・施設 一覧'!$AB$4:OFFSET('事業所・施設 一覧'!AB2031,-1,0))</f>
        <v>0</v>
      </c>
      <c r="X64" s="24">
        <f ca="1">COUNTIFS('事業所・施設 一覧'!$D$4:OFFSET('事業所・施設 一覧'!D2031,-1,0),"*寄居町*",'事業所・施設 一覧'!$AC$4:OFFSET('事業所・施設 一覧'!AC2031,-1,0),"&lt;&gt;")</f>
        <v>0</v>
      </c>
      <c r="Y64" s="25">
        <f ca="1">SUMIF('事業所・施設 一覧'!$D$4:OFFSET('事業所・施設 一覧'!D2031,-1,0),"*寄居町*",'事業所・施設 一覧'!$AC$4:OFFSET('事業所・施設 一覧'!AC2031,-1,0))</f>
        <v>0</v>
      </c>
    </row>
    <row r="65" spans="1:25" ht="20.100000000000001" customHeight="1" x14ac:dyDescent="0.15">
      <c r="A65" s="15">
        <v>61</v>
      </c>
      <c r="B65" s="14" t="s">
        <v>4156</v>
      </c>
      <c r="C65" s="2" t="s">
        <v>4132</v>
      </c>
      <c r="D65" s="22">
        <f ca="1">COUNTIFS('事業所・施設 一覧'!$D$4:OFFSET('事業所・施設 一覧'!D2031,-1,0),"*宮代町*",'事業所・施設 一覧'!$P$4:OFFSET('事業所・施設 一覧'!P2031,-1,0),"&lt;&gt;")</f>
        <v>0</v>
      </c>
      <c r="E65" s="23">
        <f ca="1">SUMIF('事業所・施設 一覧'!$D$4:OFFSET('事業所・施設 一覧'!D2031,-1,0),"*宮代町*",'事業所・施設 一覧'!$P$4:OFFSET('事業所・施設 一覧'!P2031,-1,0))</f>
        <v>0</v>
      </c>
      <c r="F65" s="24">
        <f ca="1">COUNTIFS('事業所・施設 一覧'!$D$4:OFFSET('事業所・施設 一覧'!D2031,-1,0),"*宮代町*",'事業所・施設 一覧'!$S$4:OFFSET('事業所・施設 一覧'!S2031,-1,0),"&lt;&gt;")</f>
        <v>0</v>
      </c>
      <c r="G65" s="23">
        <f ca="1">SUMIF('事業所・施設 一覧'!$D$4:OFFSET('事業所・施設 一覧'!D2031,-1,0),"*宮代町*",'事業所・施設 一覧'!$S$4:OFFSET('事業所・施設 一覧'!S2031,-1,0))</f>
        <v>0</v>
      </c>
      <c r="H65" s="24">
        <f ca="1">COUNTIFS('事業所・施設 一覧'!$D$4:OFFSET('事業所・施設 一覧'!D2031,-1,0),"*宮代町*",'事業所・施設 一覧'!$T$4:OFFSET('事業所・施設 一覧'!T2031,-1,0),"&lt;&gt;")</f>
        <v>2</v>
      </c>
      <c r="I65" s="23">
        <f ca="1">SUMIF('事業所・施設 一覧'!$D$4:OFFSET('事業所・施設 一覧'!D2031,-1,0),"*宮代町*",'事業所・施設 一覧'!$T$4:OFFSET('事業所・施設 一覧'!T2031,-1,0))</f>
        <v>42</v>
      </c>
      <c r="J65" s="24">
        <f ca="1">COUNTIFS('事業所・施設 一覧'!$D$4:OFFSET('事業所・施設 一覧'!D2031,-1,0),"*宮代町*",'事業所・施設 一覧'!$U$4:OFFSET('事業所・施設 一覧'!U2031,-1,0),"&lt;&gt;")</f>
        <v>0</v>
      </c>
      <c r="K65" s="23">
        <f ca="1">SUMIF('事業所・施設 一覧'!$D$4:OFFSET('事業所・施設 一覧'!D2031,-1,0),"*宮代町*",'事業所・施設 一覧'!$U$4:OFFSET('事業所・施設 一覧'!U2031,-1,0))</f>
        <v>0</v>
      </c>
      <c r="L65" s="24">
        <f ca="1">COUNTIFS('事業所・施設 一覧'!$D$4:OFFSET('事業所・施設 一覧'!D2031,-1,0),"*宮代町*",'事業所・施設 一覧'!$V$4:OFFSET('事業所・施設 一覧'!V2031,-1,0),"&lt;&gt;")</f>
        <v>1</v>
      </c>
      <c r="M65" s="23">
        <f ca="1">SUMIF('事業所・施設 一覧'!$D$4:OFFSET('事業所・施設 一覧'!D2031,-1,0),"*宮代町*",'事業所・施設 一覧'!$V$4:OFFSET('事業所・施設 一覧'!V2031,-1,0))</f>
        <v>12</v>
      </c>
      <c r="N65" s="24">
        <f ca="1">COUNTIFS('事業所・施設 一覧'!$D$4:OFFSET('事業所・施設 一覧'!D2031,-1,0),"*宮代町*",'事業所・施設 一覧'!$W$4:OFFSET('事業所・施設 一覧'!W2031,-1,0),"&lt;&gt;")</f>
        <v>0</v>
      </c>
      <c r="O65" s="23">
        <f ca="1">SUMIF('事業所・施設 一覧'!$D$4:OFFSET('事業所・施設 一覧'!D2031,-1,0),"*宮代町*",'事業所・施設 一覧'!$W$4:OFFSET('事業所・施設 一覧'!W2031,-1,0))</f>
        <v>0</v>
      </c>
      <c r="P65" s="24">
        <f ca="1">COUNTIFS('事業所・施設 一覧'!$D$4:OFFSET('事業所・施設 一覧'!D2031,-1,0),"*宮代町*",'事業所・施設 一覧'!$X$4:OFFSET('事業所・施設 一覧'!X2031,-1,0),"&lt;&gt;")</f>
        <v>1</v>
      </c>
      <c r="Q65" s="23">
        <f ca="1">SUMIF('事業所・施設 一覧'!$D$4:OFFSET('事業所・施設 一覧'!D2031,-1,0),"*宮代町*",'事業所・施設 一覧'!$X$4:OFFSET('事業所・施設 一覧'!X2031,-1,0))</f>
        <v>22</v>
      </c>
      <c r="R65" s="24">
        <f ca="1">COUNTIFS('事業所・施設 一覧'!$D$4:OFFSET('事業所・施設 一覧'!D2031,-1,0),"*宮代町*",'事業所・施設 一覧'!$Z$4:OFFSET('事業所・施設 一覧'!Z2031,-1,0),"&lt;&gt;")</f>
        <v>1</v>
      </c>
      <c r="S65" s="23">
        <f ca="1">SUMIF('事業所・施設 一覧'!$D$4:OFFSET('事業所・施設 一覧'!D2031,-1,0),"*宮代町*",'事業所・施設 一覧'!$Z$4:OFFSET('事業所・施設 一覧'!Z2031,-1,0))</f>
        <v>10</v>
      </c>
      <c r="T65" s="24">
        <f ca="1">COUNTIFS('事業所・施設 一覧'!$D$4:OFFSET('事業所・施設 一覧'!D2031,-1,0),"*宮代町*",'事業所・施設 一覧'!$AA$4:OFFSET('事業所・施設 一覧'!AA2031,-1,0),"&lt;&gt;")</f>
        <v>4</v>
      </c>
      <c r="U65" s="25">
        <f ca="1">SUMIF('事業所・施設 一覧'!$D$4:OFFSET('事業所・施設 一覧'!D2031,-1,0),"*宮代町*",'事業所・施設 一覧'!$AA$4:OFFSET('事業所・施設 一覧'!AA2031,-1,0))</f>
        <v>80</v>
      </c>
      <c r="V65" s="24">
        <f ca="1">COUNTIFS('事業所・施設 一覧'!$D$4:OFFSET('事業所・施設 一覧'!D2031,-1,0),"*宮代町*",'事業所・施設 一覧'!$AB$4:OFFSET('事業所・施設 一覧'!AB2031,-1,0),"&lt;&gt;")</f>
        <v>1</v>
      </c>
      <c r="W65" s="25">
        <f ca="1">SUMIF('事業所・施設 一覧'!$D$4:OFFSET('事業所・施設 一覧'!D2031,-1,0),"*宮代町*",'事業所・施設 一覧'!$AB$4:OFFSET('事業所・施設 一覧'!AB2031,-1,0))</f>
        <v>0</v>
      </c>
      <c r="X65" s="24">
        <f ca="1">COUNTIFS('事業所・施設 一覧'!$D$4:OFFSET('事業所・施設 一覧'!D2031,-1,0),"*宮代町*",'事業所・施設 一覧'!$AC$4:OFFSET('事業所・施設 一覧'!AC2031,-1,0),"&lt;&gt;")</f>
        <v>0</v>
      </c>
      <c r="Y65" s="25">
        <f ca="1">SUMIF('事業所・施設 一覧'!$D$4:OFFSET('事業所・施設 一覧'!D2031,-1,0),"*宮代町*",'事業所・施設 一覧'!$AC$4:OFFSET('事業所・施設 一覧'!AC2031,-1,0))</f>
        <v>0</v>
      </c>
    </row>
    <row r="66" spans="1:25" ht="20.100000000000001" customHeight="1" x14ac:dyDescent="0.15">
      <c r="A66" s="15">
        <v>62</v>
      </c>
      <c r="B66" s="14" t="s">
        <v>4156</v>
      </c>
      <c r="C66" s="2" t="s">
        <v>4133</v>
      </c>
      <c r="D66" s="22">
        <f ca="1">COUNTIFS('事業所・施設 一覧'!$D$4:OFFSET('事業所・施設 一覧'!D2031,-1,0),"*杉戸町*",'事業所・施設 一覧'!$P$4:OFFSET('事業所・施設 一覧'!P2031,-1,0),"&lt;&gt;")</f>
        <v>1</v>
      </c>
      <c r="E66" s="23">
        <f ca="1">SUMIF('事業所・施設 一覧'!$D$4:OFFSET('事業所・施設 一覧'!D2031,-1,0),"*杉戸町*",'事業所・施設 一覧'!$P$4:OFFSET('事業所・施設 一覧'!P2031,-1,0))</f>
        <v>50</v>
      </c>
      <c r="F66" s="24">
        <f ca="1">COUNTIFS('事業所・施設 一覧'!$D$4:OFFSET('事業所・施設 一覧'!D2031,-1,0),"*杉戸町*",'事業所・施設 一覧'!$S$4:OFFSET('事業所・施設 一覧'!S2031,-1,0),"&lt;&gt;")</f>
        <v>0</v>
      </c>
      <c r="G66" s="23">
        <f ca="1">SUMIF('事業所・施設 一覧'!$D$4:OFFSET('事業所・施設 一覧'!D2031,-1,0),"*杉戸町*",'事業所・施設 一覧'!$S$4:OFFSET('事業所・施設 一覧'!S2031,-1,0))</f>
        <v>0</v>
      </c>
      <c r="H66" s="24">
        <f ca="1">COUNTIFS('事業所・施設 一覧'!$D$4:OFFSET('事業所・施設 一覧'!D2031,-1,0),"*杉戸町*",'事業所・施設 一覧'!$T$4:OFFSET('事業所・施設 一覧'!T2031,-1,0),"&lt;&gt;")</f>
        <v>4</v>
      </c>
      <c r="I66" s="23">
        <f ca="1">SUMIF('事業所・施設 一覧'!$D$4:OFFSET('事業所・施設 一覧'!D2031,-1,0),"*杉戸町*",'事業所・施設 一覧'!$T$4:OFFSET('事業所・施設 一覧'!T2031,-1,0))</f>
        <v>110</v>
      </c>
      <c r="J66" s="24">
        <f ca="1">COUNTIFS('事業所・施設 一覧'!$D$4:OFFSET('事業所・施設 一覧'!D2031,-1,0),"*杉戸町*",'事業所・施設 一覧'!$U$4:OFFSET('事業所・施設 一覧'!U2031,-1,0),"&lt;&gt;")</f>
        <v>0</v>
      </c>
      <c r="K66" s="23">
        <f ca="1">SUMIF('事業所・施設 一覧'!$D$4:OFFSET('事業所・施設 一覧'!D2031,-1,0),"*杉戸町*",'事業所・施設 一覧'!$U$4:OFFSET('事業所・施設 一覧'!U2031,-1,0))</f>
        <v>0</v>
      </c>
      <c r="L66" s="24">
        <f ca="1">COUNTIFS('事業所・施設 一覧'!$D$4:OFFSET('事業所・施設 一覧'!D2031,-1,0),"*杉戸町*",'事業所・施設 一覧'!$V$4:OFFSET('事業所・施設 一覧'!V2031,-1,0),"&lt;&gt;")</f>
        <v>0</v>
      </c>
      <c r="M66" s="23">
        <f ca="1">SUMIF('事業所・施設 一覧'!$D$4:OFFSET('事業所・施設 一覧'!D2031,-1,0),"*杉戸町*",'事業所・施設 一覧'!$V$4:OFFSET('事業所・施設 一覧'!V2031,-1,0))</f>
        <v>0</v>
      </c>
      <c r="N66" s="24">
        <f ca="1">COUNTIFS('事業所・施設 一覧'!$D$4:OFFSET('事業所・施設 一覧'!D2031,-1,0),"*杉戸町*",'事業所・施設 一覧'!$W$4:OFFSET('事業所・施設 一覧'!W2031,-1,0),"&lt;&gt;")</f>
        <v>0</v>
      </c>
      <c r="O66" s="23">
        <f ca="1">SUMIF('事業所・施設 一覧'!$D$4:OFFSET('事業所・施設 一覧'!D2031,-1,0),"*杉戸町*",'事業所・施設 一覧'!$W$4:OFFSET('事業所・施設 一覧'!W2031,-1,0))</f>
        <v>0</v>
      </c>
      <c r="P66" s="24">
        <f ca="1">COUNTIFS('事業所・施設 一覧'!$D$4:OFFSET('事業所・施設 一覧'!D2031,-1,0),"*杉戸町*",'事業所・施設 一覧'!$X$4:OFFSET('事業所・施設 一覧'!X2031,-1,0),"&lt;&gt;")</f>
        <v>0</v>
      </c>
      <c r="Q66" s="23">
        <f ca="1">SUMIF('事業所・施設 一覧'!$D$4:OFFSET('事業所・施設 一覧'!D2031,-1,0),"*杉戸町*",'事業所・施設 一覧'!$X$4:OFFSET('事業所・施設 一覧'!X2031,-1,0))</f>
        <v>0</v>
      </c>
      <c r="R66" s="24">
        <f ca="1">COUNTIFS('事業所・施設 一覧'!$D$4:OFFSET('事業所・施設 一覧'!D2031,-1,0),"*杉戸町*",'事業所・施設 一覧'!$Z$4:OFFSET('事業所・施設 一覧'!Z2031,-1,0),"&lt;&gt;")</f>
        <v>0</v>
      </c>
      <c r="S66" s="23">
        <f ca="1">SUMIF('事業所・施設 一覧'!$D$4:OFFSET('事業所・施設 一覧'!D2031,-1,0),"*杉戸町*",'事業所・施設 一覧'!$Z$4:OFFSET('事業所・施設 一覧'!Z2031,-1,0))</f>
        <v>0</v>
      </c>
      <c r="T66" s="24">
        <f ca="1">COUNTIFS('事業所・施設 一覧'!$D$4:OFFSET('事業所・施設 一覧'!D2031,-1,0),"*杉戸町*",'事業所・施設 一覧'!$AA$4:OFFSET('事業所・施設 一覧'!AA2031,-1,0),"&lt;&gt;")</f>
        <v>4</v>
      </c>
      <c r="U66" s="25">
        <f ca="1">SUMIF('事業所・施設 一覧'!$D$4:OFFSET('事業所・施設 一覧'!D2031,-1,0),"*杉戸町*",'事業所・施設 一覧'!$AA$4:OFFSET('事業所・施設 一覧'!AA2031,-1,0))</f>
        <v>75</v>
      </c>
      <c r="V66" s="24">
        <f ca="1">COUNTIFS('事業所・施設 一覧'!$D$4:OFFSET('事業所・施設 一覧'!D2031,-1,0),"*杉戸町*",'事業所・施設 一覧'!$AB$4:OFFSET('事業所・施設 一覧'!AB2031,-1,0),"&lt;&gt;")</f>
        <v>0</v>
      </c>
      <c r="W66" s="25">
        <f ca="1">SUMIF('事業所・施設 一覧'!$D$4:OFFSET('事業所・施設 一覧'!D2031,-1,0),"*杉戸町*",'事業所・施設 一覧'!$AB$4:OFFSET('事業所・施設 一覧'!AB2031,-1,0))</f>
        <v>0</v>
      </c>
      <c r="X66" s="24">
        <f ca="1">COUNTIFS('事業所・施設 一覧'!$D$4:OFFSET('事業所・施設 一覧'!D2031,-1,0),"*杉戸町*",'事業所・施設 一覧'!$AC$4:OFFSET('事業所・施設 一覧'!AC2031,-1,0),"&lt;&gt;")</f>
        <v>0</v>
      </c>
      <c r="Y66" s="25">
        <f ca="1">SUMIF('事業所・施設 一覧'!$D$4:OFFSET('事業所・施設 一覧'!D2031,-1,0),"*杉戸町*",'事業所・施設 一覧'!$AC$4:OFFSET('事業所・施設 一覧'!AC2031,-1,0))</f>
        <v>0</v>
      </c>
    </row>
    <row r="67" spans="1:25" ht="20.100000000000001" customHeight="1" x14ac:dyDescent="0.15">
      <c r="A67" s="16">
        <v>63</v>
      </c>
      <c r="B67" s="17" t="s">
        <v>866</v>
      </c>
      <c r="C67" s="3" t="s">
        <v>4134</v>
      </c>
      <c r="D67" s="26">
        <f ca="1">COUNTIFS('事業所・施設 一覧'!$D$4:OFFSET('事業所・施設 一覧'!D2031,-1,0),"*松伏町*",'事業所・施設 一覧'!$P$4:OFFSET('事業所・施設 一覧'!P2031,-1,0),"&lt;&gt;")</f>
        <v>0</v>
      </c>
      <c r="E67" s="27">
        <f ca="1">SUMIF('事業所・施設 一覧'!$D$4:OFFSET('事業所・施設 一覧'!D2031,-1,0),"*松伏町*",'事業所・施設 一覧'!$P$4:OFFSET('事業所・施設 一覧'!P2031,-1,0))</f>
        <v>0</v>
      </c>
      <c r="F67" s="28">
        <f ca="1">COUNTIFS('事業所・施設 一覧'!$D$4:OFFSET('事業所・施設 一覧'!D2031,-1,0),"*松伏町*",'事業所・施設 一覧'!$S$4:OFFSET('事業所・施設 一覧'!S2031,-1,0),"&lt;&gt;")</f>
        <v>1</v>
      </c>
      <c r="G67" s="27">
        <f ca="1">SUMIF('事業所・施設 一覧'!$D$4:OFFSET('事業所・施設 一覧'!D2031,-1,0),"*松伏町*",'事業所・施設 一覧'!$S$4:OFFSET('事業所・施設 一覧'!S2031,-1,0))</f>
        <v>72</v>
      </c>
      <c r="H67" s="28">
        <f ca="1">COUNTIFS('事業所・施設 一覧'!$D$4:OFFSET('事業所・施設 一覧'!D2031,-1,0),"*松伏町*",'事業所・施設 一覧'!$T$4:OFFSET('事業所・施設 一覧'!T2031,-1,0),"&lt;&gt;")</f>
        <v>7</v>
      </c>
      <c r="I67" s="27">
        <f ca="1">SUMIF('事業所・施設 一覧'!$D$4:OFFSET('事業所・施設 一覧'!D2031,-1,0),"*松伏町*",'事業所・施設 一覧'!$T$4:OFFSET('事業所・施設 一覧'!T2031,-1,0))</f>
        <v>89</v>
      </c>
      <c r="J67" s="28">
        <f ca="1">COUNTIFS('事業所・施設 一覧'!$D$4:OFFSET('事業所・施設 一覧'!D2031,-1,0),"*松伏町*",'事業所・施設 一覧'!$U$4:OFFSET('事業所・施設 一覧'!U2031,-1,0),"&lt;&gt;")</f>
        <v>0</v>
      </c>
      <c r="K67" s="27">
        <f ca="1">SUMIF('事業所・施設 一覧'!$D$4:OFFSET('事業所・施設 一覧'!D2031,-1,0),"*松伏町*",'事業所・施設 一覧'!$U$4:OFFSET('事業所・施設 一覧'!U2031,-1,0))</f>
        <v>0</v>
      </c>
      <c r="L67" s="28">
        <f ca="1">COUNTIFS('事業所・施設 一覧'!$D$4:OFFSET('事業所・施設 一覧'!D2031,-1,0),"*松伏町*",'事業所・施設 一覧'!$V$4:OFFSET('事業所・施設 一覧'!V2031,-1,0),"&lt;&gt;")</f>
        <v>0</v>
      </c>
      <c r="M67" s="27">
        <f ca="1">SUMIF('事業所・施設 一覧'!$D$4:OFFSET('事業所・施設 一覧'!D2031,-1,0),"*松伏町*",'事業所・施設 一覧'!$V$4:OFFSET('事業所・施設 一覧'!V2031,-1,0))</f>
        <v>0</v>
      </c>
      <c r="N67" s="28">
        <f ca="1">COUNTIFS('事業所・施設 一覧'!$D$4:OFFSET('事業所・施設 一覧'!D2031,-1,0),"*松伏町*",'事業所・施設 一覧'!$W$4:OFFSET('事業所・施設 一覧'!W2031,-1,0),"&lt;&gt;")</f>
        <v>0</v>
      </c>
      <c r="O67" s="27">
        <f ca="1">SUMIF('事業所・施設 一覧'!$D$4:OFFSET('事業所・施設 一覧'!D2031,-1,0),"*松伏町*",'事業所・施設 一覧'!$W$4:OFFSET('事業所・施設 一覧'!W2031,-1,0))</f>
        <v>0</v>
      </c>
      <c r="P67" s="28">
        <f ca="1">COUNTIFS('事業所・施設 一覧'!$D$4:OFFSET('事業所・施設 一覧'!D2031,-1,0),"*松伏町*",'事業所・施設 一覧'!$X$4:OFFSET('事業所・施設 一覧'!X2031,-1,0),"&lt;&gt;")</f>
        <v>1</v>
      </c>
      <c r="Q67" s="27">
        <f ca="1">SUMIF('事業所・施設 一覧'!$D$4:OFFSET('事業所・施設 一覧'!D2031,-1,0),"*松伏町*",'事業所・施設 一覧'!$X$4:OFFSET('事業所・施設 一覧'!X2031,-1,0))</f>
        <v>6</v>
      </c>
      <c r="R67" s="28">
        <f ca="1">COUNTIFS('事業所・施設 一覧'!$D$4:OFFSET('事業所・施設 一覧'!D2031,-1,0),"*松伏町*",'事業所・施設 一覧'!$Z$4:OFFSET('事業所・施設 一覧'!Z2031,-1,0),"&lt;&gt;")</f>
        <v>0</v>
      </c>
      <c r="S67" s="27">
        <f ca="1">SUMIF('事業所・施設 一覧'!$D$4:OFFSET('事業所・施設 一覧'!D2031,-1,0),"*松伏町*",'事業所・施設 一覧'!$Z$4:OFFSET('事業所・施設 一覧'!Z2031,-1,0))</f>
        <v>0</v>
      </c>
      <c r="T67" s="28">
        <f ca="1">COUNTIFS('事業所・施設 一覧'!$D$4:OFFSET('事業所・施設 一覧'!D2031,-1,0),"*松伏町*",'事業所・施設 一覧'!$AA$4:OFFSET('事業所・施設 一覧'!AA2031,-1,0),"&lt;&gt;")</f>
        <v>3</v>
      </c>
      <c r="U67" s="29">
        <f ca="1">SUMIF('事業所・施設 一覧'!$D$4:OFFSET('事業所・施設 一覧'!D2031,-1,0),"*松伏町*",'事業所・施設 一覧'!$AA$4:OFFSET('事業所・施設 一覧'!AA2031,-1,0))</f>
        <v>54</v>
      </c>
      <c r="V67" s="28">
        <f ca="1">COUNTIFS('事業所・施設 一覧'!$D$4:OFFSET('事業所・施設 一覧'!D2031,-1,0),"*松伏町*",'事業所・施設 一覧'!$AB$4:OFFSET('事業所・施設 一覧'!AB2031,-1,0),"&lt;&gt;")</f>
        <v>0</v>
      </c>
      <c r="W67" s="29">
        <f ca="1">SUMIF('事業所・施設 一覧'!$D$4:OFFSET('事業所・施設 一覧'!D2031,-1,0),"*松伏町*",'事業所・施設 一覧'!$AB$4:OFFSET('事業所・施設 一覧'!AB2031,-1,0))</f>
        <v>0</v>
      </c>
      <c r="X67" s="28">
        <f ca="1">COUNTIFS('事業所・施設 一覧'!$D$4:OFFSET('事業所・施設 一覧'!D2031,-1,0),"*松伏町*",'事業所・施設 一覧'!$AC$4:OFFSET('事業所・施設 一覧'!AC2031,-1,0),"&lt;&gt;")</f>
        <v>0</v>
      </c>
      <c r="Y67" s="29">
        <f ca="1">SUMIF('事業所・施設 一覧'!$D$4:OFFSET('事業所・施設 一覧'!D2031,-1,0),"*松伏町*",'事業所・施設 一覧'!$AC$4:OFFSET('事業所・施設 一覧'!AC2031,-1,0))</f>
        <v>0</v>
      </c>
    </row>
    <row r="68" spans="1:25" ht="20.100000000000001" customHeight="1" x14ac:dyDescent="0.15">
      <c r="A68" s="679" t="s">
        <v>2114</v>
      </c>
      <c r="B68" s="680"/>
      <c r="C68" s="681"/>
      <c r="D68" s="30">
        <f ca="1">SUBTOTAL(109,D5:D67)</f>
        <v>105</v>
      </c>
      <c r="E68" s="30">
        <f t="shared" ref="E68:W68" ca="1" si="0">SUBTOTAL(109,E5:E67)</f>
        <v>6186</v>
      </c>
      <c r="F68" s="30">
        <f t="shared" ca="1" si="0"/>
        <v>8</v>
      </c>
      <c r="G68" s="30">
        <f t="shared" ca="1" si="0"/>
        <v>814</v>
      </c>
      <c r="H68" s="30">
        <f t="shared" ca="1" si="0"/>
        <v>589</v>
      </c>
      <c r="I68" s="30">
        <f t="shared" ca="1" si="0"/>
        <v>16898</v>
      </c>
      <c r="J68" s="30">
        <f t="shared" ca="1" si="0"/>
        <v>13</v>
      </c>
      <c r="K68" s="30">
        <f t="shared" ca="1" si="0"/>
        <v>423</v>
      </c>
      <c r="L68" s="30">
        <f t="shared" ca="1" si="0"/>
        <v>81</v>
      </c>
      <c r="M68" s="30">
        <f t="shared" ca="1" si="0"/>
        <v>1224</v>
      </c>
      <c r="N68" s="30">
        <f t="shared" ca="1" si="0"/>
        <v>7</v>
      </c>
      <c r="O68" s="30">
        <f t="shared" ca="1" si="0"/>
        <v>117</v>
      </c>
      <c r="P68" s="30">
        <f t="shared" ca="1" si="0"/>
        <v>199</v>
      </c>
      <c r="Q68" s="30">
        <f t="shared" ca="1" si="0"/>
        <v>3186</v>
      </c>
      <c r="R68" s="30">
        <f t="shared" ca="1" si="0"/>
        <v>135</v>
      </c>
      <c r="S68" s="30">
        <f t="shared" ca="1" si="0"/>
        <v>2452</v>
      </c>
      <c r="T68" s="30">
        <f t="shared" ca="1" si="0"/>
        <v>809</v>
      </c>
      <c r="U68" s="30">
        <f t="shared" ca="1" si="0"/>
        <v>16968</v>
      </c>
      <c r="V68" s="30">
        <f t="shared" ca="1" si="0"/>
        <v>145</v>
      </c>
      <c r="W68" s="30">
        <f t="shared" ca="1" si="0"/>
        <v>34</v>
      </c>
      <c r="X68" s="30">
        <f t="shared" ref="X68:Y68" ca="1" si="1">SUBTOTAL(109,X5:X67)</f>
        <v>45</v>
      </c>
      <c r="Y68" s="30">
        <f t="shared" ca="1" si="1"/>
        <v>460</v>
      </c>
    </row>
  </sheetData>
  <autoFilter ref="A4:U67" xr:uid="{00000000-0009-0000-0000-000001000000}"/>
  <mergeCells count="17">
    <mergeCell ref="X3:Y3"/>
    <mergeCell ref="V3:W3"/>
    <mergeCell ref="R2:Y2"/>
    <mergeCell ref="T3:U3"/>
    <mergeCell ref="A68:C68"/>
    <mergeCell ref="A1:U1"/>
    <mergeCell ref="A3:A4"/>
    <mergeCell ref="B3:B4"/>
    <mergeCell ref="C3:C4"/>
    <mergeCell ref="D3:E3"/>
    <mergeCell ref="F3:G3"/>
    <mergeCell ref="H3:I3"/>
    <mergeCell ref="J3:K3"/>
    <mergeCell ref="L3:M3"/>
    <mergeCell ref="N3:O3"/>
    <mergeCell ref="P3:Q3"/>
    <mergeCell ref="R3:S3"/>
  </mergeCells>
  <phoneticPr fontId="2"/>
  <pageMargins left="0.7" right="0.7" top="0.75" bottom="0.5" header="0.3" footer="0.3"/>
  <pageSetup paperSize="9" scale="6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1E8C7-EBD5-49CA-830F-F8E57630410C}">
  <sheetPr>
    <tabColor rgb="FFFFFF00"/>
    <pageSetUpPr fitToPage="1"/>
  </sheetPr>
  <dimension ref="A1:I68"/>
  <sheetViews>
    <sheetView view="pageBreakPreview" zoomScale="95" zoomScaleNormal="100" zoomScaleSheetLayoutView="95" workbookViewId="0">
      <pane ySplit="4" topLeftCell="A5" activePane="bottomLeft" state="frozen"/>
      <selection pane="bottomLeft" activeCell="M10" sqref="M10"/>
    </sheetView>
  </sheetViews>
  <sheetFormatPr defaultRowHeight="21.95" customHeight="1" x14ac:dyDescent="0.15"/>
  <cols>
    <col min="1" max="1" width="6.75" style="31" customWidth="1"/>
    <col min="2" max="2" width="10.25" style="31" customWidth="1"/>
    <col min="3" max="3" width="12.25" style="31" customWidth="1"/>
    <col min="4" max="5" width="9.625" style="31" customWidth="1"/>
    <col min="6" max="6" width="12.125" style="31" bestFit="1" customWidth="1"/>
    <col min="7" max="8" width="9.625" style="31" customWidth="1"/>
    <col min="9" max="9" width="19.375" style="31" customWidth="1"/>
    <col min="10" max="256" width="9" style="31"/>
    <col min="257" max="257" width="6.75" style="31" customWidth="1"/>
    <col min="258" max="258" width="10.25" style="31" customWidth="1"/>
    <col min="259" max="259" width="12.25" style="31" customWidth="1"/>
    <col min="260" max="261" width="9.625" style="31" customWidth="1"/>
    <col min="262" max="262" width="12.125" style="31" bestFit="1" customWidth="1"/>
    <col min="263" max="264" width="9.625" style="31" customWidth="1"/>
    <col min="265" max="265" width="19.375" style="31" customWidth="1"/>
    <col min="266" max="512" width="9" style="31"/>
    <col min="513" max="513" width="6.75" style="31" customWidth="1"/>
    <col min="514" max="514" width="10.25" style="31" customWidth="1"/>
    <col min="515" max="515" width="12.25" style="31" customWidth="1"/>
    <col min="516" max="517" width="9.625" style="31" customWidth="1"/>
    <col min="518" max="518" width="12.125" style="31" bestFit="1" customWidth="1"/>
    <col min="519" max="520" width="9.625" style="31" customWidth="1"/>
    <col min="521" max="521" width="19.375" style="31" customWidth="1"/>
    <col min="522" max="768" width="9" style="31"/>
    <col min="769" max="769" width="6.75" style="31" customWidth="1"/>
    <col min="770" max="770" width="10.25" style="31" customWidth="1"/>
    <col min="771" max="771" width="12.25" style="31" customWidth="1"/>
    <col min="772" max="773" width="9.625" style="31" customWidth="1"/>
    <col min="774" max="774" width="12.125" style="31" bestFit="1" customWidth="1"/>
    <col min="775" max="776" width="9.625" style="31" customWidth="1"/>
    <col min="777" max="777" width="19.375" style="31" customWidth="1"/>
    <col min="778" max="1024" width="9" style="31"/>
    <col min="1025" max="1025" width="6.75" style="31" customWidth="1"/>
    <col min="1026" max="1026" width="10.25" style="31" customWidth="1"/>
    <col min="1027" max="1027" width="12.25" style="31" customWidth="1"/>
    <col min="1028" max="1029" width="9.625" style="31" customWidth="1"/>
    <col min="1030" max="1030" width="12.125" style="31" bestFit="1" customWidth="1"/>
    <col min="1031" max="1032" width="9.625" style="31" customWidth="1"/>
    <col min="1033" max="1033" width="19.375" style="31" customWidth="1"/>
    <col min="1034" max="1280" width="9" style="31"/>
    <col min="1281" max="1281" width="6.75" style="31" customWidth="1"/>
    <col min="1282" max="1282" width="10.25" style="31" customWidth="1"/>
    <col min="1283" max="1283" width="12.25" style="31" customWidth="1"/>
    <col min="1284" max="1285" width="9.625" style="31" customWidth="1"/>
    <col min="1286" max="1286" width="12.125" style="31" bestFit="1" customWidth="1"/>
    <col min="1287" max="1288" width="9.625" style="31" customWidth="1"/>
    <col min="1289" max="1289" width="19.375" style="31" customWidth="1"/>
    <col min="1290" max="1536" width="9" style="31"/>
    <col min="1537" max="1537" width="6.75" style="31" customWidth="1"/>
    <col min="1538" max="1538" width="10.25" style="31" customWidth="1"/>
    <col min="1539" max="1539" width="12.25" style="31" customWidth="1"/>
    <col min="1540" max="1541" width="9.625" style="31" customWidth="1"/>
    <col min="1542" max="1542" width="12.125" style="31" bestFit="1" customWidth="1"/>
    <col min="1543" max="1544" width="9.625" style="31" customWidth="1"/>
    <col min="1545" max="1545" width="19.375" style="31" customWidth="1"/>
    <col min="1546" max="1792" width="9" style="31"/>
    <col min="1793" max="1793" width="6.75" style="31" customWidth="1"/>
    <col min="1794" max="1794" width="10.25" style="31" customWidth="1"/>
    <col min="1795" max="1795" width="12.25" style="31" customWidth="1"/>
    <col min="1796" max="1797" width="9.625" style="31" customWidth="1"/>
    <col min="1798" max="1798" width="12.125" style="31" bestFit="1" customWidth="1"/>
    <col min="1799" max="1800" width="9.625" style="31" customWidth="1"/>
    <col min="1801" max="1801" width="19.375" style="31" customWidth="1"/>
    <col min="1802" max="2048" width="9" style="31"/>
    <col min="2049" max="2049" width="6.75" style="31" customWidth="1"/>
    <col min="2050" max="2050" width="10.25" style="31" customWidth="1"/>
    <col min="2051" max="2051" width="12.25" style="31" customWidth="1"/>
    <col min="2052" max="2053" width="9.625" style="31" customWidth="1"/>
    <col min="2054" max="2054" width="12.125" style="31" bestFit="1" customWidth="1"/>
    <col min="2055" max="2056" width="9.625" style="31" customWidth="1"/>
    <col min="2057" max="2057" width="19.375" style="31" customWidth="1"/>
    <col min="2058" max="2304" width="9" style="31"/>
    <col min="2305" max="2305" width="6.75" style="31" customWidth="1"/>
    <col min="2306" max="2306" width="10.25" style="31" customWidth="1"/>
    <col min="2307" max="2307" width="12.25" style="31" customWidth="1"/>
    <col min="2308" max="2309" width="9.625" style="31" customWidth="1"/>
    <col min="2310" max="2310" width="12.125" style="31" bestFit="1" customWidth="1"/>
    <col min="2311" max="2312" width="9.625" style="31" customWidth="1"/>
    <col min="2313" max="2313" width="19.375" style="31" customWidth="1"/>
    <col min="2314" max="2560" width="9" style="31"/>
    <col min="2561" max="2561" width="6.75" style="31" customWidth="1"/>
    <col min="2562" max="2562" width="10.25" style="31" customWidth="1"/>
    <col min="2563" max="2563" width="12.25" style="31" customWidth="1"/>
    <col min="2564" max="2565" width="9.625" style="31" customWidth="1"/>
    <col min="2566" max="2566" width="12.125" style="31" bestFit="1" customWidth="1"/>
    <col min="2567" max="2568" width="9.625" style="31" customWidth="1"/>
    <col min="2569" max="2569" width="19.375" style="31" customWidth="1"/>
    <col min="2570" max="2816" width="9" style="31"/>
    <col min="2817" max="2817" width="6.75" style="31" customWidth="1"/>
    <col min="2818" max="2818" width="10.25" style="31" customWidth="1"/>
    <col min="2819" max="2819" width="12.25" style="31" customWidth="1"/>
    <col min="2820" max="2821" width="9.625" style="31" customWidth="1"/>
    <col min="2822" max="2822" width="12.125" style="31" bestFit="1" customWidth="1"/>
    <col min="2823" max="2824" width="9.625" style="31" customWidth="1"/>
    <col min="2825" max="2825" width="19.375" style="31" customWidth="1"/>
    <col min="2826" max="3072" width="9" style="31"/>
    <col min="3073" max="3073" width="6.75" style="31" customWidth="1"/>
    <col min="3074" max="3074" width="10.25" style="31" customWidth="1"/>
    <col min="3075" max="3075" width="12.25" style="31" customWidth="1"/>
    <col min="3076" max="3077" width="9.625" style="31" customWidth="1"/>
    <col min="3078" max="3078" width="12.125" style="31" bestFit="1" customWidth="1"/>
    <col min="3079" max="3080" width="9.625" style="31" customWidth="1"/>
    <col min="3081" max="3081" width="19.375" style="31" customWidth="1"/>
    <col min="3082" max="3328" width="9" style="31"/>
    <col min="3329" max="3329" width="6.75" style="31" customWidth="1"/>
    <col min="3330" max="3330" width="10.25" style="31" customWidth="1"/>
    <col min="3331" max="3331" width="12.25" style="31" customWidth="1"/>
    <col min="3332" max="3333" width="9.625" style="31" customWidth="1"/>
    <col min="3334" max="3334" width="12.125" style="31" bestFit="1" customWidth="1"/>
    <col min="3335" max="3336" width="9.625" style="31" customWidth="1"/>
    <col min="3337" max="3337" width="19.375" style="31" customWidth="1"/>
    <col min="3338" max="3584" width="9" style="31"/>
    <col min="3585" max="3585" width="6.75" style="31" customWidth="1"/>
    <col min="3586" max="3586" width="10.25" style="31" customWidth="1"/>
    <col min="3587" max="3587" width="12.25" style="31" customWidth="1"/>
    <col min="3588" max="3589" width="9.625" style="31" customWidth="1"/>
    <col min="3590" max="3590" width="12.125" style="31" bestFit="1" customWidth="1"/>
    <col min="3591" max="3592" width="9.625" style="31" customWidth="1"/>
    <col min="3593" max="3593" width="19.375" style="31" customWidth="1"/>
    <col min="3594" max="3840" width="9" style="31"/>
    <col min="3841" max="3841" width="6.75" style="31" customWidth="1"/>
    <col min="3842" max="3842" width="10.25" style="31" customWidth="1"/>
    <col min="3843" max="3843" width="12.25" style="31" customWidth="1"/>
    <col min="3844" max="3845" width="9.625" style="31" customWidth="1"/>
    <col min="3846" max="3846" width="12.125" style="31" bestFit="1" customWidth="1"/>
    <col min="3847" max="3848" width="9.625" style="31" customWidth="1"/>
    <col min="3849" max="3849" width="19.375" style="31" customWidth="1"/>
    <col min="3850" max="4096" width="9" style="31"/>
    <col min="4097" max="4097" width="6.75" style="31" customWidth="1"/>
    <col min="4098" max="4098" width="10.25" style="31" customWidth="1"/>
    <col min="4099" max="4099" width="12.25" style="31" customWidth="1"/>
    <col min="4100" max="4101" width="9.625" style="31" customWidth="1"/>
    <col min="4102" max="4102" width="12.125" style="31" bestFit="1" customWidth="1"/>
    <col min="4103" max="4104" width="9.625" style="31" customWidth="1"/>
    <col min="4105" max="4105" width="19.375" style="31" customWidth="1"/>
    <col min="4106" max="4352" width="9" style="31"/>
    <col min="4353" max="4353" width="6.75" style="31" customWidth="1"/>
    <col min="4354" max="4354" width="10.25" style="31" customWidth="1"/>
    <col min="4355" max="4355" width="12.25" style="31" customWidth="1"/>
    <col min="4356" max="4357" width="9.625" style="31" customWidth="1"/>
    <col min="4358" max="4358" width="12.125" style="31" bestFit="1" customWidth="1"/>
    <col min="4359" max="4360" width="9.625" style="31" customWidth="1"/>
    <col min="4361" max="4361" width="19.375" style="31" customWidth="1"/>
    <col min="4362" max="4608" width="9" style="31"/>
    <col min="4609" max="4609" width="6.75" style="31" customWidth="1"/>
    <col min="4610" max="4610" width="10.25" style="31" customWidth="1"/>
    <col min="4611" max="4611" width="12.25" style="31" customWidth="1"/>
    <col min="4612" max="4613" width="9.625" style="31" customWidth="1"/>
    <col min="4614" max="4614" width="12.125" style="31" bestFit="1" customWidth="1"/>
    <col min="4615" max="4616" width="9.625" style="31" customWidth="1"/>
    <col min="4617" max="4617" width="19.375" style="31" customWidth="1"/>
    <col min="4618" max="4864" width="9" style="31"/>
    <col min="4865" max="4865" width="6.75" style="31" customWidth="1"/>
    <col min="4866" max="4866" width="10.25" style="31" customWidth="1"/>
    <col min="4867" max="4867" width="12.25" style="31" customWidth="1"/>
    <col min="4868" max="4869" width="9.625" style="31" customWidth="1"/>
    <col min="4870" max="4870" width="12.125" style="31" bestFit="1" customWidth="1"/>
    <col min="4871" max="4872" width="9.625" style="31" customWidth="1"/>
    <col min="4873" max="4873" width="19.375" style="31" customWidth="1"/>
    <col min="4874" max="5120" width="9" style="31"/>
    <col min="5121" max="5121" width="6.75" style="31" customWidth="1"/>
    <col min="5122" max="5122" width="10.25" style="31" customWidth="1"/>
    <col min="5123" max="5123" width="12.25" style="31" customWidth="1"/>
    <col min="5124" max="5125" width="9.625" style="31" customWidth="1"/>
    <col min="5126" max="5126" width="12.125" style="31" bestFit="1" customWidth="1"/>
    <col min="5127" max="5128" width="9.625" style="31" customWidth="1"/>
    <col min="5129" max="5129" width="19.375" style="31" customWidth="1"/>
    <col min="5130" max="5376" width="9" style="31"/>
    <col min="5377" max="5377" width="6.75" style="31" customWidth="1"/>
    <col min="5378" max="5378" width="10.25" style="31" customWidth="1"/>
    <col min="5379" max="5379" width="12.25" style="31" customWidth="1"/>
    <col min="5380" max="5381" width="9.625" style="31" customWidth="1"/>
    <col min="5382" max="5382" width="12.125" style="31" bestFit="1" customWidth="1"/>
    <col min="5383" max="5384" width="9.625" style="31" customWidth="1"/>
    <col min="5385" max="5385" width="19.375" style="31" customWidth="1"/>
    <col min="5386" max="5632" width="9" style="31"/>
    <col min="5633" max="5633" width="6.75" style="31" customWidth="1"/>
    <col min="5634" max="5634" width="10.25" style="31" customWidth="1"/>
    <col min="5635" max="5635" width="12.25" style="31" customWidth="1"/>
    <col min="5636" max="5637" width="9.625" style="31" customWidth="1"/>
    <col min="5638" max="5638" width="12.125" style="31" bestFit="1" customWidth="1"/>
    <col min="5639" max="5640" width="9.625" style="31" customWidth="1"/>
    <col min="5641" max="5641" width="19.375" style="31" customWidth="1"/>
    <col min="5642" max="5888" width="9" style="31"/>
    <col min="5889" max="5889" width="6.75" style="31" customWidth="1"/>
    <col min="5890" max="5890" width="10.25" style="31" customWidth="1"/>
    <col min="5891" max="5891" width="12.25" style="31" customWidth="1"/>
    <col min="5892" max="5893" width="9.625" style="31" customWidth="1"/>
    <col min="5894" max="5894" width="12.125" style="31" bestFit="1" customWidth="1"/>
    <col min="5895" max="5896" width="9.625" style="31" customWidth="1"/>
    <col min="5897" max="5897" width="19.375" style="31" customWidth="1"/>
    <col min="5898" max="6144" width="9" style="31"/>
    <col min="6145" max="6145" width="6.75" style="31" customWidth="1"/>
    <col min="6146" max="6146" width="10.25" style="31" customWidth="1"/>
    <col min="6147" max="6147" width="12.25" style="31" customWidth="1"/>
    <col min="6148" max="6149" width="9.625" style="31" customWidth="1"/>
    <col min="6150" max="6150" width="12.125" style="31" bestFit="1" customWidth="1"/>
    <col min="6151" max="6152" width="9.625" style="31" customWidth="1"/>
    <col min="6153" max="6153" width="19.375" style="31" customWidth="1"/>
    <col min="6154" max="6400" width="9" style="31"/>
    <col min="6401" max="6401" width="6.75" style="31" customWidth="1"/>
    <col min="6402" max="6402" width="10.25" style="31" customWidth="1"/>
    <col min="6403" max="6403" width="12.25" style="31" customWidth="1"/>
    <col min="6404" max="6405" width="9.625" style="31" customWidth="1"/>
    <col min="6406" max="6406" width="12.125" style="31" bestFit="1" customWidth="1"/>
    <col min="6407" max="6408" width="9.625" style="31" customWidth="1"/>
    <col min="6409" max="6409" width="19.375" style="31" customWidth="1"/>
    <col min="6410" max="6656" width="9" style="31"/>
    <col min="6657" max="6657" width="6.75" style="31" customWidth="1"/>
    <col min="6658" max="6658" width="10.25" style="31" customWidth="1"/>
    <col min="6659" max="6659" width="12.25" style="31" customWidth="1"/>
    <col min="6660" max="6661" width="9.625" style="31" customWidth="1"/>
    <col min="6662" max="6662" width="12.125" style="31" bestFit="1" customWidth="1"/>
    <col min="6663" max="6664" width="9.625" style="31" customWidth="1"/>
    <col min="6665" max="6665" width="19.375" style="31" customWidth="1"/>
    <col min="6666" max="6912" width="9" style="31"/>
    <col min="6913" max="6913" width="6.75" style="31" customWidth="1"/>
    <col min="6914" max="6914" width="10.25" style="31" customWidth="1"/>
    <col min="6915" max="6915" width="12.25" style="31" customWidth="1"/>
    <col min="6916" max="6917" width="9.625" style="31" customWidth="1"/>
    <col min="6918" max="6918" width="12.125" style="31" bestFit="1" customWidth="1"/>
    <col min="6919" max="6920" width="9.625" style="31" customWidth="1"/>
    <col min="6921" max="6921" width="19.375" style="31" customWidth="1"/>
    <col min="6922" max="7168" width="9" style="31"/>
    <col min="7169" max="7169" width="6.75" style="31" customWidth="1"/>
    <col min="7170" max="7170" width="10.25" style="31" customWidth="1"/>
    <col min="7171" max="7171" width="12.25" style="31" customWidth="1"/>
    <col min="7172" max="7173" width="9.625" style="31" customWidth="1"/>
    <col min="7174" max="7174" width="12.125" style="31" bestFit="1" customWidth="1"/>
    <col min="7175" max="7176" width="9.625" style="31" customWidth="1"/>
    <col min="7177" max="7177" width="19.375" style="31" customWidth="1"/>
    <col min="7178" max="7424" width="9" style="31"/>
    <col min="7425" max="7425" width="6.75" style="31" customWidth="1"/>
    <col min="7426" max="7426" width="10.25" style="31" customWidth="1"/>
    <col min="7427" max="7427" width="12.25" style="31" customWidth="1"/>
    <col min="7428" max="7429" width="9.625" style="31" customWidth="1"/>
    <col min="7430" max="7430" width="12.125" style="31" bestFit="1" customWidth="1"/>
    <col min="7431" max="7432" width="9.625" style="31" customWidth="1"/>
    <col min="7433" max="7433" width="19.375" style="31" customWidth="1"/>
    <col min="7434" max="7680" width="9" style="31"/>
    <col min="7681" max="7681" width="6.75" style="31" customWidth="1"/>
    <col min="7682" max="7682" width="10.25" style="31" customWidth="1"/>
    <col min="7683" max="7683" width="12.25" style="31" customWidth="1"/>
    <col min="7684" max="7685" width="9.625" style="31" customWidth="1"/>
    <col min="7686" max="7686" width="12.125" style="31" bestFit="1" customWidth="1"/>
    <col min="7687" max="7688" width="9.625" style="31" customWidth="1"/>
    <col min="7689" max="7689" width="19.375" style="31" customWidth="1"/>
    <col min="7690" max="7936" width="9" style="31"/>
    <col min="7937" max="7937" width="6.75" style="31" customWidth="1"/>
    <col min="7938" max="7938" width="10.25" style="31" customWidth="1"/>
    <col min="7939" max="7939" width="12.25" style="31" customWidth="1"/>
    <col min="7940" max="7941" width="9.625" style="31" customWidth="1"/>
    <col min="7942" max="7942" width="12.125" style="31" bestFit="1" customWidth="1"/>
    <col min="7943" max="7944" width="9.625" style="31" customWidth="1"/>
    <col min="7945" max="7945" width="19.375" style="31" customWidth="1"/>
    <col min="7946" max="8192" width="9" style="31"/>
    <col min="8193" max="8193" width="6.75" style="31" customWidth="1"/>
    <col min="8194" max="8194" width="10.25" style="31" customWidth="1"/>
    <col min="8195" max="8195" width="12.25" style="31" customWidth="1"/>
    <col min="8196" max="8197" width="9.625" style="31" customWidth="1"/>
    <col min="8198" max="8198" width="12.125" style="31" bestFit="1" customWidth="1"/>
    <col min="8199" max="8200" width="9.625" style="31" customWidth="1"/>
    <col min="8201" max="8201" width="19.375" style="31" customWidth="1"/>
    <col min="8202" max="8448" width="9" style="31"/>
    <col min="8449" max="8449" width="6.75" style="31" customWidth="1"/>
    <col min="8450" max="8450" width="10.25" style="31" customWidth="1"/>
    <col min="8451" max="8451" width="12.25" style="31" customWidth="1"/>
    <col min="8452" max="8453" width="9.625" style="31" customWidth="1"/>
    <col min="8454" max="8454" width="12.125" style="31" bestFit="1" customWidth="1"/>
    <col min="8455" max="8456" width="9.625" style="31" customWidth="1"/>
    <col min="8457" max="8457" width="19.375" style="31" customWidth="1"/>
    <col min="8458" max="8704" width="9" style="31"/>
    <col min="8705" max="8705" width="6.75" style="31" customWidth="1"/>
    <col min="8706" max="8706" width="10.25" style="31" customWidth="1"/>
    <col min="8707" max="8707" width="12.25" style="31" customWidth="1"/>
    <col min="8708" max="8709" width="9.625" style="31" customWidth="1"/>
    <col min="8710" max="8710" width="12.125" style="31" bestFit="1" customWidth="1"/>
    <col min="8711" max="8712" width="9.625" style="31" customWidth="1"/>
    <col min="8713" max="8713" width="19.375" style="31" customWidth="1"/>
    <col min="8714" max="8960" width="9" style="31"/>
    <col min="8961" max="8961" width="6.75" style="31" customWidth="1"/>
    <col min="8962" max="8962" width="10.25" style="31" customWidth="1"/>
    <col min="8963" max="8963" width="12.25" style="31" customWidth="1"/>
    <col min="8964" max="8965" width="9.625" style="31" customWidth="1"/>
    <col min="8966" max="8966" width="12.125" style="31" bestFit="1" customWidth="1"/>
    <col min="8967" max="8968" width="9.625" style="31" customWidth="1"/>
    <col min="8969" max="8969" width="19.375" style="31" customWidth="1"/>
    <col min="8970" max="9216" width="9" style="31"/>
    <col min="9217" max="9217" width="6.75" style="31" customWidth="1"/>
    <col min="9218" max="9218" width="10.25" style="31" customWidth="1"/>
    <col min="9219" max="9219" width="12.25" style="31" customWidth="1"/>
    <col min="9220" max="9221" width="9.625" style="31" customWidth="1"/>
    <col min="9222" max="9222" width="12.125" style="31" bestFit="1" customWidth="1"/>
    <col min="9223" max="9224" width="9.625" style="31" customWidth="1"/>
    <col min="9225" max="9225" width="19.375" style="31" customWidth="1"/>
    <col min="9226" max="9472" width="9" style="31"/>
    <col min="9473" max="9473" width="6.75" style="31" customWidth="1"/>
    <col min="9474" max="9474" width="10.25" style="31" customWidth="1"/>
    <col min="9475" max="9475" width="12.25" style="31" customWidth="1"/>
    <col min="9476" max="9477" width="9.625" style="31" customWidth="1"/>
    <col min="9478" max="9478" width="12.125" style="31" bestFit="1" customWidth="1"/>
    <col min="9479" max="9480" width="9.625" style="31" customWidth="1"/>
    <col min="9481" max="9481" width="19.375" style="31" customWidth="1"/>
    <col min="9482" max="9728" width="9" style="31"/>
    <col min="9729" max="9729" width="6.75" style="31" customWidth="1"/>
    <col min="9730" max="9730" width="10.25" style="31" customWidth="1"/>
    <col min="9731" max="9731" width="12.25" style="31" customWidth="1"/>
    <col min="9732" max="9733" width="9.625" style="31" customWidth="1"/>
    <col min="9734" max="9734" width="12.125" style="31" bestFit="1" customWidth="1"/>
    <col min="9735" max="9736" width="9.625" style="31" customWidth="1"/>
    <col min="9737" max="9737" width="19.375" style="31" customWidth="1"/>
    <col min="9738" max="9984" width="9" style="31"/>
    <col min="9985" max="9985" width="6.75" style="31" customWidth="1"/>
    <col min="9986" max="9986" width="10.25" style="31" customWidth="1"/>
    <col min="9987" max="9987" width="12.25" style="31" customWidth="1"/>
    <col min="9988" max="9989" width="9.625" style="31" customWidth="1"/>
    <col min="9990" max="9990" width="12.125" style="31" bestFit="1" customWidth="1"/>
    <col min="9991" max="9992" width="9.625" style="31" customWidth="1"/>
    <col min="9993" max="9993" width="19.375" style="31" customWidth="1"/>
    <col min="9994" max="10240" width="9" style="31"/>
    <col min="10241" max="10241" width="6.75" style="31" customWidth="1"/>
    <col min="10242" max="10242" width="10.25" style="31" customWidth="1"/>
    <col min="10243" max="10243" width="12.25" style="31" customWidth="1"/>
    <col min="10244" max="10245" width="9.625" style="31" customWidth="1"/>
    <col min="10246" max="10246" width="12.125" style="31" bestFit="1" customWidth="1"/>
    <col min="10247" max="10248" width="9.625" style="31" customWidth="1"/>
    <col min="10249" max="10249" width="19.375" style="31" customWidth="1"/>
    <col min="10250" max="10496" width="9" style="31"/>
    <col min="10497" max="10497" width="6.75" style="31" customWidth="1"/>
    <col min="10498" max="10498" width="10.25" style="31" customWidth="1"/>
    <col min="10499" max="10499" width="12.25" style="31" customWidth="1"/>
    <col min="10500" max="10501" width="9.625" style="31" customWidth="1"/>
    <col min="10502" max="10502" width="12.125" style="31" bestFit="1" customWidth="1"/>
    <col min="10503" max="10504" width="9.625" style="31" customWidth="1"/>
    <col min="10505" max="10505" width="19.375" style="31" customWidth="1"/>
    <col min="10506" max="10752" width="9" style="31"/>
    <col min="10753" max="10753" width="6.75" style="31" customWidth="1"/>
    <col min="10754" max="10754" width="10.25" style="31" customWidth="1"/>
    <col min="10755" max="10755" width="12.25" style="31" customWidth="1"/>
    <col min="10756" max="10757" width="9.625" style="31" customWidth="1"/>
    <col min="10758" max="10758" width="12.125" style="31" bestFit="1" customWidth="1"/>
    <col min="10759" max="10760" width="9.625" style="31" customWidth="1"/>
    <col min="10761" max="10761" width="19.375" style="31" customWidth="1"/>
    <col min="10762" max="11008" width="9" style="31"/>
    <col min="11009" max="11009" width="6.75" style="31" customWidth="1"/>
    <col min="11010" max="11010" width="10.25" style="31" customWidth="1"/>
    <col min="11011" max="11011" width="12.25" style="31" customWidth="1"/>
    <col min="11012" max="11013" width="9.625" style="31" customWidth="1"/>
    <col min="11014" max="11014" width="12.125" style="31" bestFit="1" customWidth="1"/>
    <col min="11015" max="11016" width="9.625" style="31" customWidth="1"/>
    <col min="11017" max="11017" width="19.375" style="31" customWidth="1"/>
    <col min="11018" max="11264" width="9" style="31"/>
    <col min="11265" max="11265" width="6.75" style="31" customWidth="1"/>
    <col min="11266" max="11266" width="10.25" style="31" customWidth="1"/>
    <col min="11267" max="11267" width="12.25" style="31" customWidth="1"/>
    <col min="11268" max="11269" width="9.625" style="31" customWidth="1"/>
    <col min="11270" max="11270" width="12.125" style="31" bestFit="1" customWidth="1"/>
    <col min="11271" max="11272" width="9.625" style="31" customWidth="1"/>
    <col min="11273" max="11273" width="19.375" style="31" customWidth="1"/>
    <col min="11274" max="11520" width="9" style="31"/>
    <col min="11521" max="11521" width="6.75" style="31" customWidth="1"/>
    <col min="11522" max="11522" width="10.25" style="31" customWidth="1"/>
    <col min="11523" max="11523" width="12.25" style="31" customWidth="1"/>
    <col min="11524" max="11525" width="9.625" style="31" customWidth="1"/>
    <col min="11526" max="11526" width="12.125" style="31" bestFit="1" customWidth="1"/>
    <col min="11527" max="11528" width="9.625" style="31" customWidth="1"/>
    <col min="11529" max="11529" width="19.375" style="31" customWidth="1"/>
    <col min="11530" max="11776" width="9" style="31"/>
    <col min="11777" max="11777" width="6.75" style="31" customWidth="1"/>
    <col min="11778" max="11778" width="10.25" style="31" customWidth="1"/>
    <col min="11779" max="11779" width="12.25" style="31" customWidth="1"/>
    <col min="11780" max="11781" width="9.625" style="31" customWidth="1"/>
    <col min="11782" max="11782" width="12.125" style="31" bestFit="1" customWidth="1"/>
    <col min="11783" max="11784" width="9.625" style="31" customWidth="1"/>
    <col min="11785" max="11785" width="19.375" style="31" customWidth="1"/>
    <col min="11786" max="12032" width="9" style="31"/>
    <col min="12033" max="12033" width="6.75" style="31" customWidth="1"/>
    <col min="12034" max="12034" width="10.25" style="31" customWidth="1"/>
    <col min="12035" max="12035" width="12.25" style="31" customWidth="1"/>
    <col min="12036" max="12037" width="9.625" style="31" customWidth="1"/>
    <col min="12038" max="12038" width="12.125" style="31" bestFit="1" customWidth="1"/>
    <col min="12039" max="12040" width="9.625" style="31" customWidth="1"/>
    <col min="12041" max="12041" width="19.375" style="31" customWidth="1"/>
    <col min="12042" max="12288" width="9" style="31"/>
    <col min="12289" max="12289" width="6.75" style="31" customWidth="1"/>
    <col min="12290" max="12290" width="10.25" style="31" customWidth="1"/>
    <col min="12291" max="12291" width="12.25" style="31" customWidth="1"/>
    <col min="12292" max="12293" width="9.625" style="31" customWidth="1"/>
    <col min="12294" max="12294" width="12.125" style="31" bestFit="1" customWidth="1"/>
    <col min="12295" max="12296" width="9.625" style="31" customWidth="1"/>
    <col min="12297" max="12297" width="19.375" style="31" customWidth="1"/>
    <col min="12298" max="12544" width="9" style="31"/>
    <col min="12545" max="12545" width="6.75" style="31" customWidth="1"/>
    <col min="12546" max="12546" width="10.25" style="31" customWidth="1"/>
    <col min="12547" max="12547" width="12.25" style="31" customWidth="1"/>
    <col min="12548" max="12549" width="9.625" style="31" customWidth="1"/>
    <col min="12550" max="12550" width="12.125" style="31" bestFit="1" customWidth="1"/>
    <col min="12551" max="12552" width="9.625" style="31" customWidth="1"/>
    <col min="12553" max="12553" width="19.375" style="31" customWidth="1"/>
    <col min="12554" max="12800" width="9" style="31"/>
    <col min="12801" max="12801" width="6.75" style="31" customWidth="1"/>
    <col min="12802" max="12802" width="10.25" style="31" customWidth="1"/>
    <col min="12803" max="12803" width="12.25" style="31" customWidth="1"/>
    <col min="12804" max="12805" width="9.625" style="31" customWidth="1"/>
    <col min="12806" max="12806" width="12.125" style="31" bestFit="1" customWidth="1"/>
    <col min="12807" max="12808" width="9.625" style="31" customWidth="1"/>
    <col min="12809" max="12809" width="19.375" style="31" customWidth="1"/>
    <col min="12810" max="13056" width="9" style="31"/>
    <col min="13057" max="13057" width="6.75" style="31" customWidth="1"/>
    <col min="13058" max="13058" width="10.25" style="31" customWidth="1"/>
    <col min="13059" max="13059" width="12.25" style="31" customWidth="1"/>
    <col min="13060" max="13061" width="9.625" style="31" customWidth="1"/>
    <col min="13062" max="13062" width="12.125" style="31" bestFit="1" customWidth="1"/>
    <col min="13063" max="13064" width="9.625" style="31" customWidth="1"/>
    <col min="13065" max="13065" width="19.375" style="31" customWidth="1"/>
    <col min="13066" max="13312" width="9" style="31"/>
    <col min="13313" max="13313" width="6.75" style="31" customWidth="1"/>
    <col min="13314" max="13314" width="10.25" style="31" customWidth="1"/>
    <col min="13315" max="13315" width="12.25" style="31" customWidth="1"/>
    <col min="13316" max="13317" width="9.625" style="31" customWidth="1"/>
    <col min="13318" max="13318" width="12.125" style="31" bestFit="1" customWidth="1"/>
    <col min="13319" max="13320" width="9.625" style="31" customWidth="1"/>
    <col min="13321" max="13321" width="19.375" style="31" customWidth="1"/>
    <col min="13322" max="13568" width="9" style="31"/>
    <col min="13569" max="13569" width="6.75" style="31" customWidth="1"/>
    <col min="13570" max="13570" width="10.25" style="31" customWidth="1"/>
    <col min="13571" max="13571" width="12.25" style="31" customWidth="1"/>
    <col min="13572" max="13573" width="9.625" style="31" customWidth="1"/>
    <col min="13574" max="13574" width="12.125" style="31" bestFit="1" customWidth="1"/>
    <col min="13575" max="13576" width="9.625" style="31" customWidth="1"/>
    <col min="13577" max="13577" width="19.375" style="31" customWidth="1"/>
    <col min="13578" max="13824" width="9" style="31"/>
    <col min="13825" max="13825" width="6.75" style="31" customWidth="1"/>
    <col min="13826" max="13826" width="10.25" style="31" customWidth="1"/>
    <col min="13827" max="13827" width="12.25" style="31" customWidth="1"/>
    <col min="13828" max="13829" width="9.625" style="31" customWidth="1"/>
    <col min="13830" max="13830" width="12.125" style="31" bestFit="1" customWidth="1"/>
    <col min="13831" max="13832" width="9.625" style="31" customWidth="1"/>
    <col min="13833" max="13833" width="19.375" style="31" customWidth="1"/>
    <col min="13834" max="14080" width="9" style="31"/>
    <col min="14081" max="14081" width="6.75" style="31" customWidth="1"/>
    <col min="14082" max="14082" width="10.25" style="31" customWidth="1"/>
    <col min="14083" max="14083" width="12.25" style="31" customWidth="1"/>
    <col min="14084" max="14085" width="9.625" style="31" customWidth="1"/>
    <col min="14086" max="14086" width="12.125" style="31" bestFit="1" customWidth="1"/>
    <col min="14087" max="14088" width="9.625" style="31" customWidth="1"/>
    <col min="14089" max="14089" width="19.375" style="31" customWidth="1"/>
    <col min="14090" max="14336" width="9" style="31"/>
    <col min="14337" max="14337" width="6.75" style="31" customWidth="1"/>
    <col min="14338" max="14338" width="10.25" style="31" customWidth="1"/>
    <col min="14339" max="14339" width="12.25" style="31" customWidth="1"/>
    <col min="14340" max="14341" width="9.625" style="31" customWidth="1"/>
    <col min="14342" max="14342" width="12.125" style="31" bestFit="1" customWidth="1"/>
    <col min="14343" max="14344" width="9.625" style="31" customWidth="1"/>
    <col min="14345" max="14345" width="19.375" style="31" customWidth="1"/>
    <col min="14346" max="14592" width="9" style="31"/>
    <col min="14593" max="14593" width="6.75" style="31" customWidth="1"/>
    <col min="14594" max="14594" width="10.25" style="31" customWidth="1"/>
    <col min="14595" max="14595" width="12.25" style="31" customWidth="1"/>
    <col min="14596" max="14597" width="9.625" style="31" customWidth="1"/>
    <col min="14598" max="14598" width="12.125" style="31" bestFit="1" customWidth="1"/>
    <col min="14599" max="14600" width="9.625" style="31" customWidth="1"/>
    <col min="14601" max="14601" width="19.375" style="31" customWidth="1"/>
    <col min="14602" max="14848" width="9" style="31"/>
    <col min="14849" max="14849" width="6.75" style="31" customWidth="1"/>
    <col min="14850" max="14850" width="10.25" style="31" customWidth="1"/>
    <col min="14851" max="14851" width="12.25" style="31" customWidth="1"/>
    <col min="14852" max="14853" width="9.625" style="31" customWidth="1"/>
    <col min="14854" max="14854" width="12.125" style="31" bestFit="1" customWidth="1"/>
    <col min="14855" max="14856" width="9.625" style="31" customWidth="1"/>
    <col min="14857" max="14857" width="19.375" style="31" customWidth="1"/>
    <col min="14858" max="15104" width="9" style="31"/>
    <col min="15105" max="15105" width="6.75" style="31" customWidth="1"/>
    <col min="15106" max="15106" width="10.25" style="31" customWidth="1"/>
    <col min="15107" max="15107" width="12.25" style="31" customWidth="1"/>
    <col min="15108" max="15109" width="9.625" style="31" customWidth="1"/>
    <col min="15110" max="15110" width="12.125" style="31" bestFit="1" customWidth="1"/>
    <col min="15111" max="15112" width="9.625" style="31" customWidth="1"/>
    <col min="15113" max="15113" width="19.375" style="31" customWidth="1"/>
    <col min="15114" max="15360" width="9" style="31"/>
    <col min="15361" max="15361" width="6.75" style="31" customWidth="1"/>
    <col min="15362" max="15362" width="10.25" style="31" customWidth="1"/>
    <col min="15363" max="15363" width="12.25" style="31" customWidth="1"/>
    <col min="15364" max="15365" width="9.625" style="31" customWidth="1"/>
    <col min="15366" max="15366" width="12.125" style="31" bestFit="1" customWidth="1"/>
    <col min="15367" max="15368" width="9.625" style="31" customWidth="1"/>
    <col min="15369" max="15369" width="19.375" style="31" customWidth="1"/>
    <col min="15370" max="15616" width="9" style="31"/>
    <col min="15617" max="15617" width="6.75" style="31" customWidth="1"/>
    <col min="15618" max="15618" width="10.25" style="31" customWidth="1"/>
    <col min="15619" max="15619" width="12.25" style="31" customWidth="1"/>
    <col min="15620" max="15621" width="9.625" style="31" customWidth="1"/>
    <col min="15622" max="15622" width="12.125" style="31" bestFit="1" customWidth="1"/>
    <col min="15623" max="15624" width="9.625" style="31" customWidth="1"/>
    <col min="15625" max="15625" width="19.375" style="31" customWidth="1"/>
    <col min="15626" max="15872" width="9" style="31"/>
    <col min="15873" max="15873" width="6.75" style="31" customWidth="1"/>
    <col min="15874" max="15874" width="10.25" style="31" customWidth="1"/>
    <col min="15875" max="15875" width="12.25" style="31" customWidth="1"/>
    <col min="15876" max="15877" width="9.625" style="31" customWidth="1"/>
    <col min="15878" max="15878" width="12.125" style="31" bestFit="1" customWidth="1"/>
    <col min="15879" max="15880" width="9.625" style="31" customWidth="1"/>
    <col min="15881" max="15881" width="19.375" style="31" customWidth="1"/>
    <col min="15882" max="16128" width="9" style="31"/>
    <col min="16129" max="16129" width="6.75" style="31" customWidth="1"/>
    <col min="16130" max="16130" width="10.25" style="31" customWidth="1"/>
    <col min="16131" max="16131" width="12.25" style="31" customWidth="1"/>
    <col min="16132" max="16133" width="9.625" style="31" customWidth="1"/>
    <col min="16134" max="16134" width="12.125" style="31" bestFit="1" customWidth="1"/>
    <col min="16135" max="16136" width="9.625" style="31" customWidth="1"/>
    <col min="16137" max="16137" width="19.375" style="31" customWidth="1"/>
    <col min="16138" max="16384" width="9" style="31"/>
  </cols>
  <sheetData>
    <row r="1" spans="1:9" ht="21.95" customHeight="1" x14ac:dyDescent="0.15">
      <c r="A1" s="685" t="s">
        <v>8659</v>
      </c>
      <c r="B1" s="685"/>
      <c r="C1" s="685"/>
      <c r="D1" s="685"/>
      <c r="E1" s="685"/>
      <c r="F1" s="685"/>
      <c r="G1" s="685"/>
      <c r="H1" s="685"/>
      <c r="I1" s="685"/>
    </row>
    <row r="2" spans="1:9" ht="21.95" customHeight="1" x14ac:dyDescent="0.15">
      <c r="A2" s="32"/>
      <c r="B2" s="32"/>
      <c r="C2" s="32"/>
      <c r="D2" s="32"/>
      <c r="E2" s="32"/>
      <c r="F2" s="32"/>
      <c r="G2" s="686" t="str">
        <f>'事業所・施設 一覧'!AE1</f>
        <v>黄色＝変更、赤＝廃止　　　令和8年8月1日現在</v>
      </c>
      <c r="H2" s="686"/>
      <c r="I2" s="686"/>
    </row>
    <row r="3" spans="1:9" ht="21" customHeight="1" x14ac:dyDescent="0.15">
      <c r="A3" s="687" t="s">
        <v>8660</v>
      </c>
      <c r="B3" s="689" t="s">
        <v>8661</v>
      </c>
      <c r="C3" s="691" t="s">
        <v>4142</v>
      </c>
      <c r="D3" s="693" t="s">
        <v>8662</v>
      </c>
      <c r="E3" s="694"/>
      <c r="F3" s="694"/>
      <c r="G3" s="694"/>
      <c r="H3" s="695"/>
      <c r="I3" s="696" t="s">
        <v>8663</v>
      </c>
    </row>
    <row r="4" spans="1:9" ht="21" customHeight="1" x14ac:dyDescent="0.15">
      <c r="A4" s="688"/>
      <c r="B4" s="690"/>
      <c r="C4" s="692"/>
      <c r="D4" s="33" t="s">
        <v>8664</v>
      </c>
      <c r="E4" s="34" t="s">
        <v>8665</v>
      </c>
      <c r="F4" s="35" t="s">
        <v>8666</v>
      </c>
      <c r="G4" s="35" t="s">
        <v>8667</v>
      </c>
      <c r="H4" s="36" t="s">
        <v>8668</v>
      </c>
      <c r="I4" s="697"/>
    </row>
    <row r="5" spans="1:9" ht="15" customHeight="1" x14ac:dyDescent="0.15">
      <c r="A5" s="39">
        <v>1</v>
      </c>
      <c r="B5" s="40" t="s">
        <v>8669</v>
      </c>
      <c r="C5" s="41" t="s">
        <v>3873</v>
      </c>
      <c r="D5" s="42" t="e">
        <f ca="1">SUM(E5:H5)</f>
        <v>#REF!</v>
      </c>
      <c r="E5" s="43" t="e">
        <f ca="1">COUNTIFS('事業所・施設 一覧'!$D$4:OFFSET('事業所・施設 一覧'!$D2031,-1,0),"さいたま市",'事業所・施設 一覧'!#REF!:OFFSET('事業所・施設 一覧'!#REF!,-1,0),"単")</f>
        <v>#REF!</v>
      </c>
      <c r="F5" s="44" t="e">
        <f ca="1">COUNTIFS('事業所・施設 一覧'!$D$4:OFFSET('事業所・施設 一覧'!$D2031,-1,0),"さいたま市",'事業所・施設 一覧'!#REF!:OFFSET('事業所・施設 一覧'!#REF!,-1,0),"空・併")</f>
        <v>#REF!</v>
      </c>
      <c r="G5" s="44" t="e">
        <f ca="1">COUNTIFS('事業所・施設 一覧'!$D$4:OFFSET('事業所・施設 一覧'!$D2031,-1,0),"さいたま市",'事業所・施設 一覧'!#REF!:OFFSET('事業所・施設 一覧'!#REF!,-1,0),"空")</f>
        <v>#REF!</v>
      </c>
      <c r="H5" s="45" t="e">
        <f ca="1">COUNTIFS('事業所・施設 一覧'!$D$4:OFFSET('事業所・施設 一覧'!$D2031,-1,0),"さいたま市",'事業所・施設 一覧'!#REF!:OFFSET('事業所・施設 一覧'!#REF!,-1,0),"併")</f>
        <v>#REF!</v>
      </c>
      <c r="I5" s="46">
        <f ca="1">SUMIF('事業所・施設 一覧'!$D$4:OFFSET('事業所・施設 一覧'!$D2031,-1,0),"さいたま市",'事業所・施設 一覧'!$R$4:OFFSET('事業所・施設 一覧'!$R2031,-1,0))</f>
        <v>271</v>
      </c>
    </row>
    <row r="6" spans="1:9" ht="15" customHeight="1" x14ac:dyDescent="0.15">
      <c r="A6" s="39">
        <v>2</v>
      </c>
      <c r="B6" s="40" t="s">
        <v>8670</v>
      </c>
      <c r="C6" s="41" t="s">
        <v>4083</v>
      </c>
      <c r="D6" s="42" t="e">
        <f t="shared" ref="D6:D67" ca="1" si="0">SUM(E6:H6)</f>
        <v>#REF!</v>
      </c>
      <c r="E6" s="47" t="e">
        <f ca="1">COUNTIFS('事業所・施設 一覧'!$D$4:OFFSET('事業所・施設 一覧'!$D2031,-1,0),"川越市",'事業所・施設 一覧'!#REF!:OFFSET('事業所・施設 一覧'!#REF!,-1,0),"単")</f>
        <v>#REF!</v>
      </c>
      <c r="F6" s="44" t="e">
        <f ca="1">COUNTIFS('事業所・施設 一覧'!$D$4:OFFSET('事業所・施設 一覧'!$D2031,-1,0),"川越市",'事業所・施設 一覧'!#REF!:OFFSET('事業所・施設 一覧'!#REF!,-1,0),"空・併")</f>
        <v>#REF!</v>
      </c>
      <c r="G6" s="44" t="e">
        <f ca="1">COUNTIFS('事業所・施設 一覧'!$D$4:OFFSET('事業所・施設 一覧'!$D2031,-1,0),"川越市",'事業所・施設 一覧'!#REF!:OFFSET('事業所・施設 一覧'!#REF!,-1,0),"空")</f>
        <v>#REF!</v>
      </c>
      <c r="H6" s="48" t="e">
        <f ca="1">COUNTIFS('事業所・施設 一覧'!$D$4:OFFSET('事業所・施設 一覧'!$D2031,-1,0),"川越市",'事業所・施設 一覧'!#REF!:OFFSET('事業所・施設 一覧'!#REF!,-1,0),"併")</f>
        <v>#REF!</v>
      </c>
      <c r="I6" s="46">
        <f ca="1">SUMIF('事業所・施設 一覧'!$D$4:OFFSET('事業所・施設 一覧'!$D2031,-1,0),"川越市",'事業所・施設 一覧'!$R$4:OFFSET('事業所・施設 一覧'!$R2031,-1,0))</f>
        <v>85</v>
      </c>
    </row>
    <row r="7" spans="1:9" ht="15" customHeight="1" x14ac:dyDescent="0.15">
      <c r="A7" s="39">
        <v>3</v>
      </c>
      <c r="B7" s="40" t="s">
        <v>8671</v>
      </c>
      <c r="C7" s="41" t="s">
        <v>1852</v>
      </c>
      <c r="D7" s="42" t="e">
        <f t="shared" ca="1" si="0"/>
        <v>#REF!</v>
      </c>
      <c r="E7" s="47" t="e">
        <f ca="1">COUNTIFS('事業所・施設 一覧'!$D$4:OFFSET('事業所・施設 一覧'!$D2031,-1,0),"熊谷市",'事業所・施設 一覧'!#REF!:OFFSET('事業所・施設 一覧'!#REF!,-1,0),"単")</f>
        <v>#REF!</v>
      </c>
      <c r="F7" s="44" t="e">
        <f ca="1">COUNTIFS('事業所・施設 一覧'!$D$4:OFFSET('事業所・施設 一覧'!$D2031,-1,0),"熊谷市",'事業所・施設 一覧'!#REF!:OFFSET('事業所・施設 一覧'!#REF!,-1,0),"空・併")</f>
        <v>#REF!</v>
      </c>
      <c r="G7" s="49" t="e">
        <f ca="1">COUNTIFS('事業所・施設 一覧'!$D$4:OFFSET('事業所・施設 一覧'!$D2031,-1,0),"熊谷市",'事業所・施設 一覧'!#REF!:OFFSET('事業所・施設 一覧'!#REF!,-1,0),"空")</f>
        <v>#REF!</v>
      </c>
      <c r="H7" s="50" t="e">
        <f ca="1">COUNTIFS('事業所・施設 一覧'!$D$4:OFFSET('事業所・施設 一覧'!$D2031,-1,0),"熊谷市",'事業所・施設 一覧'!#REF!:OFFSET('事業所・施設 一覧'!#REF!,-1,0),"併")</f>
        <v>#REF!</v>
      </c>
      <c r="I7" s="51">
        <f ca="1">SUMIF('事業所・施設 一覧'!$D$4:OFFSET('事業所・施設 一覧'!$D2031,-1,0),"熊谷市",'事業所・施設 一覧'!$R$4:OFFSET('事業所・施設 一覧'!$R2031,-1,0))</f>
        <v>33</v>
      </c>
    </row>
    <row r="8" spans="1:9" ht="15" customHeight="1" x14ac:dyDescent="0.15">
      <c r="A8" s="39">
        <v>4</v>
      </c>
      <c r="B8" s="40" t="s">
        <v>8672</v>
      </c>
      <c r="C8" s="41" t="s">
        <v>4084</v>
      </c>
      <c r="D8" s="42" t="e">
        <f t="shared" ca="1" si="0"/>
        <v>#REF!</v>
      </c>
      <c r="E8" s="47" t="e">
        <f ca="1">COUNTIFS('事業所・施設 一覧'!$D$4:OFFSET('事業所・施設 一覧'!$D2031,-1,0),"川口市",'事業所・施設 一覧'!#REF!:OFFSET('事業所・施設 一覧'!#REF!,-1,0),"単")</f>
        <v>#REF!</v>
      </c>
      <c r="F8" s="44" t="e">
        <f ca="1">COUNTIFS('事業所・施設 一覧'!$D$4:OFFSET('事業所・施設 一覧'!$D2031,-1,0),"川口市",'事業所・施設 一覧'!#REF!:OFFSET('事業所・施設 一覧'!#REF!,-1,0),"空・併")</f>
        <v>#REF!</v>
      </c>
      <c r="G8" s="44" t="e">
        <f ca="1">COUNTIFS('事業所・施設 一覧'!$D$4:OFFSET('事業所・施設 一覧'!$D2031,-1,0),"川口市",'事業所・施設 一覧'!#REF!:OFFSET('事業所・施設 一覧'!#REF!,-1,0),"空")</f>
        <v>#REF!</v>
      </c>
      <c r="H8" s="48" t="e">
        <f ca="1">COUNTIFS('事業所・施設 一覧'!$D$4:OFFSET('事業所・施設 一覧'!$D2031,-1,0),"川口市",'事業所・施設 一覧'!#REF!:OFFSET('事業所・施設 一覧'!#REF!,-1,0),"併")</f>
        <v>#REF!</v>
      </c>
      <c r="I8" s="46">
        <f ca="1">SUMIF('事業所・施設 一覧'!$D$4:OFFSET('事業所・施設 一覧'!$D2031,-1,0),"川口市",'事業所・施設 一覧'!$R$4:OFFSET('事業所・施設 一覧'!$R2031,-1,0))</f>
        <v>104</v>
      </c>
    </row>
    <row r="9" spans="1:9" ht="15" customHeight="1" x14ac:dyDescent="0.15">
      <c r="A9" s="39">
        <v>5</v>
      </c>
      <c r="B9" s="40" t="s">
        <v>8673</v>
      </c>
      <c r="C9" s="41" t="s">
        <v>4085</v>
      </c>
      <c r="D9" s="42" t="e">
        <f t="shared" ca="1" si="0"/>
        <v>#REF!</v>
      </c>
      <c r="E9" s="47" t="e">
        <f ca="1">COUNTIFS('事業所・施設 一覧'!$D$4:OFFSET('事業所・施設 一覧'!$D2031,-1,0),"行田市",'事業所・施設 一覧'!#REF!:OFFSET('事業所・施設 一覧'!#REF!,-1,0),"単")</f>
        <v>#REF!</v>
      </c>
      <c r="F9" s="44" t="e">
        <f ca="1">COUNTIFS('事業所・施設 一覧'!$D$4:OFFSET('事業所・施設 一覧'!$D2031,-1,0),"行田市",'事業所・施設 一覧'!#REF!:OFFSET('事業所・施設 一覧'!#REF!,-1,0),"空・併")</f>
        <v>#REF!</v>
      </c>
      <c r="G9" s="44" t="e">
        <f ca="1">COUNTIFS('事業所・施設 一覧'!$D$4:OFFSET('事業所・施設 一覧'!$D2031,-1,0),"行田市",'事業所・施設 一覧'!#REF!:OFFSET('事業所・施設 一覧'!#REF!,-1,0),"空")</f>
        <v>#REF!</v>
      </c>
      <c r="H9" s="48" t="e">
        <f ca="1">COUNTIFS('事業所・施設 一覧'!$D$4:OFFSET('事業所・施設 一覧'!$D2031,-1,0),"行田市",'事業所・施設 一覧'!#REF!:OFFSET('事業所・施設 一覧'!#REF!,-1,0),"併")</f>
        <v>#REF!</v>
      </c>
      <c r="I9" s="46">
        <f ca="1">SUMIF('事業所・施設 一覧'!$D$4:OFFSET('事業所・施設 一覧'!$D2031,-1,0),"行田市",'事業所・施設 一覧'!$R$4:OFFSET('事業所・施設 一覧'!$R2031,-1,0))</f>
        <v>13</v>
      </c>
    </row>
    <row r="10" spans="1:9" ht="15" customHeight="1" x14ac:dyDescent="0.15">
      <c r="A10" s="39">
        <v>6</v>
      </c>
      <c r="B10" s="40" t="s">
        <v>8674</v>
      </c>
      <c r="C10" s="41" t="s">
        <v>4086</v>
      </c>
      <c r="D10" s="42" t="e">
        <f t="shared" ca="1" si="0"/>
        <v>#REF!</v>
      </c>
      <c r="E10" s="47" t="e">
        <f ca="1">COUNTIFS('事業所・施設 一覧'!$D$4:OFFSET('事業所・施設 一覧'!$D2031,-1,0),"秩父市",'事業所・施設 一覧'!#REF!:OFFSET('事業所・施設 一覧'!#REF!,-1,0),"単")</f>
        <v>#REF!</v>
      </c>
      <c r="F10" s="44" t="e">
        <f ca="1">COUNTIFS('事業所・施設 一覧'!$D$4:OFFSET('事業所・施設 一覧'!$D2031,-1,0),"秩父市",'事業所・施設 一覧'!#REF!:OFFSET('事業所・施設 一覧'!#REF!,-1,0),"空・併")</f>
        <v>#REF!</v>
      </c>
      <c r="G10" s="44" t="e">
        <f ca="1">COUNTIFS('事業所・施設 一覧'!$D$4:OFFSET('事業所・施設 一覧'!$D2031,-1,0),"秩父市",'事業所・施設 一覧'!#REF!:OFFSET('事業所・施設 一覧'!#REF!,-1,0),"空")</f>
        <v>#REF!</v>
      </c>
      <c r="H10" s="48" t="e">
        <f ca="1">COUNTIFS('事業所・施設 一覧'!$D$4:OFFSET('事業所・施設 一覧'!$D2031,-1,0),"秩父市",'事業所・施設 一覧'!#REF!:OFFSET('事業所・施設 一覧'!#REF!,-1,0),"併")</f>
        <v>#REF!</v>
      </c>
      <c r="I10" s="46">
        <f ca="1">SUMIF('事業所・施設 一覧'!$D$4:OFFSET('事業所・施設 一覧'!$D2031,-1,0),"秩父市",'事業所・施設 一覧'!$R$4:OFFSET('事業所・施設 一覧'!$R2031,-1,0))</f>
        <v>10</v>
      </c>
    </row>
    <row r="11" spans="1:9" ht="15" customHeight="1" x14ac:dyDescent="0.15">
      <c r="A11" s="39">
        <v>7</v>
      </c>
      <c r="B11" s="40" t="s">
        <v>5373</v>
      </c>
      <c r="C11" s="41" t="s">
        <v>4087</v>
      </c>
      <c r="D11" s="42" t="e">
        <f t="shared" ca="1" si="0"/>
        <v>#REF!</v>
      </c>
      <c r="E11" s="47" t="e">
        <f ca="1">COUNTIFS('事業所・施設 一覧'!$D$4:OFFSET('事業所・施設 一覧'!$D2031,-1,0),"所沢市",'事業所・施設 一覧'!#REF!:OFFSET('事業所・施設 一覧'!#REF!,-1,0),"単")</f>
        <v>#REF!</v>
      </c>
      <c r="F11" s="44" t="e">
        <f ca="1">COUNTIFS('事業所・施設 一覧'!$D$4:OFFSET('事業所・施設 一覧'!$D2031,-1,0),"所沢市",'事業所・施設 一覧'!#REF!:OFFSET('事業所・施設 一覧'!#REF!,-1,0),"空・併")</f>
        <v>#REF!</v>
      </c>
      <c r="G11" s="44" t="e">
        <f ca="1">COUNTIFS('事業所・施設 一覧'!$D$4:OFFSET('事業所・施設 一覧'!$D2031,-1,0),"所沢市",'事業所・施設 一覧'!#REF!:OFFSET('事業所・施設 一覧'!#REF!,-1,0),"空")</f>
        <v>#REF!</v>
      </c>
      <c r="H11" s="48" t="e">
        <f ca="1">COUNTIFS('事業所・施設 一覧'!$D$4:OFFSET('事業所・施設 一覧'!$D2031,-1,0),"所沢市",'事業所・施設 一覧'!#REF!:OFFSET('事業所・施設 一覧'!#REF!,-1,0),"併")</f>
        <v>#REF!</v>
      </c>
      <c r="I11" s="46">
        <f ca="1">SUMIF('事業所・施設 一覧'!$D$4:OFFSET('事業所・施設 一覧'!$D2031,-1,0),"所沢市",'事業所・施設 一覧'!$R$4:OFFSET('事業所・施設 一覧'!$R2031,-1,0))</f>
        <v>43</v>
      </c>
    </row>
    <row r="12" spans="1:9" ht="15" customHeight="1" x14ac:dyDescent="0.15">
      <c r="A12" s="39">
        <v>8</v>
      </c>
      <c r="B12" s="40" t="s">
        <v>5373</v>
      </c>
      <c r="C12" s="41" t="s">
        <v>4088</v>
      </c>
      <c r="D12" s="42" t="e">
        <f t="shared" ca="1" si="0"/>
        <v>#REF!</v>
      </c>
      <c r="E12" s="47" t="e">
        <f ca="1">COUNTIFS('事業所・施設 一覧'!$D$4:OFFSET('事業所・施設 一覧'!$D2031,-1,0),"飯能市",'事業所・施設 一覧'!#REF!:OFFSET('事業所・施設 一覧'!#REF!,-1,0),"単")</f>
        <v>#REF!</v>
      </c>
      <c r="F12" s="44" t="e">
        <f ca="1">COUNTIFS('事業所・施設 一覧'!$D$4:OFFSET('事業所・施設 一覧'!$D2031,-1,0),"飯能市",'事業所・施設 一覧'!#REF!:OFFSET('事業所・施設 一覧'!#REF!,-1,0),"空・併")</f>
        <v>#REF!</v>
      </c>
      <c r="G12" s="44" t="e">
        <f ca="1">COUNTIFS('事業所・施設 一覧'!$D$4:OFFSET('事業所・施設 一覧'!$D2031,-1,0),"飯能市",'事業所・施設 一覧'!#REF!:OFFSET('事業所・施設 一覧'!#REF!,-1,0),"空")</f>
        <v>#REF!</v>
      </c>
      <c r="H12" s="48" t="e">
        <f ca="1">COUNTIFS('事業所・施設 一覧'!$D$4:OFFSET('事業所・施設 一覧'!$D2031,-1,0),"飯能市",'事業所・施設 一覧'!#REF!:OFFSET('事業所・施設 一覧'!#REF!,-1,0),"併")</f>
        <v>#REF!</v>
      </c>
      <c r="I12" s="46">
        <f ca="1">SUMIF('事業所・施設 一覧'!$D$4:OFFSET('事業所・施設 一覧'!$D2031,-1,0),"飯能市",'事業所・施設 一覧'!$R$4:OFFSET('事業所・施設 一覧'!$R2031,-1,0))</f>
        <v>16</v>
      </c>
    </row>
    <row r="13" spans="1:9" ht="15" customHeight="1" x14ac:dyDescent="0.15">
      <c r="A13" s="39">
        <v>9</v>
      </c>
      <c r="B13" s="40" t="s">
        <v>8673</v>
      </c>
      <c r="C13" s="41" t="s">
        <v>4089</v>
      </c>
      <c r="D13" s="42" t="e">
        <f t="shared" ca="1" si="0"/>
        <v>#REF!</v>
      </c>
      <c r="E13" s="47" t="e">
        <f ca="1">COUNTIFS('事業所・施設 一覧'!$D$4:OFFSET('事業所・施設 一覧'!$D2031,-1,0),"加須市",'事業所・施設 一覧'!#REF!:OFFSET('事業所・施設 一覧'!#REF!,-1,0),"単")</f>
        <v>#REF!</v>
      </c>
      <c r="F13" s="44" t="e">
        <f ca="1">COUNTIFS('事業所・施設 一覧'!$D$4:OFFSET('事業所・施設 一覧'!$D2031,-1,0),"加須市",'事業所・施設 一覧'!#REF!:OFFSET('事業所・施設 一覧'!#REF!,-1,0),"空・併")</f>
        <v>#REF!</v>
      </c>
      <c r="G13" s="44" t="e">
        <f ca="1">COUNTIFS('事業所・施設 一覧'!$D$4:OFFSET('事業所・施設 一覧'!$D2031,-1,0),"加須市",'事業所・施設 一覧'!#REF!:OFFSET('事業所・施設 一覧'!#REF!,-1,0),"空")</f>
        <v>#REF!</v>
      </c>
      <c r="H13" s="48" t="e">
        <f ca="1">COUNTIFS('事業所・施設 一覧'!$D$4:OFFSET('事業所・施設 一覧'!$D2031,-1,0),"加須市",'事業所・施設 一覧'!#REF!:OFFSET('事業所・施設 一覧'!#REF!,-1,0),"併")</f>
        <v>#REF!</v>
      </c>
      <c r="I13" s="46">
        <f ca="1">SUMIF('事業所・施設 一覧'!$D$4:OFFSET('事業所・施設 一覧'!$D2031,-1,0),"加須市",'事業所・施設 一覧'!$R$4:OFFSET('事業所・施設 一覧'!$R2031,-1,0))</f>
        <v>14</v>
      </c>
    </row>
    <row r="14" spans="1:9" ht="15" customHeight="1" x14ac:dyDescent="0.15">
      <c r="A14" s="39">
        <v>10</v>
      </c>
      <c r="B14" s="40" t="s">
        <v>8671</v>
      </c>
      <c r="C14" s="41" t="s">
        <v>4090</v>
      </c>
      <c r="D14" s="42" t="e">
        <f t="shared" ca="1" si="0"/>
        <v>#REF!</v>
      </c>
      <c r="E14" s="47" t="e">
        <f ca="1">COUNTIFS('事業所・施設 一覧'!$D$4:OFFSET('事業所・施設 一覧'!$D2031,-1,0),"本庄市",'事業所・施設 一覧'!#REF!:OFFSET('事業所・施設 一覧'!#REF!,-1,0),"単")</f>
        <v>#REF!</v>
      </c>
      <c r="F14" s="44" t="e">
        <f ca="1">COUNTIFS('事業所・施設 一覧'!$D$4:OFFSET('事業所・施設 一覧'!$D2031,-1,0),"本庄市",'事業所・施設 一覧'!#REF!:OFFSET('事業所・施設 一覧'!#REF!,-1,0),"空・併")</f>
        <v>#REF!</v>
      </c>
      <c r="G14" s="44" t="e">
        <f ca="1">COUNTIFS('事業所・施設 一覧'!$D$4:OFFSET('事業所・施設 一覧'!$D2031,-1,0),"本庄市",'事業所・施設 一覧'!#REF!:OFFSET('事業所・施設 一覧'!#REF!,-1,0),"空")</f>
        <v>#REF!</v>
      </c>
      <c r="H14" s="48" t="e">
        <f ca="1">COUNTIFS('事業所・施設 一覧'!$D$4:OFFSET('事業所・施設 一覧'!$D2031,-1,0),"本庄市",'事業所・施設 一覧'!#REF!:OFFSET('事業所・施設 一覧'!#REF!,-1,0),"併")</f>
        <v>#REF!</v>
      </c>
      <c r="I14" s="46">
        <f ca="1">SUMIF('事業所・施設 一覧'!$D$4:OFFSET('事業所・施設 一覧'!$D2031,-1,0),"本庄市",'事業所・施設 一覧'!$R$4:OFFSET('事業所・施設 一覧'!$R2031,-1,0))</f>
        <v>8</v>
      </c>
    </row>
    <row r="15" spans="1:9" ht="15" customHeight="1" x14ac:dyDescent="0.15">
      <c r="A15" s="39">
        <v>11</v>
      </c>
      <c r="B15" s="40" t="s">
        <v>8670</v>
      </c>
      <c r="C15" s="41" t="s">
        <v>4091</v>
      </c>
      <c r="D15" s="42" t="e">
        <f t="shared" ca="1" si="0"/>
        <v>#REF!</v>
      </c>
      <c r="E15" s="47" t="e">
        <f ca="1">COUNTIFS('事業所・施設 一覧'!$D$4:OFFSET('事業所・施設 一覧'!$D2031,-1,0),"東松山市",'事業所・施設 一覧'!#REF!:OFFSET('事業所・施設 一覧'!#REF!,-1,0),"単")</f>
        <v>#REF!</v>
      </c>
      <c r="F15" s="44" t="e">
        <f ca="1">COUNTIFS('事業所・施設 一覧'!$D$4:OFFSET('事業所・施設 一覧'!$D2031,-1,0),"東松山市",'事業所・施設 一覧'!#REF!:OFFSET('事業所・施設 一覧'!#REF!,-1,0),"空・併")</f>
        <v>#REF!</v>
      </c>
      <c r="G15" s="44" t="e">
        <f ca="1">COUNTIFS('事業所・施設 一覧'!$D$4:OFFSET('事業所・施設 一覧'!$D2031,-1,0),"東松山市",'事業所・施設 一覧'!#REF!:OFFSET('事業所・施設 一覧'!#REF!,-1,0),"空")</f>
        <v>#REF!</v>
      </c>
      <c r="H15" s="48" t="e">
        <f ca="1">COUNTIFS('事業所・施設 一覧'!$D$4:OFFSET('事業所・施設 一覧'!$D2031,-1,0),"東松山市",'事業所・施設 一覧'!#REF!:OFFSET('事業所・施設 一覧'!#REF!,-1,0),"併")</f>
        <v>#REF!</v>
      </c>
      <c r="I15" s="46">
        <f ca="1">SUMIF('事業所・施設 一覧'!$D$4:OFFSET('事業所・施設 一覧'!$D2031,-1,0),"東松山市",'事業所・施設 一覧'!$R$4:OFFSET('事業所・施設 一覧'!$R2031,-1,0))</f>
        <v>26</v>
      </c>
    </row>
    <row r="16" spans="1:9" ht="15" customHeight="1" x14ac:dyDescent="0.15">
      <c r="A16" s="39">
        <v>12</v>
      </c>
      <c r="B16" s="40" t="s">
        <v>8675</v>
      </c>
      <c r="C16" s="41" t="s">
        <v>4092</v>
      </c>
      <c r="D16" s="42" t="e">
        <f t="shared" ca="1" si="0"/>
        <v>#REF!</v>
      </c>
      <c r="E16" s="47" t="e">
        <f ca="1">COUNTIFS('事業所・施設 一覧'!$D$4:OFFSET('事業所・施設 一覧'!$D2031,-1,0),"春日部市",'事業所・施設 一覧'!#REF!:OFFSET('事業所・施設 一覧'!#REF!,-1,0),"単")</f>
        <v>#REF!</v>
      </c>
      <c r="F16" s="44" t="e">
        <f ca="1">COUNTIFS('事業所・施設 一覧'!$D$4:OFFSET('事業所・施設 一覧'!$D2031,-1,0),"春日部市",'事業所・施設 一覧'!#REF!:OFFSET('事業所・施設 一覧'!#REF!,-1,0),"空・併")</f>
        <v>#REF!</v>
      </c>
      <c r="G16" s="44" t="e">
        <f ca="1">COUNTIFS('事業所・施設 一覧'!$D$4:OFFSET('事業所・施設 一覧'!$D2031,-1,0),"春日部市",'事業所・施設 一覧'!#REF!:OFFSET('事業所・施設 一覧'!#REF!,-1,0),"空")</f>
        <v>#REF!</v>
      </c>
      <c r="H16" s="48" t="e">
        <f ca="1">COUNTIFS('事業所・施設 一覧'!$D$4:OFFSET('事業所・施設 一覧'!$D2031,-1,0),"春日部市",'事業所・施設 一覧'!#REF!:OFFSET('事業所・施設 一覧'!#REF!,-1,0),"併")</f>
        <v>#REF!</v>
      </c>
      <c r="I16" s="46">
        <f ca="1">SUMIF('事業所・施設 一覧'!$D$4:OFFSET('事業所・施設 一覧'!$D2031,-1,0),"春日部市",'事業所・施設 一覧'!$R$4:OFFSET('事業所・施設 一覧'!$R2031,-1,0))</f>
        <v>20</v>
      </c>
    </row>
    <row r="17" spans="1:9" ht="15" customHeight="1" x14ac:dyDescent="0.15">
      <c r="A17" s="39">
        <v>13</v>
      </c>
      <c r="B17" s="40" t="s">
        <v>5373</v>
      </c>
      <c r="C17" s="41" t="s">
        <v>4093</v>
      </c>
      <c r="D17" s="42" t="e">
        <f t="shared" ca="1" si="0"/>
        <v>#REF!</v>
      </c>
      <c r="E17" s="47" t="e">
        <f ca="1">COUNTIFS('事業所・施設 一覧'!$D$4:OFFSET('事業所・施設 一覧'!$D2031,-1,0),"狭山市",'事業所・施設 一覧'!#REF!:OFFSET('事業所・施設 一覧'!#REF!,-1,0),"単")</f>
        <v>#REF!</v>
      </c>
      <c r="F17" s="44" t="e">
        <f ca="1">COUNTIFS('事業所・施設 一覧'!$D$4:OFFSET('事業所・施設 一覧'!$D2031,-1,0),"狭山市",'事業所・施設 一覧'!#REF!:OFFSET('事業所・施設 一覧'!#REF!,-1,0),"空・併")</f>
        <v>#REF!</v>
      </c>
      <c r="G17" s="44" t="e">
        <f ca="1">COUNTIFS('事業所・施設 一覧'!$D$4:OFFSET('事業所・施設 一覧'!$D2031,-1,0),"狭山市",'事業所・施設 一覧'!#REF!:OFFSET('事業所・施設 一覧'!#REF!,-1,0),"空")</f>
        <v>#REF!</v>
      </c>
      <c r="H17" s="48" t="e">
        <f ca="1">COUNTIFS('事業所・施設 一覧'!$D$4:OFFSET('事業所・施設 一覧'!$D2031,-1,0),"狭山市",'事業所・施設 一覧'!#REF!:OFFSET('事業所・施設 一覧'!#REF!,-1,0),"併")</f>
        <v>#REF!</v>
      </c>
      <c r="I17" s="46">
        <f ca="1">SUMIF('事業所・施設 一覧'!$D$4:OFFSET('事業所・施設 一覧'!$D2031,-1,0),"狭山市",'事業所・施設 一覧'!$R$4:OFFSET('事業所・施設 一覧'!$R2031,-1,0))</f>
        <v>43</v>
      </c>
    </row>
    <row r="18" spans="1:9" ht="15" customHeight="1" x14ac:dyDescent="0.15">
      <c r="A18" s="39">
        <v>14</v>
      </c>
      <c r="B18" s="40" t="s">
        <v>8673</v>
      </c>
      <c r="C18" s="41" t="s">
        <v>1879</v>
      </c>
      <c r="D18" s="42" t="e">
        <f t="shared" ca="1" si="0"/>
        <v>#REF!</v>
      </c>
      <c r="E18" s="47" t="e">
        <f ca="1">COUNTIFS('事業所・施設 一覧'!$D$4:OFFSET('事業所・施設 一覧'!$D2031,-1,0),"羽生市",'事業所・施設 一覧'!#REF!:OFFSET('事業所・施設 一覧'!#REF!,-1,0),"単")</f>
        <v>#REF!</v>
      </c>
      <c r="F18" s="44" t="e">
        <f ca="1">COUNTIFS('事業所・施設 一覧'!$D$4:OFFSET('事業所・施設 一覧'!$D2031,-1,0),"羽生市",'事業所・施設 一覧'!#REF!:OFFSET('事業所・施設 一覧'!#REF!,-1,0),"空・併")</f>
        <v>#REF!</v>
      </c>
      <c r="G18" s="44" t="e">
        <f ca="1">COUNTIFS('事業所・施設 一覧'!$D$4:OFFSET('事業所・施設 一覧'!$D2031,-1,0),"羽生市",'事業所・施設 一覧'!#REF!:OFFSET('事業所・施設 一覧'!#REF!,-1,0),"空")</f>
        <v>#REF!</v>
      </c>
      <c r="H18" s="48" t="e">
        <f ca="1">COUNTIFS('事業所・施設 一覧'!$D$4:OFFSET('事業所・施設 一覧'!$D2031,-1,0),"羽生市",'事業所・施設 一覧'!#REF!:OFFSET('事業所・施設 一覧'!#REF!,-1,0),"併")</f>
        <v>#REF!</v>
      </c>
      <c r="I18" s="46">
        <f ca="1">SUMIF('事業所・施設 一覧'!$D$4:OFFSET('事業所・施設 一覧'!$D2031,-1,0),"羽生市",'事業所・施設 一覧'!$R$4:OFFSET('事業所・施設 一覧'!$R2031,-1,0))</f>
        <v>27</v>
      </c>
    </row>
    <row r="19" spans="1:9" ht="15" customHeight="1" x14ac:dyDescent="0.15">
      <c r="A19" s="39">
        <v>15</v>
      </c>
      <c r="B19" s="40" t="s">
        <v>8676</v>
      </c>
      <c r="C19" s="41" t="s">
        <v>1873</v>
      </c>
      <c r="D19" s="42" t="e">
        <f t="shared" ca="1" si="0"/>
        <v>#REF!</v>
      </c>
      <c r="E19" s="47" t="e">
        <f ca="1">COUNTIFS('事業所・施設 一覧'!$D$4:OFFSET('事業所・施設 一覧'!$D2031,-1,0),"鴻巣市",'事業所・施設 一覧'!#REF!:OFFSET('事業所・施設 一覧'!#REF!,-1,0),"単")</f>
        <v>#REF!</v>
      </c>
      <c r="F19" s="44" t="e">
        <f ca="1">COUNTIFS('事業所・施設 一覧'!$D$4:OFFSET('事業所・施設 一覧'!$D2031,-1,0),"鴻巣市",'事業所・施設 一覧'!#REF!:OFFSET('事業所・施設 一覧'!#REF!,-1,0),"空・併")</f>
        <v>#REF!</v>
      </c>
      <c r="G19" s="44" t="e">
        <f ca="1">COUNTIFS('事業所・施設 一覧'!$D$4:OFFSET('事業所・施設 一覧'!$D2031,-1,0),"鴻巣市",'事業所・施設 一覧'!#REF!:OFFSET('事業所・施設 一覧'!#REF!,-1,0),"空")</f>
        <v>#REF!</v>
      </c>
      <c r="H19" s="50" t="e">
        <f ca="1">COUNTIFS('事業所・施設 一覧'!$D$4:OFFSET('事業所・施設 一覧'!$D2031,-1,0),"鴻巣市",'事業所・施設 一覧'!#REF!:OFFSET('事業所・施設 一覧'!#REF!,-1,0),"併")</f>
        <v>#REF!</v>
      </c>
      <c r="I19" s="51">
        <f ca="1">SUMIF('事業所・施設 一覧'!$D$4:OFFSET('事業所・施設 一覧'!$D2031,-1,0),"鴻巣市",'事業所・施設 一覧'!$R$4:OFFSET('事業所・施設 一覧'!$R2031,-1,0))</f>
        <v>7</v>
      </c>
    </row>
    <row r="20" spans="1:9" ht="15" customHeight="1" x14ac:dyDescent="0.15">
      <c r="A20" s="39">
        <v>16</v>
      </c>
      <c r="B20" s="40" t="s">
        <v>8671</v>
      </c>
      <c r="C20" s="41" t="s">
        <v>4094</v>
      </c>
      <c r="D20" s="42" t="e">
        <f t="shared" ca="1" si="0"/>
        <v>#REF!</v>
      </c>
      <c r="E20" s="47" t="e">
        <f ca="1">COUNTIFS('事業所・施設 一覧'!$D$4:OFFSET('事業所・施設 一覧'!$D2031,-1,0),"深谷市",'事業所・施設 一覧'!#REF!:OFFSET('事業所・施設 一覧'!#REF!,-1,0),"単")</f>
        <v>#REF!</v>
      </c>
      <c r="F20" s="44" t="e">
        <f ca="1">COUNTIFS('事業所・施設 一覧'!$D$4:OFFSET('事業所・施設 一覧'!$D2031,-1,0),"深谷市",'事業所・施設 一覧'!#REF!:OFFSET('事業所・施設 一覧'!#REF!,-1,0),"空・併")</f>
        <v>#REF!</v>
      </c>
      <c r="G20" s="49" t="e">
        <f ca="1">COUNTIFS('事業所・施設 一覧'!$D$4:OFFSET('事業所・施設 一覧'!$D2031,-1,0),"深谷市",'事業所・施設 一覧'!#REF!:OFFSET('事業所・施設 一覧'!#REF!,-1,0),"空")</f>
        <v>#REF!</v>
      </c>
      <c r="H20" s="48" t="e">
        <f ca="1">COUNTIFS('事業所・施設 一覧'!$D$4:OFFSET('事業所・施設 一覧'!$D2031,-1,0),"深谷市",'事業所・施設 一覧'!#REF!:OFFSET('事業所・施設 一覧'!#REF!,-1,0),"併")</f>
        <v>#REF!</v>
      </c>
      <c r="I20" s="46">
        <f ca="1">SUMIF('事業所・施設 一覧'!$D$4:OFFSET('事業所・施設 一覧'!$D2031,-1,0),"深谷市",'事業所・施設 一覧'!$R$4:OFFSET('事業所・施設 一覧'!$R2031,-1,0))</f>
        <v>59</v>
      </c>
    </row>
    <row r="21" spans="1:9" ht="15" customHeight="1" x14ac:dyDescent="0.15">
      <c r="A21" s="39">
        <v>17</v>
      </c>
      <c r="B21" s="40" t="s">
        <v>8676</v>
      </c>
      <c r="C21" s="41" t="s">
        <v>1973</v>
      </c>
      <c r="D21" s="42" t="e">
        <f t="shared" ca="1" si="0"/>
        <v>#REF!</v>
      </c>
      <c r="E21" s="47" t="e">
        <f ca="1">COUNTIFS('事業所・施設 一覧'!$D$4:OFFSET('事業所・施設 一覧'!$D2031,-1,0),"上尾市",'事業所・施設 一覧'!#REF!:OFFSET('事業所・施設 一覧'!#REF!,-1,0),"単")</f>
        <v>#REF!</v>
      </c>
      <c r="F21" s="44" t="e">
        <f ca="1">COUNTIFS('事業所・施設 一覧'!$D$4:OFFSET('事業所・施設 一覧'!$D2031,-1,0),"上尾市",'事業所・施設 一覧'!#REF!:OFFSET('事業所・施設 一覧'!#REF!,-1,0),"空・併")</f>
        <v>#REF!</v>
      </c>
      <c r="G21" s="44" t="e">
        <f ca="1">COUNTIFS('事業所・施設 一覧'!$D$4:OFFSET('事業所・施設 一覧'!$D2031,-1,0),"上尾市",'事業所・施設 一覧'!#REF!:OFFSET('事業所・施設 一覧'!#REF!,-1,0),"空")</f>
        <v>#REF!</v>
      </c>
      <c r="H21" s="48" t="e">
        <f ca="1">COUNTIFS('事業所・施設 一覧'!$D$4:OFFSET('事業所・施設 一覧'!$D2031,-1,0),"上尾市",'事業所・施設 一覧'!#REF!:OFFSET('事業所・施設 一覧'!#REF!,-1,0),"併")</f>
        <v>#REF!</v>
      </c>
      <c r="I21" s="46">
        <f ca="1">SUMIF('事業所・施設 一覧'!$D$4:OFFSET('事業所・施設 一覧'!$D2031,-1,0),"上尾市",'事業所・施設 一覧'!$R$4:OFFSET('事業所・施設 一覧'!$R2031,-1,0))</f>
        <v>38</v>
      </c>
    </row>
    <row r="22" spans="1:9" ht="15" customHeight="1" x14ac:dyDescent="0.15">
      <c r="A22" s="39">
        <v>18</v>
      </c>
      <c r="B22" s="40" t="s">
        <v>8675</v>
      </c>
      <c r="C22" s="41" t="s">
        <v>4095</v>
      </c>
      <c r="D22" s="42" t="e">
        <f t="shared" ca="1" si="0"/>
        <v>#REF!</v>
      </c>
      <c r="E22" s="47" t="e">
        <f ca="1">COUNTIFS('事業所・施設 一覧'!$D$4:OFFSET('事業所・施設 一覧'!$D2031,-1,0),"草加市",'事業所・施設 一覧'!#REF!:OFFSET('事業所・施設 一覧'!#REF!,-1,0),"単")</f>
        <v>#REF!</v>
      </c>
      <c r="F22" s="44" t="e">
        <f ca="1">COUNTIFS('事業所・施設 一覧'!$D$4:OFFSET('事業所・施設 一覧'!$D2031,-1,0),"草加市",'事業所・施設 一覧'!#REF!:OFFSET('事業所・施設 一覧'!#REF!,-1,0),"空・併")</f>
        <v>#REF!</v>
      </c>
      <c r="G22" s="44" t="e">
        <f ca="1">COUNTIFS('事業所・施設 一覧'!$D$4:OFFSET('事業所・施設 一覧'!$D2031,-1,0),"草加市",'事業所・施設 一覧'!#REF!:OFFSET('事業所・施設 一覧'!#REF!,-1,0),"空")</f>
        <v>#REF!</v>
      </c>
      <c r="H22" s="48" t="e">
        <f ca="1">COUNTIFS('事業所・施設 一覧'!$D$4:OFFSET('事業所・施設 一覧'!$D2031,-1,0),"草加市",'事業所・施設 一覧'!#REF!:OFFSET('事業所・施設 一覧'!#REF!,-1,0),"併")</f>
        <v>#REF!</v>
      </c>
      <c r="I22" s="46">
        <f ca="1">SUMIF('事業所・施設 一覧'!$D$4:OFFSET('事業所・施設 一覧'!$D2031,-1,0),"草加市",'事業所・施設 一覧'!$R$4:OFFSET('事業所・施設 一覧'!$R2031,-1,0))</f>
        <v>29</v>
      </c>
    </row>
    <row r="23" spans="1:9" ht="15" customHeight="1" x14ac:dyDescent="0.15">
      <c r="A23" s="39">
        <v>19</v>
      </c>
      <c r="B23" s="40" t="s">
        <v>8675</v>
      </c>
      <c r="C23" s="41" t="s">
        <v>1869</v>
      </c>
      <c r="D23" s="42" t="e">
        <f t="shared" ca="1" si="0"/>
        <v>#REF!</v>
      </c>
      <c r="E23" s="47" t="e">
        <f ca="1">COUNTIFS('事業所・施設 一覧'!$D$4:OFFSET('事業所・施設 一覧'!$D2031,-1,0),"越谷市",'事業所・施設 一覧'!#REF!:OFFSET('事業所・施設 一覧'!#REF!,-1,0),"単")</f>
        <v>#REF!</v>
      </c>
      <c r="F23" s="44" t="e">
        <f ca="1">COUNTIFS('事業所・施設 一覧'!$D$4:OFFSET('事業所・施設 一覧'!$D2031,-1,0),"越谷市",'事業所・施設 一覧'!#REF!:OFFSET('事業所・施設 一覧'!#REF!,-1,0),"空・併")</f>
        <v>#REF!</v>
      </c>
      <c r="G23" s="44" t="e">
        <f ca="1">COUNTIFS('事業所・施設 一覧'!$D$4:OFFSET('事業所・施設 一覧'!$D2031,-1,0),"越谷市",'事業所・施設 一覧'!#REF!:OFFSET('事業所・施設 一覧'!#REF!,-1,0),"空")</f>
        <v>#REF!</v>
      </c>
      <c r="H23" s="48" t="e">
        <f ca="1">COUNTIFS('事業所・施設 一覧'!$D$4:OFFSET('事業所・施設 一覧'!$D2031,-1,0),"越谷市",'事業所・施設 一覧'!#REF!:OFFSET('事業所・施設 一覧'!#REF!,-1,0),"併")</f>
        <v>#REF!</v>
      </c>
      <c r="I23" s="46">
        <f ca="1">SUMIF('事業所・施設 一覧'!$D$4:OFFSET('事業所・施設 一覧'!$D2031,-1,0),"越谷市",'事業所・施設 一覧'!$R$4:OFFSET('事業所・施設 一覧'!$R2031,-1,0))</f>
        <v>37</v>
      </c>
    </row>
    <row r="24" spans="1:9" ht="15" customHeight="1" x14ac:dyDescent="0.15">
      <c r="A24" s="39">
        <v>20</v>
      </c>
      <c r="B24" s="40" t="s">
        <v>8672</v>
      </c>
      <c r="C24" s="41" t="s">
        <v>4096</v>
      </c>
      <c r="D24" s="42" t="e">
        <f t="shared" ca="1" si="0"/>
        <v>#REF!</v>
      </c>
      <c r="E24" s="47" t="e">
        <f ca="1">COUNTIFS('事業所・施設 一覧'!$D$4:OFFSET('事業所・施設 一覧'!$D2031,-1,0),"蕨市",'事業所・施設 一覧'!#REF!:OFFSET('事業所・施設 一覧'!#REF!,-1,0),"単")</f>
        <v>#REF!</v>
      </c>
      <c r="F24" s="44" t="e">
        <f ca="1">COUNTIFS('事業所・施設 一覧'!$D$4:OFFSET('事業所・施設 一覧'!$D2031,-1,0),"蕨市",'事業所・施設 一覧'!#REF!:OFFSET('事業所・施設 一覧'!#REF!,-1,0),"空・併")</f>
        <v>#REF!</v>
      </c>
      <c r="G24" s="44" t="e">
        <f ca="1">COUNTIFS('事業所・施設 一覧'!$D$4:OFFSET('事業所・施設 一覧'!$D2031,-1,0),"蕨市",'事業所・施設 一覧'!#REF!:OFFSET('事業所・施設 一覧'!#REF!,-1,0),"空")</f>
        <v>#REF!</v>
      </c>
      <c r="H24" s="48" t="e">
        <f ca="1">COUNTIFS('事業所・施設 一覧'!$D$4:OFFSET('事業所・施設 一覧'!$D2031,-1,0),"蕨市",'事業所・施設 一覧'!#REF!:OFFSET('事業所・施設 一覧'!#REF!,-1,0),"併")</f>
        <v>#REF!</v>
      </c>
      <c r="I24" s="46">
        <f ca="1">SUMIF('事業所・施設 一覧'!$D$4:OFFSET('事業所・施設 一覧'!$D2031,-1,0),"蕨市",'事業所・施設 一覧'!$R$4:OFFSET('事業所・施設 一覧'!$R2031,-1,0))</f>
        <v>2</v>
      </c>
    </row>
    <row r="25" spans="1:9" ht="15" customHeight="1" x14ac:dyDescent="0.15">
      <c r="A25" s="39">
        <v>21</v>
      </c>
      <c r="B25" s="40" t="s">
        <v>8672</v>
      </c>
      <c r="C25" s="41" t="s">
        <v>4097</v>
      </c>
      <c r="D25" s="42" t="e">
        <f t="shared" ca="1" si="0"/>
        <v>#REF!</v>
      </c>
      <c r="E25" s="47" t="e">
        <f ca="1">COUNTIFS('事業所・施設 一覧'!$D$4:OFFSET('事業所・施設 一覧'!$D2031,-1,0),"戸田市",'事業所・施設 一覧'!#REF!:OFFSET('事業所・施設 一覧'!#REF!,-1,0),"単")</f>
        <v>#REF!</v>
      </c>
      <c r="F25" s="44" t="e">
        <f ca="1">COUNTIFS('事業所・施設 一覧'!$D$4:OFFSET('事業所・施設 一覧'!$D2031,-1,0),"戸田市",'事業所・施設 一覧'!#REF!:OFFSET('事業所・施設 一覧'!#REF!,-1,0),"空・併")</f>
        <v>#REF!</v>
      </c>
      <c r="G25" s="44" t="e">
        <f ca="1">COUNTIFS('事業所・施設 一覧'!$D$4:OFFSET('事業所・施設 一覧'!$D2031,-1,0),"戸田市",'事業所・施設 一覧'!#REF!:OFFSET('事業所・施設 一覧'!#REF!,-1,0),"空")</f>
        <v>#REF!</v>
      </c>
      <c r="H25" s="48" t="e">
        <f ca="1">COUNTIFS('事業所・施設 一覧'!$D$4:OFFSET('事業所・施設 一覧'!$D2031,-1,0),"戸田市",'事業所・施設 一覧'!#REF!:OFFSET('事業所・施設 一覧'!#REF!,-1,0),"併")</f>
        <v>#REF!</v>
      </c>
      <c r="I25" s="46">
        <f ca="1">SUMIF('事業所・施設 一覧'!$D$4:OFFSET('事業所・施設 一覧'!$D2031,-1,0),"戸田市",'事業所・施設 一覧'!$R$4:OFFSET('事業所・施設 一覧'!$R2031,-1,0))</f>
        <v>15</v>
      </c>
    </row>
    <row r="26" spans="1:9" ht="15" customHeight="1" x14ac:dyDescent="0.15">
      <c r="A26" s="39">
        <v>22</v>
      </c>
      <c r="B26" s="40" t="s">
        <v>5373</v>
      </c>
      <c r="C26" s="41" t="s">
        <v>4098</v>
      </c>
      <c r="D26" s="42" t="e">
        <f t="shared" ca="1" si="0"/>
        <v>#REF!</v>
      </c>
      <c r="E26" s="47" t="e">
        <f ca="1">COUNTIFS('事業所・施設 一覧'!$D$4:OFFSET('事業所・施設 一覧'!$D2031,-1,0),"入間市",'事業所・施設 一覧'!#REF!:OFFSET('事業所・施設 一覧'!#REF!,-1,0),"単")</f>
        <v>#REF!</v>
      </c>
      <c r="F26" s="44" t="e">
        <f ca="1">COUNTIFS('事業所・施設 一覧'!$D$4:OFFSET('事業所・施設 一覧'!$D2031,-1,0),"入間市",'事業所・施設 一覧'!#REF!:OFFSET('事業所・施設 一覧'!#REF!,-1,0),"空・併")</f>
        <v>#REF!</v>
      </c>
      <c r="G26" s="44" t="e">
        <f ca="1">COUNTIFS('事業所・施設 一覧'!$D$4:OFFSET('事業所・施設 一覧'!$D2031,-1,0),"入間市",'事業所・施設 一覧'!#REF!:OFFSET('事業所・施設 一覧'!#REF!,-1,0),"空")</f>
        <v>#REF!</v>
      </c>
      <c r="H26" s="48" t="e">
        <f ca="1">COUNTIFS('事業所・施設 一覧'!$D$4:OFFSET('事業所・施設 一覧'!$D2031,-1,0),"入間市",'事業所・施設 一覧'!#REF!:OFFSET('事業所・施設 一覧'!#REF!,-1,0),"併")</f>
        <v>#REF!</v>
      </c>
      <c r="I26" s="46">
        <f ca="1">SUMIF('事業所・施設 一覧'!$D$4:OFFSET('事業所・施設 一覧'!$D2031,-1,0),"入間市",'事業所・施設 一覧'!$R$4:OFFSET('事業所・施設 一覧'!$R2031,-1,0))</f>
        <v>21</v>
      </c>
    </row>
    <row r="27" spans="1:9" ht="15" customHeight="1" x14ac:dyDescent="0.15">
      <c r="A27" s="39">
        <v>23</v>
      </c>
      <c r="B27" s="40" t="s">
        <v>8677</v>
      </c>
      <c r="C27" s="41" t="s">
        <v>4099</v>
      </c>
      <c r="D27" s="42" t="e">
        <f t="shared" ca="1" si="0"/>
        <v>#REF!</v>
      </c>
      <c r="E27" s="47" t="e">
        <f ca="1">COUNTIFS('事業所・施設 一覧'!$D$4:OFFSET('事業所・施設 一覧'!$D2031,-1,0),"朝霞市",'事業所・施設 一覧'!#REF!:OFFSET('事業所・施設 一覧'!#REF!,-1,0),"単")</f>
        <v>#REF!</v>
      </c>
      <c r="F27" s="44" t="e">
        <f ca="1">COUNTIFS('事業所・施設 一覧'!$D$4:OFFSET('事業所・施設 一覧'!$D2031,-1,0),"朝霞市",'事業所・施設 一覧'!#REF!:OFFSET('事業所・施設 一覧'!#REF!,-1,0),"空・併")</f>
        <v>#REF!</v>
      </c>
      <c r="G27" s="44" t="e">
        <f ca="1">COUNTIFS('事業所・施設 一覧'!$D$4:OFFSET('事業所・施設 一覧'!$D2031,-1,0),"朝霞市",'事業所・施設 一覧'!#REF!:OFFSET('事業所・施設 一覧'!#REF!,-1,0),"空")</f>
        <v>#REF!</v>
      </c>
      <c r="H27" s="48" t="e">
        <f ca="1">COUNTIFS('事業所・施設 一覧'!$D$4:OFFSET('事業所・施設 一覧'!$D2031,-1,0),"朝霞市",'事業所・施設 一覧'!#REF!:OFFSET('事業所・施設 一覧'!#REF!,-1,0),"併")</f>
        <v>#REF!</v>
      </c>
      <c r="I27" s="46">
        <f ca="1">SUMIF('事業所・施設 一覧'!$D$4:OFFSET('事業所・施設 一覧'!$D2031,-1,0),"朝霞市",'事業所・施設 一覧'!$R$4:OFFSET('事業所・施設 一覧'!$R2031,-1,0))</f>
        <v>12</v>
      </c>
    </row>
    <row r="28" spans="1:9" s="37" customFormat="1" ht="15" customHeight="1" x14ac:dyDescent="0.15">
      <c r="A28" s="39">
        <v>24</v>
      </c>
      <c r="B28" s="40" t="s">
        <v>8677</v>
      </c>
      <c r="C28" s="41" t="s">
        <v>4100</v>
      </c>
      <c r="D28" s="42" t="e">
        <f t="shared" ca="1" si="0"/>
        <v>#REF!</v>
      </c>
      <c r="E28" s="47" t="e">
        <f ca="1">COUNTIFS('事業所・施設 一覧'!$D$4:OFFSET('事業所・施設 一覧'!$D2031,-1,0),"志木市",'事業所・施設 一覧'!#REF!:OFFSET('事業所・施設 一覧'!#REF!,-1,0),"単")</f>
        <v>#REF!</v>
      </c>
      <c r="F28" s="44" t="e">
        <f ca="1">COUNTIFS('事業所・施設 一覧'!$D$4:OFFSET('事業所・施設 一覧'!$D2031,-1,0),"志木市",'事業所・施設 一覧'!#REF!:OFFSET('事業所・施設 一覧'!#REF!,-1,0),"空・併")</f>
        <v>#REF!</v>
      </c>
      <c r="G28" s="44" t="e">
        <f ca="1">COUNTIFS('事業所・施設 一覧'!$D$4:OFFSET('事業所・施設 一覧'!$D2031,-1,0),"志木市",'事業所・施設 一覧'!#REF!:OFFSET('事業所・施設 一覧'!#REF!,-1,0),"空")</f>
        <v>#REF!</v>
      </c>
      <c r="H28" s="50" t="e">
        <f ca="1">COUNTIFS('事業所・施設 一覧'!$D$4:OFFSET('事業所・施設 一覧'!$D2031,-1,0),"志木市",'事業所・施設 一覧'!#REF!:OFFSET('事業所・施設 一覧'!#REF!,-1,0),"併")</f>
        <v>#REF!</v>
      </c>
      <c r="I28" s="51">
        <f ca="1">SUMIF('事業所・施設 一覧'!$D$4:OFFSET('事業所・施設 一覧'!$D2031,-1,0),"志木市",'事業所・施設 一覧'!$R$4:OFFSET('事業所・施設 一覧'!$R2031,-1,0))</f>
        <v>4</v>
      </c>
    </row>
    <row r="29" spans="1:9" ht="15" customHeight="1" x14ac:dyDescent="0.15">
      <c r="A29" s="39">
        <v>25</v>
      </c>
      <c r="B29" s="40" t="s">
        <v>8677</v>
      </c>
      <c r="C29" s="41" t="s">
        <v>4101</v>
      </c>
      <c r="D29" s="42" t="e">
        <f t="shared" ca="1" si="0"/>
        <v>#REF!</v>
      </c>
      <c r="E29" s="47" t="e">
        <f ca="1">COUNTIFS('事業所・施設 一覧'!$D$4:OFFSET('事業所・施設 一覧'!$D2031,-1,0),"和光市",'事業所・施設 一覧'!#REF!:OFFSET('事業所・施設 一覧'!#REF!,-1,0),"単")</f>
        <v>#REF!</v>
      </c>
      <c r="F29" s="44" t="e">
        <f ca="1">COUNTIFS('事業所・施設 一覧'!$D$4:OFFSET('事業所・施設 一覧'!$D2031,-1,0),"和光市",'事業所・施設 一覧'!#REF!:OFFSET('事業所・施設 一覧'!#REF!,-1,0),"空・併")</f>
        <v>#REF!</v>
      </c>
      <c r="G29" s="44" t="e">
        <f ca="1">COUNTIFS('事業所・施設 一覧'!$D$4:OFFSET('事業所・施設 一覧'!$D2031,-1,0),"和光市",'事業所・施設 一覧'!#REF!:OFFSET('事業所・施設 一覧'!#REF!,-1,0),"空")</f>
        <v>#REF!</v>
      </c>
      <c r="H29" s="48" t="e">
        <f ca="1">COUNTIFS('事業所・施設 一覧'!$D$4:OFFSET('事業所・施設 一覧'!$D2031,-1,0),"和光市",'事業所・施設 一覧'!#REF!:OFFSET('事業所・施設 一覧'!#REF!,-1,0),"併")</f>
        <v>#REF!</v>
      </c>
      <c r="I29" s="46">
        <f ca="1">SUMIF('事業所・施設 一覧'!$D$4:OFFSET('事業所・施設 一覧'!$D2031,-1,0),"和光市",'事業所・施設 一覧'!$R$4:OFFSET('事業所・施設 一覧'!$R2031,-1,0))</f>
        <v>5</v>
      </c>
    </row>
    <row r="30" spans="1:9" ht="15" customHeight="1" x14ac:dyDescent="0.15">
      <c r="A30" s="39">
        <v>26</v>
      </c>
      <c r="B30" s="40" t="s">
        <v>8677</v>
      </c>
      <c r="C30" s="41" t="s">
        <v>4102</v>
      </c>
      <c r="D30" s="42" t="e">
        <f t="shared" ca="1" si="0"/>
        <v>#REF!</v>
      </c>
      <c r="E30" s="47" t="e">
        <f ca="1">COUNTIFS('事業所・施設 一覧'!$D$4:OFFSET('事業所・施設 一覧'!$D2031,-1,0),"新座市",'事業所・施設 一覧'!#REF!:OFFSET('事業所・施設 一覧'!#REF!,-1,0),"単")</f>
        <v>#REF!</v>
      </c>
      <c r="F30" s="44" t="e">
        <f ca="1">COUNTIFS('事業所・施設 一覧'!$D$4:OFFSET('事業所・施設 一覧'!$D2031,-1,0),"新座市",'事業所・施設 一覧'!#REF!:OFFSET('事業所・施設 一覧'!#REF!,-1,0),"空・併")</f>
        <v>#REF!</v>
      </c>
      <c r="G30" s="44" t="e">
        <f ca="1">COUNTIFS('事業所・施設 一覧'!$D$4:OFFSET('事業所・施設 一覧'!$D2031,-1,0),"新座市",'事業所・施設 一覧'!#REF!:OFFSET('事業所・施設 一覧'!#REF!,-1,0),"空")</f>
        <v>#REF!</v>
      </c>
      <c r="H30" s="48" t="e">
        <f ca="1">COUNTIFS('事業所・施設 一覧'!$D$4:OFFSET('事業所・施設 一覧'!$D2031,-1,0),"新座市",'事業所・施設 一覧'!#REF!:OFFSET('事業所・施設 一覧'!#REF!,-1,0),"併")</f>
        <v>#REF!</v>
      </c>
      <c r="I30" s="46">
        <f ca="1">SUMIF('事業所・施設 一覧'!$D$4:OFFSET('事業所・施設 一覧'!$D2031,-1,0),"新座市",'事業所・施設 一覧'!$R$4:OFFSET('事業所・施設 一覧'!$R2031,-1,0))</f>
        <v>11</v>
      </c>
    </row>
    <row r="31" spans="1:9" ht="15" customHeight="1" x14ac:dyDescent="0.15">
      <c r="A31" s="39">
        <v>27</v>
      </c>
      <c r="B31" s="40" t="s">
        <v>8676</v>
      </c>
      <c r="C31" s="41" t="s">
        <v>4103</v>
      </c>
      <c r="D31" s="42" t="e">
        <f t="shared" ca="1" si="0"/>
        <v>#REF!</v>
      </c>
      <c r="E31" s="47" t="e">
        <f ca="1">COUNTIFS('事業所・施設 一覧'!$D$4:OFFSET('事業所・施設 一覧'!$D2031,-1,0),"桶川市",'事業所・施設 一覧'!#REF!:OFFSET('事業所・施設 一覧'!#REF!,-1,0),"単")</f>
        <v>#REF!</v>
      </c>
      <c r="F31" s="44" t="e">
        <f ca="1">COUNTIFS('事業所・施設 一覧'!$D$4:OFFSET('事業所・施設 一覧'!$D2031,-1,0),"桶川市",'事業所・施設 一覧'!#REF!:OFFSET('事業所・施設 一覧'!#REF!,-1,0),"空・併")</f>
        <v>#REF!</v>
      </c>
      <c r="G31" s="44" t="e">
        <f ca="1">COUNTIFS('事業所・施設 一覧'!$D$4:OFFSET('事業所・施設 一覧'!$D2031,-1,0),"桶川市",'事業所・施設 一覧'!#REF!:OFFSET('事業所・施設 一覧'!#REF!,-1,0),"空")</f>
        <v>#REF!</v>
      </c>
      <c r="H31" s="48" t="e">
        <f ca="1">COUNTIFS('事業所・施設 一覧'!$D$4:OFFSET('事業所・施設 一覧'!$D2031,-1,0),"桶川市",'事業所・施設 一覧'!#REF!:OFFSET('事業所・施設 一覧'!#REF!,-1,0),"併")</f>
        <v>#REF!</v>
      </c>
      <c r="I31" s="46">
        <f ca="1">SUMIF('事業所・施設 一覧'!$D$4:OFFSET('事業所・施設 一覧'!$D2031,-1,0),"桶川市",'事業所・施設 一覧'!$R$4:OFFSET('事業所・施設 一覧'!$R2031,-1,0))</f>
        <v>11</v>
      </c>
    </row>
    <row r="32" spans="1:9" ht="15" customHeight="1" x14ac:dyDescent="0.15">
      <c r="A32" s="39">
        <v>28</v>
      </c>
      <c r="B32" s="40" t="s">
        <v>8673</v>
      </c>
      <c r="C32" s="41" t="s">
        <v>1884</v>
      </c>
      <c r="D32" s="42" t="e">
        <f t="shared" ca="1" si="0"/>
        <v>#REF!</v>
      </c>
      <c r="E32" s="47" t="e">
        <f ca="1">COUNTIFS('事業所・施設 一覧'!$D$4:OFFSET('事業所・施設 一覧'!$D2031,-1,0),"久喜市",'事業所・施設 一覧'!#REF!:OFFSET('事業所・施設 一覧'!#REF!,-1,0),"単")</f>
        <v>#REF!</v>
      </c>
      <c r="F32" s="44" t="e">
        <f ca="1">COUNTIFS('事業所・施設 一覧'!$D$4:OFFSET('事業所・施設 一覧'!$D2031,-1,0),"久喜市",'事業所・施設 一覧'!#REF!:OFFSET('事業所・施設 一覧'!#REF!,-1,0),"空・併")</f>
        <v>#REF!</v>
      </c>
      <c r="G32" s="44" t="e">
        <f ca="1">COUNTIFS('事業所・施設 一覧'!$D$4:OFFSET('事業所・施設 一覧'!$D2031,-1,0),"久喜市",'事業所・施設 一覧'!#REF!:OFFSET('事業所・施設 一覧'!#REF!,-1,0),"空")</f>
        <v>#REF!</v>
      </c>
      <c r="H32" s="48" t="e">
        <f ca="1">COUNTIFS('事業所・施設 一覧'!$D$4:OFFSET('事業所・施設 一覧'!$D2031,-1,0),"久喜市",'事業所・施設 一覧'!#REF!:OFFSET('事業所・施設 一覧'!#REF!,-1,0),"併")</f>
        <v>#REF!</v>
      </c>
      <c r="I32" s="46">
        <f ca="1">SUMIF('事業所・施設 一覧'!$D$4:OFFSET('事業所・施設 一覧'!$D2031,-1,0),"久喜市",'事業所・施設 一覧'!$R$4:OFFSET('事業所・施設 一覧'!$R2031,-1,0))</f>
        <v>20</v>
      </c>
    </row>
    <row r="33" spans="1:9" ht="15" customHeight="1" x14ac:dyDescent="0.15">
      <c r="A33" s="39">
        <v>29</v>
      </c>
      <c r="B33" s="40" t="s">
        <v>8676</v>
      </c>
      <c r="C33" s="41" t="s">
        <v>4104</v>
      </c>
      <c r="D33" s="42" t="e">
        <f t="shared" ca="1" si="0"/>
        <v>#REF!</v>
      </c>
      <c r="E33" s="47" t="e">
        <f ca="1">COUNTIFS('事業所・施設 一覧'!$D$4:OFFSET('事業所・施設 一覧'!$D2031,-1,0),"北本市",'事業所・施設 一覧'!#REF!:OFFSET('事業所・施設 一覧'!#REF!,-1,0),"単")</f>
        <v>#REF!</v>
      </c>
      <c r="F33" s="44" t="e">
        <f ca="1">COUNTIFS('事業所・施設 一覧'!$D$4:OFFSET('事業所・施設 一覧'!$D2031,-1,0),"北本市",'事業所・施設 一覧'!#REF!:OFFSET('事業所・施設 一覧'!#REF!,-1,0),"空・併")</f>
        <v>#REF!</v>
      </c>
      <c r="G33" s="44" t="e">
        <f ca="1">COUNTIFS('事業所・施設 一覧'!$D$4:OFFSET('事業所・施設 一覧'!$D2031,-1,0),"北本市",'事業所・施設 一覧'!#REF!:OFFSET('事業所・施設 一覧'!#REF!,-1,0),"空")</f>
        <v>#REF!</v>
      </c>
      <c r="H33" s="48" t="e">
        <f ca="1">COUNTIFS('事業所・施設 一覧'!$D$4:OFFSET('事業所・施設 一覧'!$D2031,-1,0),"北本市",'事業所・施設 一覧'!#REF!:OFFSET('事業所・施設 一覧'!#REF!,-1,0),"併")</f>
        <v>#REF!</v>
      </c>
      <c r="I33" s="46">
        <f ca="1">SUMIF('事業所・施設 一覧'!$D$4:OFFSET('事業所・施設 一覧'!$D2031,-1,0),"北本市",'事業所・施設 一覧'!$R$4:OFFSET('事業所・施設 一覧'!$R2031,-1,0))</f>
        <v>2</v>
      </c>
    </row>
    <row r="34" spans="1:9" ht="15" customHeight="1" x14ac:dyDescent="0.15">
      <c r="A34" s="39">
        <v>30</v>
      </c>
      <c r="B34" s="40" t="s">
        <v>8675</v>
      </c>
      <c r="C34" s="41" t="s">
        <v>4105</v>
      </c>
      <c r="D34" s="42" t="e">
        <f t="shared" ca="1" si="0"/>
        <v>#REF!</v>
      </c>
      <c r="E34" s="47" t="e">
        <f ca="1">COUNTIFS('事業所・施設 一覧'!$D$4:OFFSET('事業所・施設 一覧'!$D2031,-1,0),"八潮市",'事業所・施設 一覧'!#REF!:OFFSET('事業所・施設 一覧'!#REF!,-1,0),"単")</f>
        <v>#REF!</v>
      </c>
      <c r="F34" s="44" t="e">
        <f ca="1">COUNTIFS('事業所・施設 一覧'!$D$4:OFFSET('事業所・施設 一覧'!$D2031,-1,0),"八潮市",'事業所・施設 一覧'!#REF!:OFFSET('事業所・施設 一覧'!#REF!,-1,0),"空・併")</f>
        <v>#REF!</v>
      </c>
      <c r="G34" s="44" t="e">
        <f ca="1">COUNTIFS('事業所・施設 一覧'!$D$4:OFFSET('事業所・施設 一覧'!$D2031,-1,0),"八潮市",'事業所・施設 一覧'!#REF!:OFFSET('事業所・施設 一覧'!#REF!,-1,0),"空")</f>
        <v>#REF!</v>
      </c>
      <c r="H34" s="48" t="e">
        <f ca="1">COUNTIFS('事業所・施設 一覧'!$D$4:OFFSET('事業所・施設 一覧'!$D2031,-1,0),"八潮市",'事業所・施設 一覧'!#REF!:OFFSET('事業所・施設 一覧'!#REF!,-1,0),"併")</f>
        <v>#REF!</v>
      </c>
      <c r="I34" s="46">
        <f ca="1">SUMIF('事業所・施設 一覧'!$D$4:OFFSET('事業所・施設 一覧'!$D2031,-1,0),"八潮市",'事業所・施設 一覧'!$R$4:OFFSET('事業所・施設 一覧'!$R2031,-1,0))</f>
        <v>51</v>
      </c>
    </row>
    <row r="35" spans="1:9" ht="15" customHeight="1" x14ac:dyDescent="0.15">
      <c r="A35" s="39">
        <v>31</v>
      </c>
      <c r="B35" s="40" t="s">
        <v>8677</v>
      </c>
      <c r="C35" s="41" t="s">
        <v>4106</v>
      </c>
      <c r="D35" s="42" t="e">
        <f t="shared" ca="1" si="0"/>
        <v>#REF!</v>
      </c>
      <c r="E35" s="47" t="e">
        <f ca="1">COUNTIFS('事業所・施設 一覧'!$D$4:OFFSET('事業所・施設 一覧'!$D2031,-1,0),"富士見市",'事業所・施設 一覧'!#REF!:OFFSET('事業所・施設 一覧'!#REF!,-1,0),"単")</f>
        <v>#REF!</v>
      </c>
      <c r="F35" s="44" t="e">
        <f ca="1">COUNTIFS('事業所・施設 一覧'!$D$4:OFFSET('事業所・施設 一覧'!$D2031,-1,0),"富士見市",'事業所・施設 一覧'!#REF!:OFFSET('事業所・施設 一覧'!#REF!,-1,0),"空・併")</f>
        <v>#REF!</v>
      </c>
      <c r="G35" s="44" t="e">
        <f ca="1">COUNTIFS('事業所・施設 一覧'!$D$4:OFFSET('事業所・施設 一覧'!$D2031,-1,0),"富士見市",'事業所・施設 一覧'!#REF!:OFFSET('事業所・施設 一覧'!#REF!,-1,0),"空")</f>
        <v>#REF!</v>
      </c>
      <c r="H35" s="48" t="e">
        <f ca="1">COUNTIFS('事業所・施設 一覧'!$D$4:OFFSET('事業所・施設 一覧'!$D2031,-1,0),"富士見市",'事業所・施設 一覧'!#REF!:OFFSET('事業所・施設 一覧'!#REF!,-1,0),"併")</f>
        <v>#REF!</v>
      </c>
      <c r="I35" s="46">
        <f ca="1">SUMIF('事業所・施設 一覧'!$D$4:OFFSET('事業所・施設 一覧'!$D2031,-1,0),"富士見市",'事業所・施設 一覧'!$R$4:OFFSET('事業所・施設 一覧'!$R2031,-1,0))</f>
        <v>7</v>
      </c>
    </row>
    <row r="36" spans="1:9" ht="15" customHeight="1" x14ac:dyDescent="0.15">
      <c r="A36" s="39">
        <v>32</v>
      </c>
      <c r="B36" s="40" t="s">
        <v>8675</v>
      </c>
      <c r="C36" s="41" t="s">
        <v>4107</v>
      </c>
      <c r="D36" s="42" t="e">
        <f t="shared" ca="1" si="0"/>
        <v>#REF!</v>
      </c>
      <c r="E36" s="47" t="e">
        <f ca="1">COUNTIFS('事業所・施設 一覧'!$D$4:OFFSET('事業所・施設 一覧'!$D2031,-1,0),"三郷市",'事業所・施設 一覧'!#REF!:OFFSET('事業所・施設 一覧'!#REF!,-1,0),"単")</f>
        <v>#REF!</v>
      </c>
      <c r="F36" s="44" t="e">
        <f ca="1">COUNTIFS('事業所・施設 一覧'!$D$4:OFFSET('事業所・施設 一覧'!$D2031,-1,0),"三郷市",'事業所・施設 一覧'!#REF!:OFFSET('事業所・施設 一覧'!#REF!,-1,0),"空・併")</f>
        <v>#REF!</v>
      </c>
      <c r="G36" s="44" t="e">
        <f ca="1">COUNTIFS('事業所・施設 一覧'!$D$4:OFFSET('事業所・施設 一覧'!$D2031,-1,0),"三郷市",'事業所・施設 一覧'!#REF!:OFFSET('事業所・施設 一覧'!#REF!,-1,0),"空")</f>
        <v>#REF!</v>
      </c>
      <c r="H36" s="48" t="e">
        <f ca="1">COUNTIFS('事業所・施設 一覧'!$D$4:OFFSET('事業所・施設 一覧'!$D2031,-1,0),"三郷市",'事業所・施設 一覧'!#REF!:OFFSET('事業所・施設 一覧'!#REF!,-1,0),"併")</f>
        <v>#REF!</v>
      </c>
      <c r="I36" s="46">
        <f ca="1">SUMIF('事業所・施設 一覧'!$D$4:OFFSET('事業所・施設 一覧'!$D2031,-1,0),"三郷市",'事業所・施設 一覧'!$R$4:OFFSET('事業所・施設 一覧'!$R2031,-1,0))</f>
        <v>4</v>
      </c>
    </row>
    <row r="37" spans="1:9" ht="15" customHeight="1" x14ac:dyDescent="0.15">
      <c r="A37" s="39">
        <v>33</v>
      </c>
      <c r="B37" s="40" t="s">
        <v>8673</v>
      </c>
      <c r="C37" s="41" t="s">
        <v>4108</v>
      </c>
      <c r="D37" s="42" t="e">
        <f t="shared" ca="1" si="0"/>
        <v>#REF!</v>
      </c>
      <c r="E37" s="47" t="e">
        <f ca="1">COUNTIFS('事業所・施設 一覧'!$D$4:OFFSET('事業所・施設 一覧'!$D2031,-1,0),"蓮田市",'事業所・施設 一覧'!#REF!:OFFSET('事業所・施設 一覧'!#REF!,-1,0),"単")</f>
        <v>#REF!</v>
      </c>
      <c r="F37" s="44" t="e">
        <f ca="1">COUNTIFS('事業所・施設 一覧'!$D$4:OFFSET('事業所・施設 一覧'!$D2031,-1,0),"蓮田市",'事業所・施設 一覧'!#REF!:OFFSET('事業所・施設 一覧'!#REF!,-1,0),"空・併")</f>
        <v>#REF!</v>
      </c>
      <c r="G37" s="44" t="e">
        <f ca="1">COUNTIFS('事業所・施設 一覧'!$D$4:OFFSET('事業所・施設 一覧'!$D2031,-1,0),"蓮田市",'事業所・施設 一覧'!#REF!:OFFSET('事業所・施設 一覧'!#REF!,-1,0),"空")</f>
        <v>#REF!</v>
      </c>
      <c r="H37" s="48" t="e">
        <f ca="1">COUNTIFS('事業所・施設 一覧'!$D$4:OFFSET('事業所・施設 一覧'!$D2031,-1,0),"蓮田市",'事業所・施設 一覧'!#REF!:OFFSET('事業所・施設 一覧'!#REF!,-1,0),"併")</f>
        <v>#REF!</v>
      </c>
      <c r="I37" s="46">
        <f ca="1">SUMIF('事業所・施設 一覧'!$D$4:OFFSET('事業所・施設 一覧'!$D2031,-1,0),"蓮田市",'事業所・施設 一覧'!$R$4:OFFSET('事業所・施設 一覧'!$R2031,-1,0))</f>
        <v>2</v>
      </c>
    </row>
    <row r="38" spans="1:9" ht="15" customHeight="1" x14ac:dyDescent="0.15">
      <c r="A38" s="39">
        <v>34</v>
      </c>
      <c r="B38" s="40" t="s">
        <v>5373</v>
      </c>
      <c r="C38" s="41" t="s">
        <v>4109</v>
      </c>
      <c r="D38" s="42" t="e">
        <f t="shared" ca="1" si="0"/>
        <v>#REF!</v>
      </c>
      <c r="E38" s="47" t="e">
        <f ca="1">COUNTIFS('事業所・施設 一覧'!$D$4:OFFSET('事業所・施設 一覧'!$D2031,-1,0),"坂戸市",'事業所・施設 一覧'!#REF!:OFFSET('事業所・施設 一覧'!#REF!,-1,0),"単")</f>
        <v>#REF!</v>
      </c>
      <c r="F38" s="44" t="e">
        <f ca="1">COUNTIFS('事業所・施設 一覧'!$D$4:OFFSET('事業所・施設 一覧'!$D2031,-1,0),"坂戸市",'事業所・施設 一覧'!#REF!:OFFSET('事業所・施設 一覧'!#REF!,-1,0),"空・併")</f>
        <v>#REF!</v>
      </c>
      <c r="G38" s="44" t="e">
        <f ca="1">COUNTIFS('事業所・施設 一覧'!$D$4:OFFSET('事業所・施設 一覧'!$D2031,-1,0),"坂戸市",'事業所・施設 一覧'!#REF!:OFFSET('事業所・施設 一覧'!#REF!,-1,0),"空")</f>
        <v>#REF!</v>
      </c>
      <c r="H38" s="48" t="e">
        <f ca="1">COUNTIFS('事業所・施設 一覧'!$D$4:OFFSET('事業所・施設 一覧'!$D2031,-1,0),"坂戸市",'事業所・施設 一覧'!#REF!:OFFSET('事業所・施設 一覧'!#REF!,-1,0),"併")</f>
        <v>#REF!</v>
      </c>
      <c r="I38" s="46">
        <f ca="1">SUMIF('事業所・施設 一覧'!$D$4:OFFSET('事業所・施設 一覧'!$D2031,-1,0),"坂戸市",'事業所・施設 一覧'!$R$4:OFFSET('事業所・施設 一覧'!$R2031,-1,0))</f>
        <v>5</v>
      </c>
    </row>
    <row r="39" spans="1:9" ht="15" customHeight="1" x14ac:dyDescent="0.15">
      <c r="A39" s="39">
        <v>35</v>
      </c>
      <c r="B39" s="40" t="s">
        <v>8673</v>
      </c>
      <c r="C39" s="41" t="s">
        <v>4110</v>
      </c>
      <c r="D39" s="42" t="e">
        <f t="shared" ca="1" si="0"/>
        <v>#REF!</v>
      </c>
      <c r="E39" s="47" t="e">
        <f ca="1">COUNTIFS('事業所・施設 一覧'!$D$4:OFFSET('事業所・施設 一覧'!$D2031,-1,0),"幸手市",'事業所・施設 一覧'!#REF!:OFFSET('事業所・施設 一覧'!#REF!,-1,0),"単")</f>
        <v>#REF!</v>
      </c>
      <c r="F39" s="44" t="e">
        <f ca="1">COUNTIFS('事業所・施設 一覧'!$D$4:OFFSET('事業所・施設 一覧'!$D2031,-1,0),"幸手市",'事業所・施設 一覧'!#REF!:OFFSET('事業所・施設 一覧'!#REF!,-1,0),"空・併")</f>
        <v>#REF!</v>
      </c>
      <c r="G39" s="44" t="e">
        <f ca="1">COUNTIFS('事業所・施設 一覧'!$D$4:OFFSET('事業所・施設 一覧'!$D2031,-1,0),"幸手市",'事業所・施設 一覧'!#REF!:OFFSET('事業所・施設 一覧'!#REF!,-1,0),"空")</f>
        <v>#REF!</v>
      </c>
      <c r="H39" s="48" t="e">
        <f ca="1">COUNTIFS('事業所・施設 一覧'!$D$4:OFFSET('事業所・施設 一覧'!$D2031,-1,0),"幸手市",'事業所・施設 一覧'!#REF!:OFFSET('事業所・施設 一覧'!#REF!,-1,0),"併")</f>
        <v>#REF!</v>
      </c>
      <c r="I39" s="46">
        <f ca="1">SUMIF('事業所・施設 一覧'!$D$4:OFFSET('事業所・施設 一覧'!$D2031,-1,0),"幸手市",'事業所・施設 一覧'!$R$4:OFFSET('事業所・施設 一覧'!$R2031,-1,0))</f>
        <v>9</v>
      </c>
    </row>
    <row r="40" spans="1:9" ht="15" customHeight="1" x14ac:dyDescent="0.15">
      <c r="A40" s="39">
        <v>36</v>
      </c>
      <c r="B40" s="40" t="s">
        <v>8670</v>
      </c>
      <c r="C40" s="41" t="s">
        <v>4111</v>
      </c>
      <c r="D40" s="42" t="e">
        <f t="shared" ca="1" si="0"/>
        <v>#REF!</v>
      </c>
      <c r="E40" s="47" t="e">
        <f ca="1">COUNTIFS('事業所・施設 一覧'!$D$4:OFFSET('事業所・施設 一覧'!$D2031,-1,0),"鶴ヶ島市",'事業所・施設 一覧'!#REF!:OFFSET('事業所・施設 一覧'!#REF!,-1,0),"単")</f>
        <v>#REF!</v>
      </c>
      <c r="F40" s="44" t="e">
        <f ca="1">COUNTIFS('事業所・施設 一覧'!$D$4:OFFSET('事業所・施設 一覧'!$D2031,-1,0),"鶴ヶ島市",'事業所・施設 一覧'!#REF!:OFFSET('事業所・施設 一覧'!#REF!,-1,0),"空・併")</f>
        <v>#REF!</v>
      </c>
      <c r="G40" s="44" t="e">
        <f ca="1">COUNTIFS('事業所・施設 一覧'!$D$4:OFFSET('事業所・施設 一覧'!$D2031,-1,0),"鶴ヶ島市",'事業所・施設 一覧'!#REF!:OFFSET('事業所・施設 一覧'!#REF!,-1,0),"空")</f>
        <v>#REF!</v>
      </c>
      <c r="H40" s="48" t="e">
        <f ca="1">COUNTIFS('事業所・施設 一覧'!$D$4:OFFSET('事業所・施設 一覧'!$D2031,-1,0),"鶴ヶ島市",'事業所・施設 一覧'!#REF!:OFFSET('事業所・施設 一覧'!#REF!,-1,0),"併")</f>
        <v>#REF!</v>
      </c>
      <c r="I40" s="46">
        <f ca="1">SUMIF('事業所・施設 一覧'!$D$4:OFFSET('事業所・施設 一覧'!$D2031,-1,0),"鶴ヶ島市",'事業所・施設 一覧'!$R$4:OFFSET('事業所・施設 一覧'!$R2031,-1,0))</f>
        <v>9</v>
      </c>
    </row>
    <row r="41" spans="1:9" s="38" customFormat="1" ht="15.75" customHeight="1" x14ac:dyDescent="0.15">
      <c r="A41" s="39">
        <v>37</v>
      </c>
      <c r="B41" s="40" t="s">
        <v>5373</v>
      </c>
      <c r="C41" s="41" t="s">
        <v>4112</v>
      </c>
      <c r="D41" s="42" t="e">
        <f t="shared" ca="1" si="0"/>
        <v>#REF!</v>
      </c>
      <c r="E41" s="47" t="e">
        <f ca="1">COUNTIFS('事業所・施設 一覧'!$D$4:OFFSET('事業所・施設 一覧'!$D2031,-1,0),"日高市",'事業所・施設 一覧'!#REF!:OFFSET('事業所・施設 一覧'!#REF!,-1,0),"単")</f>
        <v>#REF!</v>
      </c>
      <c r="F41" s="44" t="e">
        <f ca="1">COUNTIFS('事業所・施設 一覧'!$D$4:OFFSET('事業所・施設 一覧'!$D2031,-1,0),"日高市",'事業所・施設 一覧'!#REF!:OFFSET('事業所・施設 一覧'!#REF!,-1,0),"空・併")</f>
        <v>#REF!</v>
      </c>
      <c r="G41" s="44" t="e">
        <f ca="1">COUNTIFS('事業所・施設 一覧'!$D$4:OFFSET('事業所・施設 一覧'!$D2031,-1,0),"日高市",'事業所・施設 一覧'!#REF!:OFFSET('事業所・施設 一覧'!#REF!,-1,0),"空")</f>
        <v>#REF!</v>
      </c>
      <c r="H41" s="48" t="e">
        <f ca="1">COUNTIFS('事業所・施設 一覧'!$D$4:OFFSET('事業所・施設 一覧'!$D2031,-1,0),"日高市",'事業所・施設 一覧'!#REF!:OFFSET('事業所・施設 一覧'!#REF!,-1,0),"併")</f>
        <v>#REF!</v>
      </c>
      <c r="I41" s="46">
        <f ca="1">SUMIF('事業所・施設 一覧'!$D$4:OFFSET('事業所・施設 一覧'!$D2031,-1,0),"日高市",'事業所・施設 一覧'!$R$4:OFFSET('事業所・施設 一覧'!$R2031,-1,0))</f>
        <v>8</v>
      </c>
    </row>
    <row r="42" spans="1:9" s="37" customFormat="1" ht="15" customHeight="1" x14ac:dyDescent="0.15">
      <c r="A42" s="39">
        <v>38</v>
      </c>
      <c r="B42" s="40" t="s">
        <v>8675</v>
      </c>
      <c r="C42" s="41" t="s">
        <v>4113</v>
      </c>
      <c r="D42" s="42" t="e">
        <f t="shared" ca="1" si="0"/>
        <v>#REF!</v>
      </c>
      <c r="E42" s="47" t="e">
        <f ca="1">COUNTIFS('事業所・施設 一覧'!$D$4:OFFSET('事業所・施設 一覧'!$D2031,-1,0),"吉川市",'事業所・施設 一覧'!#REF!:OFFSET('事業所・施設 一覧'!#REF!,-1,0),"単")</f>
        <v>#REF!</v>
      </c>
      <c r="F42" s="44" t="e">
        <f ca="1">COUNTIFS('事業所・施設 一覧'!$D$4:OFFSET('事業所・施設 一覧'!$D2031,-1,0),"吉川市",'事業所・施設 一覧'!#REF!:OFFSET('事業所・施設 一覧'!#REF!,-1,0),"空・併")</f>
        <v>#REF!</v>
      </c>
      <c r="G42" s="44" t="e">
        <f ca="1">COUNTIFS('事業所・施設 一覧'!$D$4:OFFSET('事業所・施設 一覧'!$D2031,-1,0),"吉川市",'事業所・施設 一覧'!#REF!:OFFSET('事業所・施設 一覧'!#REF!,-1,0),"空")</f>
        <v>#REF!</v>
      </c>
      <c r="H42" s="48" t="e">
        <f ca="1">COUNTIFS('事業所・施設 一覧'!$D$4:OFFSET('事業所・施設 一覧'!$D2031,-1,0),"吉川市",'事業所・施設 一覧'!#REF!:OFFSET('事業所・施設 一覧'!#REF!,-1,0),"併")</f>
        <v>#REF!</v>
      </c>
      <c r="I42" s="46">
        <f ca="1">SUMIF('事業所・施設 一覧'!$D$4:OFFSET('事業所・施設 一覧'!$D2031,-1,0),"吉川市",'事業所・施設 一覧'!$R$4:OFFSET('事業所・施設 一覧'!$R2031,-1,0))</f>
        <v>4</v>
      </c>
    </row>
    <row r="43" spans="1:9" ht="15" customHeight="1" x14ac:dyDescent="0.15">
      <c r="A43" s="39">
        <v>39</v>
      </c>
      <c r="B43" s="40" t="s">
        <v>8677</v>
      </c>
      <c r="C43" s="41" t="s">
        <v>4114</v>
      </c>
      <c r="D43" s="42" t="e">
        <f t="shared" ca="1" si="0"/>
        <v>#REF!</v>
      </c>
      <c r="E43" s="47" t="e">
        <f ca="1">COUNTIFS('事業所・施設 一覧'!$D$4:OFFSET('事業所・施設 一覧'!$D2031,-1,0),"ふじみ野市",'事業所・施設 一覧'!#REF!:OFFSET('事業所・施設 一覧'!#REF!,-1,0),"単")</f>
        <v>#REF!</v>
      </c>
      <c r="F43" s="44" t="e">
        <f ca="1">COUNTIFS('事業所・施設 一覧'!$D$4:OFFSET('事業所・施設 一覧'!$D2031,-1,0),"ふじみ野市",'事業所・施設 一覧'!#REF!:OFFSET('事業所・施設 一覧'!#REF!,-1,0),"空・併")</f>
        <v>#REF!</v>
      </c>
      <c r="G43" s="44" t="e">
        <f ca="1">COUNTIFS('事業所・施設 一覧'!$D$4:OFFSET('事業所・施設 一覧'!$D2031,-1,0),"ふじみ野市",'事業所・施設 一覧'!#REF!:OFFSET('事業所・施設 一覧'!#REF!,-1,0),"空")</f>
        <v>#REF!</v>
      </c>
      <c r="H43" s="48" t="e">
        <f ca="1">COUNTIFS('事業所・施設 一覧'!$D$4:OFFSET('事業所・施設 一覧'!$D2031,-1,0),"ふじみ野市",'事業所・施設 一覧'!#REF!:OFFSET('事業所・施設 一覧'!#REF!,-1,0),"併")</f>
        <v>#REF!</v>
      </c>
      <c r="I43" s="46">
        <f ca="1">SUMIF('事業所・施設 一覧'!$D$4:OFFSET('事業所・施設 一覧'!$D2031,-1,0),"ふじみ野市",'事業所・施設 一覧'!$R$4:OFFSET('事業所・施設 一覧'!$R2031,-1,0))</f>
        <v>6</v>
      </c>
    </row>
    <row r="44" spans="1:9" ht="15" customHeight="1" x14ac:dyDescent="0.15">
      <c r="A44" s="39">
        <v>40</v>
      </c>
      <c r="B44" s="40" t="s">
        <v>8673</v>
      </c>
      <c r="C44" s="41" t="s">
        <v>8678</v>
      </c>
      <c r="D44" s="42" t="e">
        <f t="shared" ca="1" si="0"/>
        <v>#REF!</v>
      </c>
      <c r="E44" s="47" t="e">
        <f ca="1">COUNTIFS('事業所・施設 一覧'!$D$4:OFFSET('事業所・施設 一覧'!$D2031,-1,0),"白岡市",'事業所・施設 一覧'!#REF!:OFFSET('事業所・施設 一覧'!#REF!,-1,0),"単")</f>
        <v>#REF!</v>
      </c>
      <c r="F44" s="44" t="e">
        <f ca="1">COUNTIFS('事業所・施設 一覧'!$D$4:OFFSET('事業所・施設 一覧'!$D2031,-1,0),"白岡市",'事業所・施設 一覧'!#REF!:OFFSET('事業所・施設 一覧'!#REF!,-1,0),"空・併")</f>
        <v>#REF!</v>
      </c>
      <c r="G44" s="44" t="e">
        <f ca="1">COUNTIFS('事業所・施設 一覧'!$D$4:OFFSET('事業所・施設 一覧'!$D2031,-1,0),"白岡市",'事業所・施設 一覧'!#REF!:OFFSET('事業所・施設 一覧'!#REF!,-1,0),"空")</f>
        <v>#REF!</v>
      </c>
      <c r="H44" s="48" t="e">
        <f ca="1">COUNTIFS('事業所・施設 一覧'!$D$4:OFFSET('事業所・施設 一覧'!$D2031,-1,0),"白岡市",'事業所・施設 一覧'!#REF!:OFFSET('事業所・施設 一覧'!#REF!,-1,0),"併")</f>
        <v>#REF!</v>
      </c>
      <c r="I44" s="46">
        <f ca="1">SUMIF('事業所・施設 一覧'!$D$4:OFFSET('事業所・施設 一覧'!$D2031,-1,0),"白岡市",'事業所・施設 一覧'!$R$4:OFFSET('事業所・施設 一覧'!$R2031,-1,0))</f>
        <v>12</v>
      </c>
    </row>
    <row r="45" spans="1:9" ht="15" customHeight="1" x14ac:dyDescent="0.15">
      <c r="A45" s="39">
        <v>41</v>
      </c>
      <c r="B45" s="40" t="s">
        <v>8676</v>
      </c>
      <c r="C45" s="41" t="s">
        <v>4116</v>
      </c>
      <c r="D45" s="42" t="e">
        <f t="shared" ca="1" si="0"/>
        <v>#REF!</v>
      </c>
      <c r="E45" s="47" t="e">
        <f ca="1">COUNTIFS('事業所・施設 一覧'!$D$4:OFFSET('事業所・施設 一覧'!$D2031,-1,0),"*伊奈町*",'事業所・施設 一覧'!#REF!:OFFSET('事業所・施設 一覧'!#REF!,-1,0),"単")</f>
        <v>#REF!</v>
      </c>
      <c r="F45" s="44" t="e">
        <f ca="1">COUNTIFS('事業所・施設 一覧'!$D$4:OFFSET('事業所・施設 一覧'!$D2031,-1,0),"*伊奈町*",'事業所・施設 一覧'!#REF!:OFFSET('事業所・施設 一覧'!#REF!,-1,0),"空・併")</f>
        <v>#REF!</v>
      </c>
      <c r="G45" s="44" t="e">
        <f ca="1">COUNTIFS('事業所・施設 一覧'!$D$4:OFFSET('事業所・施設 一覧'!$D2031,-1,0),"*伊奈町*",'事業所・施設 一覧'!#REF!:OFFSET('事業所・施設 一覧'!#REF!,-1,0),"空")</f>
        <v>#REF!</v>
      </c>
      <c r="H45" s="48" t="e">
        <f ca="1">COUNTIFS('事業所・施設 一覧'!$D$4:OFFSET('事業所・施設 一覧'!$D2031,-1,0),"*伊奈町*",'事業所・施設 一覧'!#REF!:OFFSET('事業所・施設 一覧'!#REF!,-1,0),"併")</f>
        <v>#REF!</v>
      </c>
      <c r="I45" s="46">
        <f ca="1">SUMIF('事業所・施設 一覧'!$D$4:OFFSET('事業所・施設 一覧'!$D2031,-1,0),"*伊奈町*",'事業所・施設 一覧'!$R$4:OFFSET('事業所・施設 一覧'!$R2031,-1,0))</f>
        <v>22</v>
      </c>
    </row>
    <row r="46" spans="1:9" ht="15" customHeight="1" x14ac:dyDescent="0.15">
      <c r="A46" s="39">
        <v>42</v>
      </c>
      <c r="B46" s="40" t="s">
        <v>8677</v>
      </c>
      <c r="C46" s="41" t="s">
        <v>4117</v>
      </c>
      <c r="D46" s="42" t="e">
        <f t="shared" ca="1" si="0"/>
        <v>#REF!</v>
      </c>
      <c r="E46" s="47" t="e">
        <f ca="1">COUNTIFS('事業所・施設 一覧'!$D$4:OFFSET('事業所・施設 一覧'!$D2031,-1,0),"*三芳町*",'事業所・施設 一覧'!#REF!:OFFSET('事業所・施設 一覧'!#REF!,-1,0),"単")</f>
        <v>#REF!</v>
      </c>
      <c r="F46" s="44" t="e">
        <f ca="1">COUNTIFS('事業所・施設 一覧'!$D$4:OFFSET('事業所・施設 一覧'!$D2031,-1,0),"*三芳町*",'事業所・施設 一覧'!#REF!:OFFSET('事業所・施設 一覧'!#REF!,-1,0),"空・併")</f>
        <v>#REF!</v>
      </c>
      <c r="G46" s="44" t="e">
        <f ca="1">COUNTIFS('事業所・施設 一覧'!$D$4:OFFSET('事業所・施設 一覧'!$D2031,-1,0),"*三芳町*",'事業所・施設 一覧'!#REF!:OFFSET('事業所・施設 一覧'!#REF!,-1,0),"空")</f>
        <v>#REF!</v>
      </c>
      <c r="H46" s="48" t="e">
        <f ca="1">COUNTIFS('事業所・施設 一覧'!$D$4:OFFSET('事業所・施設 一覧'!$D2031,-1,0),"*三芳町*",'事業所・施設 一覧'!#REF!:OFFSET('事業所・施設 一覧'!#REF!,-1,0),"併")</f>
        <v>#REF!</v>
      </c>
      <c r="I46" s="46">
        <f ca="1">SUMIF('事業所・施設 一覧'!$D$4:OFFSET('事業所・施設 一覧'!$D2031,-1,0),"*三芳町*",'事業所・施設 一覧'!$R$4:OFFSET('事業所・施設 一覧'!$R2031,-1,0))</f>
        <v>35</v>
      </c>
    </row>
    <row r="47" spans="1:9" ht="15" customHeight="1" x14ac:dyDescent="0.15">
      <c r="A47" s="39">
        <v>43</v>
      </c>
      <c r="B47" s="40" t="s">
        <v>8670</v>
      </c>
      <c r="C47" s="41" t="s">
        <v>4118</v>
      </c>
      <c r="D47" s="42" t="e">
        <f t="shared" ca="1" si="0"/>
        <v>#REF!</v>
      </c>
      <c r="E47" s="47" t="e">
        <f ca="1">COUNTIFS('事業所・施設 一覧'!$D$4:OFFSET('事業所・施設 一覧'!$D2031,-1,0),"*毛呂山町*",'事業所・施設 一覧'!#REF!:OFFSET('事業所・施設 一覧'!#REF!,-1,0),"単")</f>
        <v>#REF!</v>
      </c>
      <c r="F47" s="44" t="e">
        <f ca="1">COUNTIFS('事業所・施設 一覧'!$D$4:OFFSET('事業所・施設 一覧'!$D2031,-1,0),"*毛呂山町*",'事業所・施設 一覧'!#REF!:OFFSET('事業所・施設 一覧'!#REF!,-1,0),"空・併")</f>
        <v>#REF!</v>
      </c>
      <c r="G47" s="44" t="e">
        <f ca="1">COUNTIFS('事業所・施設 一覧'!$D$4:OFFSET('事業所・施設 一覧'!$D2031,-1,0),"*毛呂山町*",'事業所・施設 一覧'!#REF!:OFFSET('事業所・施設 一覧'!#REF!,-1,0),"空")</f>
        <v>#REF!</v>
      </c>
      <c r="H47" s="48" t="e">
        <f ca="1">COUNTIFS('事業所・施設 一覧'!$D$4:OFFSET('事業所・施設 一覧'!$D2031,-1,0),"*毛呂山町*",'事業所・施設 一覧'!#REF!:OFFSET('事業所・施設 一覧'!#REF!,-1,0),"併")</f>
        <v>#REF!</v>
      </c>
      <c r="I47" s="46">
        <f ca="1">SUMIF('事業所・施設 一覧'!$D$4:OFFSET('事業所・施設 一覧'!$D2031,-1,0),"*毛呂山町*",'事業所・施設 一覧'!$R$4:OFFSET('事業所・施設 一覧'!$R2031,-1,0))</f>
        <v>35</v>
      </c>
    </row>
    <row r="48" spans="1:9" s="37" customFormat="1" ht="15" customHeight="1" x14ac:dyDescent="0.15">
      <c r="A48" s="39">
        <v>44</v>
      </c>
      <c r="B48" s="40" t="s">
        <v>8670</v>
      </c>
      <c r="C48" s="41" t="s">
        <v>4119</v>
      </c>
      <c r="D48" s="42" t="e">
        <f t="shared" ca="1" si="0"/>
        <v>#REF!</v>
      </c>
      <c r="E48" s="47" t="e">
        <f ca="1">COUNTIFS('事業所・施設 一覧'!$D$4:OFFSET('事業所・施設 一覧'!$D2031,-1,0),"*越生町*",'事業所・施設 一覧'!#REF!:OFFSET('事業所・施設 一覧'!#REF!,-1,0),"単")</f>
        <v>#REF!</v>
      </c>
      <c r="F48" s="44" t="e">
        <f ca="1">COUNTIFS('事業所・施設 一覧'!$D$4:OFFSET('事業所・施設 一覧'!$D2031,-1,0),"*越生町*",'事業所・施設 一覧'!#REF!:OFFSET('事業所・施設 一覧'!#REF!,-1,0),"空・併")</f>
        <v>#REF!</v>
      </c>
      <c r="G48" s="44" t="e">
        <f ca="1">COUNTIFS('事業所・施設 一覧'!$D$4:OFFSET('事業所・施設 一覧'!$D2031,-1,0),"*越生町*",'事業所・施設 一覧'!#REF!:OFFSET('事業所・施設 一覧'!#REF!,-1,0),"空")</f>
        <v>#REF!</v>
      </c>
      <c r="H48" s="48" t="e">
        <f ca="1">COUNTIFS('事業所・施設 一覧'!$D$4:OFFSET('事業所・施設 一覧'!$D2031,-1,0),"*越生町*",'事業所・施設 一覧'!#REF!:OFFSET('事業所・施設 一覧'!#REF!,-1,0),"併")</f>
        <v>#REF!</v>
      </c>
      <c r="I48" s="46">
        <f ca="1">SUMIF('事業所・施設 一覧'!$D$4:OFFSET('事業所・施設 一覧'!$D2031,-1,0),"*越生町*",'事業所・施設 一覧'!$R$4:OFFSET('事業所・施設 一覧'!$R2031,-1,0))</f>
        <v>0</v>
      </c>
    </row>
    <row r="49" spans="1:9" ht="15" customHeight="1" x14ac:dyDescent="0.15">
      <c r="A49" s="39">
        <v>45</v>
      </c>
      <c r="B49" s="40" t="s">
        <v>8670</v>
      </c>
      <c r="C49" s="41" t="s">
        <v>4120</v>
      </c>
      <c r="D49" s="42" t="e">
        <f t="shared" ca="1" si="0"/>
        <v>#REF!</v>
      </c>
      <c r="E49" s="47" t="e">
        <f ca="1">COUNTIFS('事業所・施設 一覧'!$D$4:OFFSET('事業所・施設 一覧'!$D2031,-1,0),"*滑川町*",'事業所・施設 一覧'!#REF!:OFFSET('事業所・施設 一覧'!#REF!,-1,0),"単")</f>
        <v>#REF!</v>
      </c>
      <c r="F49" s="44" t="e">
        <f ca="1">COUNTIFS('事業所・施設 一覧'!$D$4:OFFSET('事業所・施設 一覧'!$D2031,-1,0),"*滑川町*",'事業所・施設 一覧'!#REF!:OFFSET('事業所・施設 一覧'!#REF!,-1,0),"空・併")</f>
        <v>#REF!</v>
      </c>
      <c r="G49" s="44" t="e">
        <f ca="1">COUNTIFS('事業所・施設 一覧'!$D$4:OFFSET('事業所・施設 一覧'!$D2031,-1,0),"*滑川町*",'事業所・施設 一覧'!#REF!:OFFSET('事業所・施設 一覧'!#REF!,-1,0),"空")</f>
        <v>#REF!</v>
      </c>
      <c r="H49" s="48" t="e">
        <f ca="1">COUNTIFS('事業所・施設 一覧'!$D$4:OFFSET('事業所・施設 一覧'!$D2031,-1,0),"*滑川町*",'事業所・施設 一覧'!#REF!:OFFSET('事業所・施設 一覧'!#REF!,-1,0),"併")</f>
        <v>#REF!</v>
      </c>
      <c r="I49" s="46">
        <f ca="1">SUMIF('事業所・施設 一覧'!$D$4:OFFSET('事業所・施設 一覧'!$D2031,-1,0),"*滑川町*",'事業所・施設 一覧'!$R$4:OFFSET('事業所・施設 一覧'!$R2031,-1,0))</f>
        <v>6</v>
      </c>
    </row>
    <row r="50" spans="1:9" ht="15" customHeight="1" x14ac:dyDescent="0.15">
      <c r="A50" s="39">
        <v>46</v>
      </c>
      <c r="B50" s="40" t="s">
        <v>8670</v>
      </c>
      <c r="C50" s="41" t="s">
        <v>4121</v>
      </c>
      <c r="D50" s="42" t="e">
        <f t="shared" ca="1" si="0"/>
        <v>#REF!</v>
      </c>
      <c r="E50" s="47" t="e">
        <f ca="1">COUNTIFS('事業所・施設 一覧'!$D$4:OFFSET('事業所・施設 一覧'!$D2031,-1,0),"*嵐山町*",'事業所・施設 一覧'!#REF!:OFFSET('事業所・施設 一覧'!#REF!,-1,0),"単")</f>
        <v>#REF!</v>
      </c>
      <c r="F50" s="44" t="e">
        <f ca="1">COUNTIFS('事業所・施設 一覧'!$D$4:OFFSET('事業所・施設 一覧'!$D2031,-1,0),"*嵐山町*",'事業所・施設 一覧'!#REF!:OFFSET('事業所・施設 一覧'!#REF!,-1,0),"空・併")</f>
        <v>#REF!</v>
      </c>
      <c r="G50" s="44" t="e">
        <f ca="1">COUNTIFS('事業所・施設 一覧'!$D$4:OFFSET('事業所・施設 一覧'!$D2031,-1,0),"*嵐山町*",'事業所・施設 一覧'!#REF!:OFFSET('事業所・施設 一覧'!#REF!,-1,0),"空")</f>
        <v>#REF!</v>
      </c>
      <c r="H50" s="48" t="e">
        <f ca="1">COUNTIFS('事業所・施設 一覧'!$D$4:OFFSET('事業所・施設 一覧'!$D2031,-1,0),"*嵐山町*",'事業所・施設 一覧'!#REF!:OFFSET('事業所・施設 一覧'!#REF!,-1,0),"併")</f>
        <v>#REF!</v>
      </c>
      <c r="I50" s="51">
        <f ca="1">SUMIF('事業所・施設 一覧'!$D$4:OFFSET('事業所・施設 一覧'!$D2031,-1,0),"*嵐山町*",'事業所・施設 一覧'!$R$4:OFFSET('事業所・施設 一覧'!$R2031,-1,0))</f>
        <v>40</v>
      </c>
    </row>
    <row r="51" spans="1:9" s="37" customFormat="1" ht="15" customHeight="1" x14ac:dyDescent="0.15">
      <c r="A51" s="39">
        <v>47</v>
      </c>
      <c r="B51" s="40" t="s">
        <v>8670</v>
      </c>
      <c r="C51" s="41" t="s">
        <v>4122</v>
      </c>
      <c r="D51" s="42" t="e">
        <f t="shared" ca="1" si="0"/>
        <v>#REF!</v>
      </c>
      <c r="E51" s="47" t="e">
        <f ca="1">COUNTIFS('事業所・施設 一覧'!$D$4:OFFSET('事業所・施設 一覧'!$D2031,-1,0),"*小川町*",'事業所・施設 一覧'!#REF!:OFFSET('事業所・施設 一覧'!#REF!,-1,0),"単")</f>
        <v>#REF!</v>
      </c>
      <c r="F51" s="44" t="e">
        <f ca="1">COUNTIFS('事業所・施設 一覧'!$D$4:OFFSET('事業所・施設 一覧'!$D2031,-1,0),"*小川町*",'事業所・施設 一覧'!#REF!:OFFSET('事業所・施設 一覧'!#REF!,-1,0),"空・併")</f>
        <v>#REF!</v>
      </c>
      <c r="G51" s="44" t="e">
        <f ca="1">COUNTIFS('事業所・施設 一覧'!$D$4:OFFSET('事業所・施設 一覧'!$D2031,-1,0),"*小川町*",'事業所・施設 一覧'!#REF!:OFFSET('事業所・施設 一覧'!#REF!,-1,0),"空")</f>
        <v>#REF!</v>
      </c>
      <c r="H51" s="48" t="e">
        <f ca="1">COUNTIFS('事業所・施設 一覧'!$D$4:OFFSET('事業所・施設 一覧'!$D2031,-1,0),"*小川町*",'事業所・施設 一覧'!#REF!:OFFSET('事業所・施設 一覧'!#REF!,-1,0),"併")</f>
        <v>#REF!</v>
      </c>
      <c r="I51" s="46">
        <f ca="1">SUMIF('事業所・施設 一覧'!$D$4:OFFSET('事業所・施設 一覧'!$D2031,-1,0),"*小川町*",'事業所・施設 一覧'!$R$4:OFFSET('事業所・施設 一覧'!$R2031,-1,0))</f>
        <v>0</v>
      </c>
    </row>
    <row r="52" spans="1:9" ht="15" customHeight="1" x14ac:dyDescent="0.15">
      <c r="A52" s="39">
        <v>48</v>
      </c>
      <c r="B52" s="40" t="s">
        <v>8670</v>
      </c>
      <c r="C52" s="41" t="s">
        <v>4123</v>
      </c>
      <c r="D52" s="42" t="e">
        <f t="shared" ca="1" si="0"/>
        <v>#REF!</v>
      </c>
      <c r="E52" s="47" t="e">
        <f ca="1">COUNTIFS('事業所・施設 一覧'!$D$4:OFFSET('事業所・施設 一覧'!$D2031,-1,0),"*川島町*",'事業所・施設 一覧'!#REF!:OFFSET('事業所・施設 一覧'!#REF!,-1,0),"単")</f>
        <v>#REF!</v>
      </c>
      <c r="F52" s="44" t="e">
        <f ca="1">COUNTIFS('事業所・施設 一覧'!$D$4:OFFSET('事業所・施設 一覧'!$D2031,-1,0),"*川島町*",'事業所・施設 一覧'!#REF!:OFFSET('事業所・施設 一覧'!#REF!,-1,0),"空・併")</f>
        <v>#REF!</v>
      </c>
      <c r="G52" s="44" t="e">
        <f ca="1">COUNTIFS('事業所・施設 一覧'!$D$4:OFFSET('事業所・施設 一覧'!$D2031,-1,0),"*川島町*",'事業所・施設 一覧'!#REF!:OFFSET('事業所・施設 一覧'!#REF!,-1,0),"空")</f>
        <v>#REF!</v>
      </c>
      <c r="H52" s="48" t="e">
        <f ca="1">COUNTIFS('事業所・施設 一覧'!$D$4:OFFSET('事業所・施設 一覧'!$D2031,-1,0),"*川島町*",'事業所・施設 一覧'!#REF!:OFFSET('事業所・施設 一覧'!#REF!,-1,0),"併")</f>
        <v>#REF!</v>
      </c>
      <c r="I52" s="46">
        <f ca="1">SUMIF('事業所・施設 一覧'!$D$4:OFFSET('事業所・施設 一覧'!$D2031,-1,0),"*川島町*",'事業所・施設 一覧'!$R$4:OFFSET('事業所・施設 一覧'!$R2031,-1,0))</f>
        <v>4</v>
      </c>
    </row>
    <row r="53" spans="1:9" ht="15" customHeight="1" x14ac:dyDescent="0.15">
      <c r="A53" s="39">
        <v>49</v>
      </c>
      <c r="B53" s="40" t="s">
        <v>8670</v>
      </c>
      <c r="C53" s="41" t="s">
        <v>4124</v>
      </c>
      <c r="D53" s="42" t="e">
        <f t="shared" ca="1" si="0"/>
        <v>#REF!</v>
      </c>
      <c r="E53" s="47" t="e">
        <f ca="1">COUNTIFS('事業所・施設 一覧'!$D$4:OFFSET('事業所・施設 一覧'!$D2031,-1,0),"*吉見町*",'事業所・施設 一覧'!#REF!:OFFSET('事業所・施設 一覧'!#REF!,-1,0),"単")</f>
        <v>#REF!</v>
      </c>
      <c r="F53" s="44" t="e">
        <f ca="1">COUNTIFS('事業所・施設 一覧'!$D$4:OFFSET('事業所・施設 一覧'!$D2031,-1,0),"*吉見町*",'事業所・施設 一覧'!#REF!:OFFSET('事業所・施設 一覧'!#REF!,-1,0),"空・併")</f>
        <v>#REF!</v>
      </c>
      <c r="G53" s="44" t="e">
        <f ca="1">COUNTIFS('事業所・施設 一覧'!$D$4:OFFSET('事業所・施設 一覧'!$D2031,-1,0),"*吉見町*",'事業所・施設 一覧'!#REF!:OFFSET('事業所・施設 一覧'!#REF!,-1,0),"空")</f>
        <v>#REF!</v>
      </c>
      <c r="H53" s="48" t="e">
        <f ca="1">COUNTIFS('事業所・施設 一覧'!$D$4:OFFSET('事業所・施設 一覧'!$D2031,-1,0),"*吉見町*",'事業所・施設 一覧'!#REF!:OFFSET('事業所・施設 一覧'!#REF!,-1,0),"併")</f>
        <v>#REF!</v>
      </c>
      <c r="I53" s="46">
        <f ca="1">SUMIF('事業所・施設 一覧'!$D$4:OFFSET('事業所・施設 一覧'!$D2031,-1,0),"*吉見町*",'事業所・施設 一覧'!$R$4:OFFSET('事業所・施設 一覧'!$R2031,-1,0))</f>
        <v>7</v>
      </c>
    </row>
    <row r="54" spans="1:9" ht="15" customHeight="1" x14ac:dyDescent="0.15">
      <c r="A54" s="39">
        <v>50</v>
      </c>
      <c r="B54" s="40" t="s">
        <v>8670</v>
      </c>
      <c r="C54" s="41" t="s">
        <v>4125</v>
      </c>
      <c r="D54" s="42" t="e">
        <f t="shared" ca="1" si="0"/>
        <v>#REF!</v>
      </c>
      <c r="E54" s="47" t="e">
        <f ca="1">COUNTIFS('事業所・施設 一覧'!$D$4:OFFSET('事業所・施設 一覧'!$D2031,-1,0),"*鳩山町*",'事業所・施設 一覧'!#REF!:OFFSET('事業所・施設 一覧'!#REF!,-1,0),"単")</f>
        <v>#REF!</v>
      </c>
      <c r="F54" s="44" t="e">
        <f ca="1">COUNTIFS('事業所・施設 一覧'!$D$4:OFFSET('事業所・施設 一覧'!$D2031,-1,0),"*鳩山町*",'事業所・施設 一覧'!#REF!:OFFSET('事業所・施設 一覧'!#REF!,-1,0),"空・併")</f>
        <v>#REF!</v>
      </c>
      <c r="G54" s="44" t="e">
        <f ca="1">COUNTIFS('事業所・施設 一覧'!$D$4:OFFSET('事業所・施設 一覧'!$D2031,-1,0),"*鳩山町*",'事業所・施設 一覧'!#REF!:OFFSET('事業所・施設 一覧'!#REF!,-1,0),"空")</f>
        <v>#REF!</v>
      </c>
      <c r="H54" s="48" t="e">
        <f ca="1">COUNTIFS('事業所・施設 一覧'!$D$4:OFFSET('事業所・施設 一覧'!$D2031,-1,0),"*鳩山町*",'事業所・施設 一覧'!#REF!:OFFSET('事業所・施設 一覧'!#REF!,-1,0),"併")</f>
        <v>#REF!</v>
      </c>
      <c r="I54" s="46">
        <f ca="1">SUMIF('事業所・施設 一覧'!$D$4:OFFSET('事業所・施設 一覧'!$D2031,-1,0),"*鳩山町*",'事業所・施設 一覧'!$R$4:OFFSET('事業所・施設 一覧'!$R2031,-1,0))</f>
        <v>6</v>
      </c>
    </row>
    <row r="55" spans="1:9" s="37" customFormat="1" ht="15" customHeight="1" x14ac:dyDescent="0.15">
      <c r="A55" s="39">
        <v>51</v>
      </c>
      <c r="B55" s="40" t="s">
        <v>8670</v>
      </c>
      <c r="C55" s="41" t="s">
        <v>4126</v>
      </c>
      <c r="D55" s="42" t="e">
        <f t="shared" ca="1" si="0"/>
        <v>#REF!</v>
      </c>
      <c r="E55" s="47" t="e">
        <f ca="1">COUNTIFS('事業所・施設 一覧'!$D$4:OFFSET('事業所・施設 一覧'!$D2031,-1,0),"*ときがわ町*",'事業所・施設 一覧'!#REF!:OFFSET('事業所・施設 一覧'!#REF!,-1,0),"単")</f>
        <v>#REF!</v>
      </c>
      <c r="F55" s="44" t="e">
        <f ca="1">COUNTIFS('事業所・施設 一覧'!$D$4:OFFSET('事業所・施設 一覧'!$D2031,-1,0),"*ときがわ町*",'事業所・施設 一覧'!#REF!:OFFSET('事業所・施設 一覧'!#REF!,-1,0),"空・併")</f>
        <v>#REF!</v>
      </c>
      <c r="G55" s="44" t="e">
        <f ca="1">COUNTIFS('事業所・施設 一覧'!$D$4:OFFSET('事業所・施設 一覧'!$D2031,-1,0),"*ときがわ町*",'事業所・施設 一覧'!#REF!:OFFSET('事業所・施設 一覧'!#REF!,-1,0),"空")</f>
        <v>#REF!</v>
      </c>
      <c r="H55" s="48" t="e">
        <f ca="1">COUNTIFS('事業所・施設 一覧'!$D$4:OFFSET('事業所・施設 一覧'!$D2031,-1,0),"*ときがわ町*",'事業所・施設 一覧'!#REF!:OFFSET('事業所・施設 一覧'!#REF!,-1,0),"併")</f>
        <v>#REF!</v>
      </c>
      <c r="I55" s="46">
        <f ca="1">SUMIF('事業所・施設 一覧'!$D$4:OFFSET('事業所・施設 一覧'!$D2031,-1,0),"*ときがわ町*",'事業所・施設 一覧'!$R$4:OFFSET('事業所・施設 一覧'!$R2031,-1,0))</f>
        <v>1</v>
      </c>
    </row>
    <row r="56" spans="1:9" ht="15" customHeight="1" x14ac:dyDescent="0.15">
      <c r="A56" s="39">
        <v>52</v>
      </c>
      <c r="B56" s="40" t="s">
        <v>8674</v>
      </c>
      <c r="C56" s="41" t="s">
        <v>4135</v>
      </c>
      <c r="D56" s="42" t="e">
        <f t="shared" ca="1" si="0"/>
        <v>#REF!</v>
      </c>
      <c r="E56" s="47" t="e">
        <f ca="1">COUNTIFS('事業所・施設 一覧'!$D$4:OFFSET('事業所・施設 一覧'!$D2031,-1,0),"*横瀬町*",'事業所・施設 一覧'!#REF!:OFFSET('事業所・施設 一覧'!#REF!,-1,0),"単")</f>
        <v>#REF!</v>
      </c>
      <c r="F56" s="44" t="e">
        <f ca="1">COUNTIFS('事業所・施設 一覧'!$D$4:OFFSET('事業所・施設 一覧'!$D2031,-1,0),"*横瀬町*",'事業所・施設 一覧'!#REF!:OFFSET('事業所・施設 一覧'!#REF!,-1,0),"空・併")</f>
        <v>#REF!</v>
      </c>
      <c r="G56" s="44" t="e">
        <f ca="1">COUNTIFS('事業所・施設 一覧'!$D$4:OFFSET('事業所・施設 一覧'!$D2031,-1,0),"*横瀬町*",'事業所・施設 一覧'!#REF!:OFFSET('事業所・施設 一覧'!#REF!,-1,0),"空")</f>
        <v>#REF!</v>
      </c>
      <c r="H56" s="48" t="e">
        <f ca="1">COUNTIFS('事業所・施設 一覧'!$D$4:OFFSET('事業所・施設 一覧'!$D2031,-1,0),"*横瀬町*",'事業所・施設 一覧'!#REF!:OFFSET('事業所・施設 一覧'!#REF!,-1,0),"併")</f>
        <v>#REF!</v>
      </c>
      <c r="I56" s="46">
        <f ca="1">SUMIF('事業所・施設 一覧'!$D$4:OFFSET('事業所・施設 一覧'!$D2031,-1,0),"*横瀬町*",'事業所・施設 一覧'!$R$4:OFFSET('事業所・施設 一覧'!$R2031,-1,0))</f>
        <v>0</v>
      </c>
    </row>
    <row r="57" spans="1:9" ht="15" customHeight="1" x14ac:dyDescent="0.15">
      <c r="A57" s="39">
        <v>53</v>
      </c>
      <c r="B57" s="40" t="s">
        <v>8674</v>
      </c>
      <c r="C57" s="41" t="s">
        <v>4136</v>
      </c>
      <c r="D57" s="42" t="e">
        <f t="shared" ca="1" si="0"/>
        <v>#REF!</v>
      </c>
      <c r="E57" s="47" t="e">
        <f ca="1">COUNTIFS('事業所・施設 一覧'!$D$4:OFFSET('事業所・施設 一覧'!$D2031,-1,0),"*皆野町*",'事業所・施設 一覧'!#REF!:OFFSET('事業所・施設 一覧'!#REF!,-1,0),"単")</f>
        <v>#REF!</v>
      </c>
      <c r="F57" s="44" t="e">
        <f ca="1">COUNTIFS('事業所・施設 一覧'!$D$4:OFFSET('事業所・施設 一覧'!$D2031,-1,0),"*皆野町*",'事業所・施設 一覧'!#REF!:OFFSET('事業所・施設 一覧'!#REF!,-1,0),"空・併")</f>
        <v>#REF!</v>
      </c>
      <c r="G57" s="44" t="e">
        <f ca="1">COUNTIFS('事業所・施設 一覧'!$D$4:OFFSET('事業所・施設 一覧'!$D2031,-1,0),"*皆野町*",'事業所・施設 一覧'!#REF!:OFFSET('事業所・施設 一覧'!#REF!,-1,0),"空")</f>
        <v>#REF!</v>
      </c>
      <c r="H57" s="48" t="e">
        <f ca="1">COUNTIFS('事業所・施設 一覧'!$D$4:OFFSET('事業所・施設 一覧'!$D2031,-1,0),"*皆野町*",'事業所・施設 一覧'!#REF!:OFFSET('事業所・施設 一覧'!#REF!,-1,0),"併")</f>
        <v>#REF!</v>
      </c>
      <c r="I57" s="46">
        <f ca="1">SUMIF('事業所・施設 一覧'!$D$4:OFFSET('事業所・施設 一覧'!$D2031,-1,0),"*皆野町*",'事業所・施設 一覧'!$R$4:OFFSET('事業所・施設 一覧'!$R2031,-1,0))</f>
        <v>3</v>
      </c>
    </row>
    <row r="58" spans="1:9" s="37" customFormat="1" ht="15" customHeight="1" x14ac:dyDescent="0.15">
      <c r="A58" s="39">
        <v>54</v>
      </c>
      <c r="B58" s="40" t="s">
        <v>8674</v>
      </c>
      <c r="C58" s="41" t="s">
        <v>4127</v>
      </c>
      <c r="D58" s="42" t="e">
        <f t="shared" ca="1" si="0"/>
        <v>#REF!</v>
      </c>
      <c r="E58" s="47" t="e">
        <f ca="1">COUNTIFS('事業所・施設 一覧'!$D$4:OFFSET('事業所・施設 一覧'!$D2031,-1,0),"*長瀞町*",'事業所・施設 一覧'!#REF!:OFFSET('事業所・施設 一覧'!#REF!,-1,0),"単")</f>
        <v>#REF!</v>
      </c>
      <c r="F58" s="44" t="e">
        <f ca="1">COUNTIFS('事業所・施設 一覧'!$D$4:OFFSET('事業所・施設 一覧'!$D2031,-1,0),"*長瀞町*",'事業所・施設 一覧'!#REF!:OFFSET('事業所・施設 一覧'!#REF!,-1,0),"空・併")</f>
        <v>#REF!</v>
      </c>
      <c r="G58" s="44" t="e">
        <f ca="1">COUNTIFS('事業所・施設 一覧'!$D$4:OFFSET('事業所・施設 一覧'!$D2031,-1,0),"*長瀞町*",'事業所・施設 一覧'!#REF!:OFFSET('事業所・施設 一覧'!#REF!,-1,0),"空")</f>
        <v>#REF!</v>
      </c>
      <c r="H58" s="48" t="e">
        <f ca="1">COUNTIFS('事業所・施設 一覧'!$D$4:OFFSET('事業所・施設 一覧'!$D2031,-1,0),"*長瀞町*",'事業所・施設 一覧'!#REF!:OFFSET('事業所・施設 一覧'!#REF!,-1,0),"併")</f>
        <v>#REF!</v>
      </c>
      <c r="I58" s="46">
        <f ca="1">SUMIF('事業所・施設 一覧'!$D$4:OFFSET('事業所・施設 一覧'!$D2031,-1,0),"*長瀞町*",'事業所・施設 一覧'!$R$4:OFFSET('事業所・施設 一覧'!$R2031,-1,0))</f>
        <v>0</v>
      </c>
    </row>
    <row r="59" spans="1:9" ht="15" customHeight="1" x14ac:dyDescent="0.15">
      <c r="A59" s="39">
        <v>55</v>
      </c>
      <c r="B59" s="40" t="s">
        <v>8674</v>
      </c>
      <c r="C59" s="41" t="s">
        <v>4128</v>
      </c>
      <c r="D59" s="42" t="e">
        <f t="shared" ca="1" si="0"/>
        <v>#REF!</v>
      </c>
      <c r="E59" s="47" t="e">
        <f ca="1">COUNTIFS('事業所・施設 一覧'!$D$4:OFFSET('事業所・施設 一覧'!$D2031,-1,0),"*小鹿野町*",'事業所・施設 一覧'!#REF!:OFFSET('事業所・施設 一覧'!#REF!,-1,0),"単")</f>
        <v>#REF!</v>
      </c>
      <c r="F59" s="44" t="e">
        <f ca="1">COUNTIFS('事業所・施設 一覧'!$D$4:OFFSET('事業所・施設 一覧'!$D2031,-1,0),"*小鹿野町*",'事業所・施設 一覧'!#REF!:OFFSET('事業所・施設 一覧'!#REF!,-1,0),"空・併")</f>
        <v>#REF!</v>
      </c>
      <c r="G59" s="44" t="e">
        <f ca="1">COUNTIFS('事業所・施設 一覧'!$D$4:OFFSET('事業所・施設 一覧'!$D2031,-1,0),"*小鹿野町*",'事業所・施設 一覧'!#REF!:OFFSET('事業所・施設 一覧'!#REF!,-1,0),"空")</f>
        <v>#REF!</v>
      </c>
      <c r="H59" s="48" t="e">
        <f ca="1">COUNTIFS('事業所・施設 一覧'!$D$4:OFFSET('事業所・施設 一覧'!$D2031,-1,0),"*小鹿野町*",'事業所・施設 一覧'!#REF!:OFFSET('事業所・施設 一覧'!#REF!,-1,0),"併")</f>
        <v>#REF!</v>
      </c>
      <c r="I59" s="46">
        <f ca="1">SUMIF('事業所・施設 一覧'!$D$4:OFFSET('事業所・施設 一覧'!$D2031,-1,0),"*小鹿野町*",'事業所・施設 一覧'!$R$4:OFFSET('事業所・施設 一覧'!$R2031,-1,0))</f>
        <v>4</v>
      </c>
    </row>
    <row r="60" spans="1:9" s="37" customFormat="1" ht="15" customHeight="1" x14ac:dyDescent="0.15">
      <c r="A60" s="39">
        <v>56</v>
      </c>
      <c r="B60" s="40" t="s">
        <v>8670</v>
      </c>
      <c r="C60" s="41" t="s">
        <v>4137</v>
      </c>
      <c r="D60" s="42" t="e">
        <f t="shared" ca="1" si="0"/>
        <v>#REF!</v>
      </c>
      <c r="E60" s="47" t="e">
        <f ca="1">COUNTIFS('事業所・施設 一覧'!$D$4:OFFSET('事業所・施設 一覧'!$D2031,-1,0),"*東秩父村*",'事業所・施設 一覧'!#REF!:OFFSET('事業所・施設 一覧'!#REF!,-1,0),"単")</f>
        <v>#REF!</v>
      </c>
      <c r="F60" s="44" t="e">
        <f ca="1">COUNTIFS('事業所・施設 一覧'!$D$4:OFFSET('事業所・施設 一覧'!$D2031,-1,0),"*東秩父村*",'事業所・施設 一覧'!#REF!:OFFSET('事業所・施設 一覧'!#REF!,-1,0),"空・併")</f>
        <v>#REF!</v>
      </c>
      <c r="G60" s="44" t="e">
        <f ca="1">COUNTIFS('事業所・施設 一覧'!$D$4:OFFSET('事業所・施設 一覧'!$D2031,-1,0),"*東秩父村*",'事業所・施設 一覧'!#REF!:OFFSET('事業所・施設 一覧'!#REF!,-1,0),"空")</f>
        <v>#REF!</v>
      </c>
      <c r="H60" s="48" t="e">
        <f ca="1">COUNTIFS('事業所・施設 一覧'!$D$4:OFFSET('事業所・施設 一覧'!$D2031,-1,0),"*東秩父村*",'事業所・施設 一覧'!#REF!:OFFSET('事業所・施設 一覧'!#REF!,-1,0),"併")</f>
        <v>#REF!</v>
      </c>
      <c r="I60" s="46">
        <f ca="1">SUMIF('事業所・施設 一覧'!$D$4:OFFSET('事業所・施設 一覧'!$D2031,-1,0),"*東秩父村*",'事業所・施設 一覧'!$R$4:OFFSET('事業所・施設 一覧'!$R2031,-1,0))</f>
        <v>0</v>
      </c>
    </row>
    <row r="61" spans="1:9" ht="15" customHeight="1" x14ac:dyDescent="0.15">
      <c r="A61" s="39">
        <v>57</v>
      </c>
      <c r="B61" s="40" t="s">
        <v>8671</v>
      </c>
      <c r="C61" s="41" t="s">
        <v>4129</v>
      </c>
      <c r="D61" s="42" t="e">
        <f t="shared" ca="1" si="0"/>
        <v>#REF!</v>
      </c>
      <c r="E61" s="47" t="e">
        <f ca="1">COUNTIFS('事業所・施設 一覧'!$D$4:OFFSET('事業所・施設 一覧'!$D2031,-1,0),"*美里町*",'事業所・施設 一覧'!#REF!:OFFSET('事業所・施設 一覧'!#REF!,-1,0),"単")</f>
        <v>#REF!</v>
      </c>
      <c r="F61" s="44" t="e">
        <f ca="1">COUNTIFS('事業所・施設 一覧'!$D$4:OFFSET('事業所・施設 一覧'!$D2031,-1,0),"*美里町*",'事業所・施設 一覧'!#REF!:OFFSET('事業所・施設 一覧'!#REF!,-1,0),"空・併")</f>
        <v>#REF!</v>
      </c>
      <c r="G61" s="44" t="e">
        <f ca="1">COUNTIFS('事業所・施設 一覧'!$D$4:OFFSET('事業所・施設 一覧'!$D2031,-1,0),"*美里町*",'事業所・施設 一覧'!#REF!:OFFSET('事業所・施設 一覧'!#REF!,-1,0),"空")</f>
        <v>#REF!</v>
      </c>
      <c r="H61" s="48" t="e">
        <f ca="1">COUNTIFS('事業所・施設 一覧'!$D$4:OFFSET('事業所・施設 一覧'!$D2031,-1,0),"*美里町*",'事業所・施設 一覧'!#REF!:OFFSET('事業所・施設 一覧'!#REF!,-1,0),"併")</f>
        <v>#REF!</v>
      </c>
      <c r="I61" s="46">
        <f ca="1">SUMIF('事業所・施設 一覧'!$D$4:OFFSET('事業所・施設 一覧'!$D2031,-1,0),"*美里町*",'事業所・施設 一覧'!$R$4:OFFSET('事業所・施設 一覧'!$R2031,-1,0))</f>
        <v>22</v>
      </c>
    </row>
    <row r="62" spans="1:9" ht="15" customHeight="1" x14ac:dyDescent="0.15">
      <c r="A62" s="39">
        <v>58</v>
      </c>
      <c r="B62" s="40" t="s">
        <v>8671</v>
      </c>
      <c r="C62" s="41" t="s">
        <v>4130</v>
      </c>
      <c r="D62" s="42" t="e">
        <f t="shared" ca="1" si="0"/>
        <v>#REF!</v>
      </c>
      <c r="E62" s="47" t="e">
        <f ca="1">COUNTIFS('事業所・施設 一覧'!$D$4:OFFSET('事業所・施設 一覧'!$D2031,-1,0),"*神川町*",'事業所・施設 一覧'!#REF!:OFFSET('事業所・施設 一覧'!#REF!,-1,0),"単")</f>
        <v>#REF!</v>
      </c>
      <c r="F62" s="44" t="e">
        <f ca="1">COUNTIFS('事業所・施設 一覧'!$D$4:OFFSET('事業所・施設 一覧'!$D2031,-1,0),"*神川町*",'事業所・施設 一覧'!#REF!:OFFSET('事業所・施設 一覧'!#REF!,-1,0),"空・併")</f>
        <v>#REF!</v>
      </c>
      <c r="G62" s="44" t="e">
        <f ca="1">COUNTIFS('事業所・施設 一覧'!$D$4:OFFSET('事業所・施設 一覧'!$D2031,-1,0),"*神川町*",'事業所・施設 一覧'!#REF!:OFFSET('事業所・施設 一覧'!#REF!,-1,0),"空")</f>
        <v>#REF!</v>
      </c>
      <c r="H62" s="48" t="e">
        <f ca="1">COUNTIFS('事業所・施設 一覧'!$D$4:OFFSET('事業所・施設 一覧'!$D2031,-1,0),"*神川町*",'事業所・施設 一覧'!#REF!:OFFSET('事業所・施設 一覧'!#REF!,-1,0),"併")</f>
        <v>#REF!</v>
      </c>
      <c r="I62" s="46">
        <f ca="1">SUMIF('事業所・施設 一覧'!$D$4:OFFSET('事業所・施設 一覧'!$D2031,-1,0),"*神川町*",'事業所・施設 一覧'!$R$4:OFFSET('事業所・施設 一覧'!$R2031,-1,0))</f>
        <v>7</v>
      </c>
    </row>
    <row r="63" spans="1:9" ht="15" customHeight="1" x14ac:dyDescent="0.15">
      <c r="A63" s="39">
        <v>59</v>
      </c>
      <c r="B63" s="40" t="s">
        <v>8671</v>
      </c>
      <c r="C63" s="41" t="s">
        <v>4138</v>
      </c>
      <c r="D63" s="42" t="e">
        <f t="shared" ca="1" si="0"/>
        <v>#REF!</v>
      </c>
      <c r="E63" s="47" t="e">
        <f ca="1">COUNTIFS('事業所・施設 一覧'!$D$4:OFFSET('事業所・施設 一覧'!$D2031,-1,0),"*上里町*",'事業所・施設 一覧'!#REF!:OFFSET('事業所・施設 一覧'!#REF!,-1,0),"単")</f>
        <v>#REF!</v>
      </c>
      <c r="F63" s="44" t="e">
        <f ca="1">COUNTIFS('事業所・施設 一覧'!$D$4:OFFSET('事業所・施設 一覧'!$D2031,-1,0),"*上里町*",'事業所・施設 一覧'!#REF!:OFFSET('事業所・施設 一覧'!#REF!,-1,0),"空・併")</f>
        <v>#REF!</v>
      </c>
      <c r="G63" s="44" t="e">
        <f ca="1">COUNTIFS('事業所・施設 一覧'!$D$4:OFFSET('事業所・施設 一覧'!$D2031,-1,0),"*上里町*",'事業所・施設 一覧'!#REF!:OFFSET('事業所・施設 一覧'!#REF!,-1,0),"空")</f>
        <v>#REF!</v>
      </c>
      <c r="H63" s="48" t="e">
        <f ca="1">COUNTIFS('事業所・施設 一覧'!$D$4:OFFSET('事業所・施設 一覧'!$D2031,-1,0),"*上里町*",'事業所・施設 一覧'!#REF!:OFFSET('事業所・施設 一覧'!#REF!,-1,0),"併")</f>
        <v>#REF!</v>
      </c>
      <c r="I63" s="46">
        <f ca="1">SUMIF('事業所・施設 一覧'!$D$4:OFFSET('事業所・施設 一覧'!$D2031,-1,0),"*上里町*",'事業所・施設 一覧'!$R$4:OFFSET('事業所・施設 一覧'!$R2031,-1,0))</f>
        <v>4</v>
      </c>
    </row>
    <row r="64" spans="1:9" ht="15" customHeight="1" x14ac:dyDescent="0.15">
      <c r="A64" s="39">
        <v>60</v>
      </c>
      <c r="B64" s="40" t="s">
        <v>8671</v>
      </c>
      <c r="C64" s="41" t="s">
        <v>4131</v>
      </c>
      <c r="D64" s="42" t="e">
        <f t="shared" ca="1" si="0"/>
        <v>#REF!</v>
      </c>
      <c r="E64" s="47" t="e">
        <f ca="1">COUNTIFS('事業所・施設 一覧'!$D$4:OFFSET('事業所・施設 一覧'!$D2031,-1,0),"*寄居町*",'事業所・施設 一覧'!#REF!:OFFSET('事業所・施設 一覧'!#REF!,-1,0),"単")</f>
        <v>#REF!</v>
      </c>
      <c r="F64" s="44" t="e">
        <f ca="1">COUNTIFS('事業所・施設 一覧'!$D$4:OFFSET('事業所・施設 一覧'!$D2031,-1,0),"*寄居町*",'事業所・施設 一覧'!#REF!:OFFSET('事業所・施設 一覧'!#REF!,-1,0),"空・併")</f>
        <v>#REF!</v>
      </c>
      <c r="G64" s="44" t="e">
        <f ca="1">COUNTIFS('事業所・施設 一覧'!$D$4:OFFSET('事業所・施設 一覧'!$D2031,-1,0),"*寄居町*",'事業所・施設 一覧'!#REF!:OFFSET('事業所・施設 一覧'!#REF!,-1,0),"空")</f>
        <v>#REF!</v>
      </c>
      <c r="H64" s="48" t="e">
        <f ca="1">COUNTIFS('事業所・施設 一覧'!$D$4:OFFSET('事業所・施設 一覧'!$D2031,-1,0),"*寄居町*",'事業所・施設 一覧'!#REF!:OFFSET('事業所・施設 一覧'!#REF!,-1,0),"併")</f>
        <v>#REF!</v>
      </c>
      <c r="I64" s="46">
        <f ca="1">SUMIF('事業所・施設 一覧'!$D$4:OFFSET('事業所・施設 一覧'!$D2031,-1,0),"*寄居町*",'事業所・施設 一覧'!$R$4:OFFSET('事業所・施設 一覧'!$R2031,-1,0))</f>
        <v>6</v>
      </c>
    </row>
    <row r="65" spans="1:9" s="37" customFormat="1" ht="15" customHeight="1" x14ac:dyDescent="0.15">
      <c r="A65" s="39">
        <v>61</v>
      </c>
      <c r="B65" s="40" t="s">
        <v>8673</v>
      </c>
      <c r="C65" s="41" t="s">
        <v>4132</v>
      </c>
      <c r="D65" s="42" t="e">
        <f t="shared" ca="1" si="0"/>
        <v>#REF!</v>
      </c>
      <c r="E65" s="47" t="e">
        <f ca="1">COUNTIFS('事業所・施設 一覧'!$D$4:OFFSET('事業所・施設 一覧'!$D2031,-1,0),"*宮代町*",'事業所・施設 一覧'!#REF!:OFFSET('事業所・施設 一覧'!#REF!,-1,0),"単")</f>
        <v>#REF!</v>
      </c>
      <c r="F65" s="44" t="e">
        <f ca="1">COUNTIFS('事業所・施設 一覧'!$D$4:OFFSET('事業所・施設 一覧'!$D2031,-1,0),"*宮代町*",'事業所・施設 一覧'!#REF!:OFFSET('事業所・施設 一覧'!#REF!,-1,0),"空・併")</f>
        <v>#REF!</v>
      </c>
      <c r="G65" s="44" t="e">
        <f ca="1">COUNTIFS('事業所・施設 一覧'!$D$4:OFFSET('事業所・施設 一覧'!$D2031,-1,0),"*宮代町*",'事業所・施設 一覧'!#REF!:OFFSET('事業所・施設 一覧'!#REF!,-1,0),"空")</f>
        <v>#REF!</v>
      </c>
      <c r="H65" s="48" t="e">
        <f ca="1">COUNTIFS('事業所・施設 一覧'!$D$4:OFFSET('事業所・施設 一覧'!$D2031,-1,0),"*宮代町*",'事業所・施設 一覧'!#REF!:OFFSET('事業所・施設 一覧'!#REF!,-1,0),"併")</f>
        <v>#REF!</v>
      </c>
      <c r="I65" s="46">
        <f ca="1">SUMIF('事業所・施設 一覧'!$D$4:OFFSET('事業所・施設 一覧'!$D2031,-1,0),"*宮代町*",'事業所・施設 一覧'!$R$4:OFFSET('事業所・施設 一覧'!$R2031,-1,0))</f>
        <v>14</v>
      </c>
    </row>
    <row r="66" spans="1:9" ht="15" customHeight="1" x14ac:dyDescent="0.15">
      <c r="A66" s="39">
        <v>62</v>
      </c>
      <c r="B66" s="40" t="s">
        <v>8673</v>
      </c>
      <c r="C66" s="41" t="s">
        <v>4133</v>
      </c>
      <c r="D66" s="42" t="e">
        <f t="shared" ca="1" si="0"/>
        <v>#REF!</v>
      </c>
      <c r="E66" s="47" t="e">
        <f ca="1">COUNTIFS('事業所・施設 一覧'!$D$4:OFFSET('事業所・施設 一覧'!$D2031,-1,0),"*杉戸町*",'事業所・施設 一覧'!#REF!:OFFSET('事業所・施設 一覧'!#REF!,-1,0),"単")</f>
        <v>#REF!</v>
      </c>
      <c r="F66" s="44" t="e">
        <f ca="1">COUNTIFS('事業所・施設 一覧'!$D$4:OFFSET('事業所・施設 一覧'!$D2031,-1,0),"*杉戸町*",'事業所・施設 一覧'!#REF!:OFFSET('事業所・施設 一覧'!#REF!,-1,0),"空・併")</f>
        <v>#REF!</v>
      </c>
      <c r="G66" s="44" t="e">
        <f ca="1">COUNTIFS('事業所・施設 一覧'!$D$4:OFFSET('事業所・施設 一覧'!$D2031,-1,0),"*杉戸町*",'事業所・施設 一覧'!#REF!:OFFSET('事業所・施設 一覧'!#REF!,-1,0),"空")</f>
        <v>#REF!</v>
      </c>
      <c r="H66" s="50" t="e">
        <f ca="1">COUNTIFS('事業所・施設 一覧'!$D$4:OFFSET('事業所・施設 一覧'!$D2031,-1,0),"*杉戸町*",'事業所・施設 一覧'!#REF!:OFFSET('事業所・施設 一覧'!#REF!,-1,0),"併")</f>
        <v>#REF!</v>
      </c>
      <c r="I66" s="51">
        <f ca="1">SUMIF('事業所・施設 一覧'!$D$4:OFFSET('事業所・施設 一覧'!$D2031,-1,0),"*杉戸町*",'事業所・施設 一覧'!$R$4:OFFSET('事業所・施設 一覧'!$R2031,-1,0))</f>
        <v>9</v>
      </c>
    </row>
    <row r="67" spans="1:9" ht="15" customHeight="1" x14ac:dyDescent="0.15">
      <c r="A67" s="52">
        <v>63</v>
      </c>
      <c r="B67" s="53" t="s">
        <v>8675</v>
      </c>
      <c r="C67" s="54" t="s">
        <v>4134</v>
      </c>
      <c r="D67" s="42" t="e">
        <f t="shared" ca="1" si="0"/>
        <v>#REF!</v>
      </c>
      <c r="E67" s="55" t="e">
        <f ca="1">COUNTIFS('事業所・施設 一覧'!$D$4:OFFSET('事業所・施設 一覧'!$D2031,-1,0),"*松伏町*",'事業所・施設 一覧'!#REF!:OFFSET('事業所・施設 一覧'!#REF!,-1,0),"単")</f>
        <v>#REF!</v>
      </c>
      <c r="F67" s="56" t="e">
        <f ca="1">COUNTIFS('事業所・施設 一覧'!$D$4:OFFSET('事業所・施設 一覧'!$D2031,-1,0),"*松伏町*",'事業所・施設 一覧'!#REF!:OFFSET('事業所・施設 一覧'!#REF!,-1,0),"空・併")</f>
        <v>#REF!</v>
      </c>
      <c r="G67" s="56" t="e">
        <f ca="1">COUNTIFS('事業所・施設 一覧'!$D$4:OFFSET('事業所・施設 一覧'!$D2031,-1,0),"*松伏町*",'事業所・施設 一覧'!#REF!:OFFSET('事業所・施設 一覧'!#REF!,-1,0),"空")</f>
        <v>#REF!</v>
      </c>
      <c r="H67" s="57" t="e">
        <f ca="1">COUNTIFS('事業所・施設 一覧'!$D$4:OFFSET('事業所・施設 一覧'!$D2031,-1,0),"*松伏町*",'事業所・施設 一覧'!#REF!:OFFSET('事業所・施設 一覧'!#REF!,-1,0),"併")</f>
        <v>#REF!</v>
      </c>
      <c r="I67" s="58">
        <f ca="1">SUMIF('事業所・施設 一覧'!$D$4:OFFSET('事業所・施設 一覧'!$D2031,-1,0),"*松伏町*",'事業所・施設 一覧'!$R$4:OFFSET('事業所・施設 一覧'!$R2031,-1,0))</f>
        <v>9</v>
      </c>
    </row>
    <row r="68" spans="1:9" ht="23.25" customHeight="1" x14ac:dyDescent="0.15">
      <c r="A68" s="682" t="s">
        <v>6238</v>
      </c>
      <c r="B68" s="683"/>
      <c r="C68" s="684"/>
      <c r="D68" s="59" t="e">
        <f t="shared" ref="D68:I68" ca="1" si="1">SUM(D5:D67)</f>
        <v>#REF!</v>
      </c>
      <c r="E68" s="59" t="e">
        <f t="shared" ca="1" si="1"/>
        <v>#REF!</v>
      </c>
      <c r="F68" s="60" t="e">
        <f t="shared" ca="1" si="1"/>
        <v>#REF!</v>
      </c>
      <c r="G68" s="61" t="e">
        <f t="shared" ca="1" si="1"/>
        <v>#REF!</v>
      </c>
      <c r="H68" s="62" t="e">
        <f t="shared" ca="1" si="1"/>
        <v>#REF!</v>
      </c>
      <c r="I68" s="63">
        <f t="shared" ca="1" si="1"/>
        <v>1337</v>
      </c>
    </row>
  </sheetData>
  <sheetProtection sheet="1"/>
  <autoFilter ref="A4:I67" xr:uid="{E92C7D95-F102-4F48-83AE-B23359E139FE}"/>
  <mergeCells count="8">
    <mergeCell ref="A68:C68"/>
    <mergeCell ref="A1:I1"/>
    <mergeCell ref="G2:I2"/>
    <mergeCell ref="A3:A4"/>
    <mergeCell ref="B3:B4"/>
    <mergeCell ref="C3:C4"/>
    <mergeCell ref="D3:H3"/>
    <mergeCell ref="I3:I4"/>
  </mergeCells>
  <phoneticPr fontId="2"/>
  <printOptions horizontalCentered="1"/>
  <pageMargins left="0.70866141732283472" right="0.70866141732283472" top="0.74803149606299213" bottom="0.74803149606299213" header="0.31496062992125984" footer="0.31496062992125984"/>
  <pageSetup paperSize="9" scale="76" orientation="portrait" r:id="rId1"/>
  <headerFooter>
    <oddFooter>&amp;C&amp;"ＭＳ Ｐゴシック,太字"&amp;14施設７－４</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5:I13"/>
  <sheetViews>
    <sheetView topLeftCell="B1" workbookViewId="0">
      <selection activeCell="E37" sqref="E37"/>
    </sheetView>
  </sheetViews>
  <sheetFormatPr defaultRowHeight="13.5" x14ac:dyDescent="0.15"/>
  <sheetData>
    <row r="5" spans="3:9" x14ac:dyDescent="0.15">
      <c r="C5" t="e">
        <f>COUNTIFS('事業所・施設 一覧'!P4:P1985,"&lt;&gt;",'事業所・施設 一覧'!#REF!,"国")+COUNTIFS('事業所・施設 一覧'!P4:P1985,"&lt;&gt;",'事業所・施設 一覧'!#REF!,"県")+COUNTIFS('事業所・施設 一覧'!P4:P1985,"&lt;&gt;",'事業所・施設 一覧'!#REF!,"市")</f>
        <v>#REF!</v>
      </c>
      <c r="E5" t="e">
        <f>COUNTIFS('事業所・施設 一覧'!P4:P1985,"&lt;&gt;",'事業所・施設 一覧'!#REF!,"福")</f>
        <v>#REF!</v>
      </c>
      <c r="G5" t="e">
        <f>COUNTIFS('事業所・施設 一覧'!P4:P1985,"&lt;&gt;",'事業所・施設 一覧'!#REF!,"特非")</f>
        <v>#REF!</v>
      </c>
      <c r="I5" t="e">
        <f>COUNTIFS('事業所・施設 一覧'!P4:P1985,"&lt;&gt;",'事業所・施設 一覧'!#REF!,"営")</f>
        <v>#REF!</v>
      </c>
    </row>
    <row r="6" spans="3:9" x14ac:dyDescent="0.15">
      <c r="C6" t="e">
        <f>COUNTIFS('事業所・施設 一覧'!S4:S1985,"&lt;&gt;",'事業所・施設 一覧'!#REF!,"国")+COUNTIFS('事業所・施設 一覧'!S4:S1985,"&lt;&gt;",'事業所・施設 一覧'!#REF!,"県")+COUNTIFS('事業所・施設 一覧'!S4:S1985,"&lt;&gt;",'事業所・施設 一覧'!#REF!,"市")</f>
        <v>#REF!</v>
      </c>
      <c r="E6" t="e">
        <f>COUNTIFS('事業所・施設 一覧'!S4:S1985,"&lt;&gt;",'事業所・施設 一覧'!#REF!,"福")</f>
        <v>#REF!</v>
      </c>
      <c r="G6" t="e">
        <f>COUNTIFS('事業所・施設 一覧'!S4:S1985,"&lt;&gt;",'事業所・施設 一覧'!#REF!,"特非")</f>
        <v>#REF!</v>
      </c>
      <c r="I6" t="e">
        <f>COUNTIFS('事業所・施設 一覧'!S4:S1985,"&lt;&gt;",'事業所・施設 一覧'!#REF!,"営")</f>
        <v>#REF!</v>
      </c>
    </row>
    <row r="7" spans="3:9" x14ac:dyDescent="0.15">
      <c r="C7" t="e">
        <f>COUNTIFS('事業所・施設 一覧'!T4:T1985,"&lt;&gt;",'事業所・施設 一覧'!#REF!,"国")+COUNTIFS('事業所・施設 一覧'!T4:T1985,"&lt;&gt;",'事業所・施設 一覧'!#REF!,"県")+COUNTIFS('事業所・施設 一覧'!T4:T1985,"&lt;&gt;",'事業所・施設 一覧'!#REF!,"市")</f>
        <v>#REF!</v>
      </c>
      <c r="E7" t="e">
        <f>COUNTIFS('事業所・施設 一覧'!T4:T1985,"&lt;&gt;",'事業所・施設 一覧'!#REF!,"福")</f>
        <v>#REF!</v>
      </c>
      <c r="G7" t="e">
        <f>COUNTIFS('事業所・施設 一覧'!T4:T1985,"&lt;&gt;",'事業所・施設 一覧'!#REF!,"特非")</f>
        <v>#REF!</v>
      </c>
      <c r="I7" t="e">
        <f>COUNTIFS('事業所・施設 一覧'!T4:T1985,"&lt;&gt;",'事業所・施設 一覧'!#REF!,"営")</f>
        <v>#REF!</v>
      </c>
    </row>
    <row r="8" spans="3:9" x14ac:dyDescent="0.15">
      <c r="C8" t="e">
        <f>COUNTIFS('事業所・施設 一覧'!U4:U1985,"&lt;&gt;",'事業所・施設 一覧'!#REF!,"国")+COUNTIFS('事業所・施設 一覧'!U4:U1985,"&lt;&gt;",'事業所・施設 一覧'!#REF!,"県")+COUNTIFS('事業所・施設 一覧'!U4:U1985,"&lt;&gt;",'事業所・施設 一覧'!#REF!,"市")</f>
        <v>#REF!</v>
      </c>
      <c r="E8" t="e">
        <f>COUNTIFS('事業所・施設 一覧'!U4:U1985,"&lt;&gt;",'事業所・施設 一覧'!#REF!,"福")</f>
        <v>#REF!</v>
      </c>
      <c r="G8" t="e">
        <f>COUNTIFS('事業所・施設 一覧'!U4:U1985,"&lt;&gt;",'事業所・施設 一覧'!#REF!,"特非")</f>
        <v>#REF!</v>
      </c>
      <c r="I8" t="e">
        <f>COUNTIFS('事業所・施設 一覧'!U4:U1985,"&lt;&gt;",'事業所・施設 一覧'!#REF!,"営")</f>
        <v>#REF!</v>
      </c>
    </row>
    <row r="9" spans="3:9" x14ac:dyDescent="0.15">
      <c r="C9" t="e">
        <f>COUNTIFS('事業所・施設 一覧'!V4:V1985,"&lt;&gt;",'事業所・施設 一覧'!#REF!,"国")+COUNTIFS('事業所・施設 一覧'!V4:V1985,"&lt;&gt;",'事業所・施設 一覧'!#REF!,"県")+COUNTIFS('事業所・施設 一覧'!V4:V1985,"&lt;&gt;",'事業所・施設 一覧'!#REF!,"市")</f>
        <v>#REF!</v>
      </c>
      <c r="E9" t="e">
        <f>COUNTIFS('事業所・施設 一覧'!V4:V1985,"&lt;&gt;",'事業所・施設 一覧'!#REF!,"福")</f>
        <v>#REF!</v>
      </c>
      <c r="G9" t="e">
        <f>COUNTIFS('事業所・施設 一覧'!V4:V1985,"&lt;&gt;",'事業所・施設 一覧'!#REF!,"特非")</f>
        <v>#REF!</v>
      </c>
      <c r="I9" t="e">
        <f>COUNTIFS('事業所・施設 一覧'!V4:V1985,"&lt;&gt;",'事業所・施設 一覧'!#REF!,"営")</f>
        <v>#REF!</v>
      </c>
    </row>
    <row r="10" spans="3:9" x14ac:dyDescent="0.15">
      <c r="C10" t="e">
        <f>COUNTIFS('事業所・施設 一覧'!W4:W1985,"&lt;&gt;",'事業所・施設 一覧'!#REF!,"国")+COUNTIFS('事業所・施設 一覧'!W4:W1985,"&lt;&gt;",'事業所・施設 一覧'!#REF!,"県")+COUNTIFS('事業所・施設 一覧'!W4:W1985,"&lt;&gt;",'事業所・施設 一覧'!#REF!,"市")</f>
        <v>#REF!</v>
      </c>
      <c r="E10" t="e">
        <f>COUNTIFS('事業所・施設 一覧'!W4:W1985,"&lt;&gt;",'事業所・施設 一覧'!#REF!,"福")</f>
        <v>#REF!</v>
      </c>
      <c r="G10" t="e">
        <f>COUNTIFS('事業所・施設 一覧'!W4:W1985,"&lt;&gt;",'事業所・施設 一覧'!#REF!,"特非")</f>
        <v>#REF!</v>
      </c>
      <c r="I10" t="e">
        <f>COUNTIFS('事業所・施設 一覧'!W4:W1985,"&lt;&gt;",'事業所・施設 一覧'!#REF!,"営")</f>
        <v>#REF!</v>
      </c>
    </row>
    <row r="11" spans="3:9" x14ac:dyDescent="0.15">
      <c r="C11" t="e">
        <f>COUNTIFS('事業所・施設 一覧'!X4:X1985,"&lt;&gt;",'事業所・施設 一覧'!#REF!,"国")+COUNTIFS('事業所・施設 一覧'!X4:X1985,"&lt;&gt;",'事業所・施設 一覧'!#REF!,"県")+COUNTIFS('事業所・施設 一覧'!X4:X1985,"&lt;&gt;",'事業所・施設 一覧'!#REF!,"市")+COUNTIFS('事業所・施設 一覧'!Y4:Y1985,"&lt;&gt;",'事業所・施設 一覧'!#REF!,"国")+COUNTIFS('事業所・施設 一覧'!Y4:Y1985,"&lt;&gt;",'事業所・施設 一覧'!#REF!,"県")+COUNTIFS('事業所・施設 一覧'!Y4:Y1985,"&lt;&gt;",'事業所・施設 一覧'!#REF!,"市")</f>
        <v>#REF!</v>
      </c>
      <c r="E11" t="e">
        <f>COUNTIFS('事業所・施設 一覧'!X4:X1985,"&lt;&gt;",'事業所・施設 一覧'!#REF!,"福")+COUNTIFS('事業所・施設 一覧'!Y4:Y1985,"&lt;&gt;",'事業所・施設 一覧'!#REF!,"福")</f>
        <v>#REF!</v>
      </c>
      <c r="G11" t="e">
        <f>COUNTIFS('事業所・施設 一覧'!X4:X1985,"&lt;&gt;",'事業所・施設 一覧'!#REF!,"特非")+COUNTIFS('事業所・施設 一覧'!Y4:Y1985,"&lt;&gt;",'事業所・施設 一覧'!#REF!,"特非")</f>
        <v>#REF!</v>
      </c>
      <c r="I11" t="e">
        <f>COUNTIFS('事業所・施設 一覧'!X4:X1985,"&lt;&gt;",'事業所・施設 一覧'!#REF!,"営")+COUNTIFS('事業所・施設 一覧'!Y4:Y1985,"&lt;&gt;",'事業所・施設 一覧'!#REF!,"営")</f>
        <v>#REF!</v>
      </c>
    </row>
    <row r="12" spans="3:9" x14ac:dyDescent="0.15">
      <c r="C12" t="e">
        <f>COUNTIFS('事業所・施設 一覧'!Z4:Z1985,"&lt;&gt;",'事業所・施設 一覧'!#REF!,"国")+COUNTIFS('事業所・施設 一覧'!Z4:Z1985,"&lt;&gt;",'事業所・施設 一覧'!#REF!,"県")+COUNTIFS('事業所・施設 一覧'!Z4:Z1985,"&lt;&gt;",'事業所・施設 一覧'!#REF!,"市")</f>
        <v>#REF!</v>
      </c>
      <c r="E12" t="e">
        <f>COUNTIFS('事業所・施設 一覧'!Z4:Z1985,"&lt;&gt;",'事業所・施設 一覧'!#REF!,"福")</f>
        <v>#REF!</v>
      </c>
      <c r="G12" t="e">
        <f>COUNTIFS('事業所・施設 一覧'!Z4:Z1985,"&lt;&gt;",'事業所・施設 一覧'!#REF!,"特非")</f>
        <v>#REF!</v>
      </c>
      <c r="I12" t="e">
        <f>COUNTIFS('事業所・施設 一覧'!Z4:Z1985,"&lt;&gt;",'事業所・施設 一覧'!#REF!,"営")</f>
        <v>#REF!</v>
      </c>
    </row>
    <row r="13" spans="3:9" x14ac:dyDescent="0.15">
      <c r="C13" t="e">
        <f>COUNTIFS('事業所・施設 一覧'!AA4:AA1985,"&lt;&gt;",'事業所・施設 一覧'!#REF!,"国")+COUNTIFS('事業所・施設 一覧'!AA4:AA1985,"&lt;&gt;",'事業所・施設 一覧'!#REF!,"県")+COUNTIFS('事業所・施設 一覧'!AA4:AA1985,"&lt;&gt;",'事業所・施設 一覧'!#REF!,"市")</f>
        <v>#REF!</v>
      </c>
      <c r="E13" t="e">
        <f>COUNTIFS('事業所・施設 一覧'!AA4:AA1985,"&lt;&gt;",'事業所・施設 一覧'!#REF!,"福")</f>
        <v>#REF!</v>
      </c>
      <c r="G13" t="e">
        <f>COUNTIFS('事業所・施設 一覧'!AA4:AA1985,"&lt;&gt;",'事業所・施設 一覧'!#REF!,"特非")</f>
        <v>#REF!</v>
      </c>
      <c r="I13" t="e">
        <f>COUNTIFS('事業所・施設 一覧'!AA4:AA1985,"&lt;&gt;",'事業所・施設 一覧'!#REF!,"営")</f>
        <v>#REF!</v>
      </c>
    </row>
  </sheetData>
  <phoneticPr fontId="2"/>
  <pageMargins left="0.7" right="0.7" top="0.75" bottom="0.75" header="0.3" footer="0.3"/>
  <pageSetup paperSize="9"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事業所・施設 一覧</vt:lpstr>
      <vt:lpstr>市町村別一覧</vt:lpstr>
      <vt:lpstr>短期入所市町村別一覧 </vt:lpstr>
      <vt:lpstr>Sheet1</vt:lpstr>
      <vt:lpstr>'事業所・施設 一覧'!Print_Area</vt:lpstr>
      <vt:lpstr>'事業所・施設 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高井 佑馬（障害者支援課）</cp:lastModifiedBy>
  <cp:lastPrinted>2026-08-07T04:40:52Z</cp:lastPrinted>
  <dcterms:created xsi:type="dcterms:W3CDTF">2005-03-28T01:15:39Z</dcterms:created>
  <dcterms:modified xsi:type="dcterms:W3CDTF">2026-08-07T04:52:19Z</dcterms:modified>
</cp:coreProperties>
</file>