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V:\shienka R4,5,6\kinyu\資金\01_農業制度資金全般\06_農業資金担当ウェブサイト\070901要綱・要領改正\"/>
    </mc:Choice>
  </mc:AlternateContent>
  <xr:revisionPtr revIDLastSave="0" documentId="13_ncr:1_{3E253AF8-C1F7-4E7F-85AE-36FE87A8D34E}" xr6:coauthVersionLast="47" xr6:coauthVersionMax="47" xr10:uidLastSave="{00000000-0000-0000-0000-000000000000}"/>
  <bookViews>
    <workbookView xWindow="28680" yWindow="-120" windowWidth="29040" windowHeight="15990" tabRatio="629" xr2:uid="{00000000-000D-0000-FFFF-FFFF00000000}"/>
  </bookViews>
  <sheets>
    <sheet name="【入力ｼｰﾄ】支援課提出用" sheetId="10" r:id="rId1"/>
    <sheet name="ｾﾝﾀｰ控" sheetId="19" r:id="rId2"/>
    <sheet name="市町村控" sheetId="20" r:id="rId3"/>
    <sheet name="融資機関控" sheetId="21" r:id="rId4"/>
    <sheet name="ｺｰﾄﾞ表" sheetId="14" r:id="rId5"/>
    <sheet name="償還表" sheetId="15" r:id="rId6"/>
  </sheets>
  <definedNames>
    <definedName name="_xlnm.Print_Area" localSheetId="0">【入力ｼｰﾄ】支援課提出用!$A$1:$CC$30</definedName>
    <definedName name="_xlnm.Print_Area" localSheetId="1">ｾﾝﾀｰ控!$A$1:$CC$30</definedName>
    <definedName name="_xlnm.Print_Area" localSheetId="2">市町村控!$A$1:$CC$30</definedName>
    <definedName name="_xlnm.Print_Area" localSheetId="5">償還表!$A$1:$M$46</definedName>
    <definedName name="_xlnm.Print_Area" localSheetId="3">融資機関控!$A$1:$CC$30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3" i="21" l="1"/>
  <c r="AU23" i="21"/>
  <c r="BX30" i="21"/>
  <c r="BS30" i="21"/>
  <c r="BN30" i="21"/>
  <c r="BI30" i="21"/>
  <c r="BX29" i="21"/>
  <c r="BS29" i="21"/>
  <c r="BN29" i="21"/>
  <c r="BI29" i="21"/>
  <c r="BX28" i="21"/>
  <c r="BS28" i="21"/>
  <c r="BN28" i="21"/>
  <c r="BI28" i="21"/>
  <c r="BX27" i="21"/>
  <c r="BS27" i="21"/>
  <c r="BN27" i="21"/>
  <c r="BI27" i="21"/>
  <c r="BX26" i="21"/>
  <c r="BS26" i="21"/>
  <c r="BN26" i="21"/>
  <c r="BI26" i="21"/>
  <c r="BX25" i="21"/>
  <c r="BS25" i="21"/>
  <c r="BN25" i="21"/>
  <c r="BI25" i="21"/>
  <c r="BX24" i="21"/>
  <c r="BS24" i="21"/>
  <c r="BN24" i="21"/>
  <c r="BI24" i="21"/>
  <c r="BX23" i="21"/>
  <c r="BS23" i="21"/>
  <c r="BN23" i="21"/>
  <c r="BI23" i="21"/>
  <c r="C23" i="21"/>
  <c r="BX22" i="21"/>
  <c r="BS22" i="21"/>
  <c r="BN22" i="21"/>
  <c r="BI22" i="21"/>
  <c r="BX21" i="21"/>
  <c r="BS21" i="21"/>
  <c r="BN21" i="21"/>
  <c r="BI21" i="21"/>
  <c r="BX20" i="21"/>
  <c r="BS20" i="21"/>
  <c r="BN20" i="21"/>
  <c r="BI20" i="21"/>
  <c r="BX19" i="21"/>
  <c r="BS19" i="21"/>
  <c r="BN19" i="21"/>
  <c r="BI19" i="21"/>
  <c r="AV19" i="21"/>
  <c r="AS19" i="21"/>
  <c r="AP19" i="21"/>
  <c r="AM19" i="21"/>
  <c r="AI19" i="21"/>
  <c r="CO15" i="21" s="1"/>
  <c r="AE19" i="21"/>
  <c r="AA19" i="21"/>
  <c r="I19" i="21"/>
  <c r="C19" i="21"/>
  <c r="BX18" i="21"/>
  <c r="BS18" i="21"/>
  <c r="BN18" i="21"/>
  <c r="BI18" i="21"/>
  <c r="BX17" i="21"/>
  <c r="BS17" i="21"/>
  <c r="BN17" i="21"/>
  <c r="BI17" i="21"/>
  <c r="BX16" i="21"/>
  <c r="BS16" i="21"/>
  <c r="BN16" i="21"/>
  <c r="BI16" i="21"/>
  <c r="AY15" i="21"/>
  <c r="AX15" i="21"/>
  <c r="AW15" i="21"/>
  <c r="AV15" i="21"/>
  <c r="AU15" i="21"/>
  <c r="AT15" i="21"/>
  <c r="AS15" i="21"/>
  <c r="AR15" i="21"/>
  <c r="AQ15" i="21"/>
  <c r="E15" i="21"/>
  <c r="G14" i="21"/>
  <c r="E14" i="21"/>
  <c r="BE9" i="21"/>
  <c r="P8" i="21"/>
  <c r="L8" i="21"/>
  <c r="I8" i="21"/>
  <c r="G8" i="21"/>
  <c r="C8" i="21"/>
  <c r="BE7" i="21"/>
  <c r="BE5" i="21"/>
  <c r="CA2" i="21"/>
  <c r="BX2" i="21"/>
  <c r="BU2" i="21"/>
  <c r="BZ1" i="21"/>
  <c r="BR1" i="21"/>
  <c r="BX30" i="20"/>
  <c r="BS30" i="20"/>
  <c r="BN30" i="20"/>
  <c r="BI30" i="20"/>
  <c r="BX29" i="20"/>
  <c r="BS29" i="20"/>
  <c r="BN29" i="20"/>
  <c r="BI29" i="20"/>
  <c r="N29" i="20"/>
  <c r="BX28" i="20"/>
  <c r="BS28" i="20"/>
  <c r="BN28" i="20"/>
  <c r="BI28" i="20"/>
  <c r="BX27" i="20"/>
  <c r="BS27" i="20"/>
  <c r="BN27" i="20"/>
  <c r="BI27" i="20"/>
  <c r="BX26" i="20"/>
  <c r="BS26" i="20"/>
  <c r="BN26" i="20"/>
  <c r="BI26" i="20"/>
  <c r="BX25" i="20"/>
  <c r="BS25" i="20"/>
  <c r="BN25" i="20"/>
  <c r="BI25" i="20"/>
  <c r="BX24" i="20"/>
  <c r="BS24" i="20"/>
  <c r="BN24" i="20"/>
  <c r="BI24" i="20"/>
  <c r="BX23" i="20"/>
  <c r="BS23" i="20"/>
  <c r="BN23" i="20"/>
  <c r="BI23" i="20"/>
  <c r="AU23" i="20"/>
  <c r="AQ23" i="20"/>
  <c r="C23" i="20"/>
  <c r="BX22" i="20"/>
  <c r="BS22" i="20"/>
  <c r="BN22" i="20"/>
  <c r="BI22" i="20"/>
  <c r="BX21" i="20"/>
  <c r="BS21" i="20"/>
  <c r="BN21" i="20"/>
  <c r="BI21" i="20"/>
  <c r="BX20" i="20"/>
  <c r="BS20" i="20"/>
  <c r="BN20" i="20"/>
  <c r="BI20" i="20"/>
  <c r="BX19" i="20"/>
  <c r="BS19" i="20"/>
  <c r="BN19" i="20"/>
  <c r="BI19" i="20"/>
  <c r="AV19" i="20"/>
  <c r="AS19" i="20"/>
  <c r="AP19" i="20"/>
  <c r="AM19" i="20"/>
  <c r="AI19" i="20"/>
  <c r="CO15" i="20" s="1"/>
  <c r="AE19" i="20"/>
  <c r="AA19" i="20"/>
  <c r="I19" i="20"/>
  <c r="C19" i="20"/>
  <c r="BX18" i="20"/>
  <c r="BS18" i="20"/>
  <c r="BN18" i="20"/>
  <c r="BI18" i="20"/>
  <c r="BX17" i="20"/>
  <c r="BS17" i="20"/>
  <c r="BN17" i="20"/>
  <c r="BI17" i="20"/>
  <c r="BX16" i="20"/>
  <c r="BS16" i="20"/>
  <c r="BN16" i="20"/>
  <c r="BI16" i="20"/>
  <c r="AY15" i="20"/>
  <c r="AX15" i="20"/>
  <c r="AW15" i="20"/>
  <c r="AV15" i="20"/>
  <c r="AU15" i="20"/>
  <c r="AT15" i="20"/>
  <c r="AS15" i="20"/>
  <c r="AR15" i="20"/>
  <c r="AQ15" i="20"/>
  <c r="E15" i="20"/>
  <c r="G14" i="20"/>
  <c r="E14" i="20"/>
  <c r="BE9" i="20"/>
  <c r="P8" i="20"/>
  <c r="L8" i="20"/>
  <c r="I8" i="20"/>
  <c r="G8" i="20"/>
  <c r="C8" i="20"/>
  <c r="BE7" i="20"/>
  <c r="BE5" i="20"/>
  <c r="CA2" i="20"/>
  <c r="BX2" i="20"/>
  <c r="BU2" i="20"/>
  <c r="BZ1" i="20"/>
  <c r="BR1" i="20"/>
  <c r="AP19" i="19"/>
  <c r="AS19" i="19"/>
  <c r="AM19" i="19"/>
  <c r="BX17" i="19"/>
  <c r="BX18" i="19"/>
  <c r="BX19" i="19"/>
  <c r="BX20" i="19"/>
  <c r="BX21" i="19"/>
  <c r="BX22" i="19"/>
  <c r="BX23" i="19"/>
  <c r="BX24" i="19"/>
  <c r="BX25" i="19"/>
  <c r="BX26" i="19"/>
  <c r="BX27" i="19"/>
  <c r="BX28" i="19"/>
  <c r="BX29" i="19"/>
  <c r="BX30" i="19"/>
  <c r="BX16" i="19"/>
  <c r="BS30" i="19"/>
  <c r="BI17" i="19"/>
  <c r="BN17" i="19"/>
  <c r="BS17" i="19"/>
  <c r="BI18" i="19"/>
  <c r="BN18" i="19"/>
  <c r="BS18" i="19"/>
  <c r="BI19" i="19"/>
  <c r="BN19" i="19"/>
  <c r="BS19" i="19"/>
  <c r="BI20" i="19"/>
  <c r="BN20" i="19"/>
  <c r="BS20" i="19"/>
  <c r="BI21" i="19"/>
  <c r="BN21" i="19"/>
  <c r="BS21" i="19"/>
  <c r="BI22" i="19"/>
  <c r="BN22" i="19"/>
  <c r="BS22" i="19"/>
  <c r="BI23" i="19"/>
  <c r="BN23" i="19"/>
  <c r="BS23" i="19"/>
  <c r="BI24" i="19"/>
  <c r="BN24" i="19"/>
  <c r="BS24" i="19"/>
  <c r="BI25" i="19"/>
  <c r="BN25" i="19"/>
  <c r="BS25" i="19"/>
  <c r="BI26" i="19"/>
  <c r="BN26" i="19"/>
  <c r="BS26" i="19"/>
  <c r="BI27" i="19"/>
  <c r="BN27" i="19"/>
  <c r="BS27" i="19"/>
  <c r="BI28" i="19"/>
  <c r="BN28" i="19"/>
  <c r="BS28" i="19"/>
  <c r="BI29" i="19"/>
  <c r="BN29" i="19"/>
  <c r="BS29" i="19"/>
  <c r="BI30" i="19"/>
  <c r="BN30" i="19"/>
  <c r="BN16" i="19"/>
  <c r="BS16" i="19"/>
  <c r="BI16" i="19"/>
  <c r="U29" i="19"/>
  <c r="N29" i="19"/>
  <c r="AU23" i="19"/>
  <c r="AQ23" i="19"/>
  <c r="C23" i="19"/>
  <c r="AV19" i="19"/>
  <c r="AI19" i="19"/>
  <c r="CO15" i="19" s="1"/>
  <c r="AE19" i="19"/>
  <c r="AA19" i="19"/>
  <c r="I19" i="19"/>
  <c r="C19" i="19"/>
  <c r="AY15" i="19"/>
  <c r="AX15" i="19"/>
  <c r="AW15" i="19"/>
  <c r="AV15" i="19"/>
  <c r="AU15" i="19"/>
  <c r="AT15" i="19"/>
  <c r="AS15" i="19"/>
  <c r="AR15" i="19"/>
  <c r="AQ15" i="19"/>
  <c r="E15" i="19"/>
  <c r="G14" i="19"/>
  <c r="E14" i="19"/>
  <c r="P8" i="19"/>
  <c r="L8" i="19"/>
  <c r="I8" i="19"/>
  <c r="G8" i="19"/>
  <c r="C8" i="19"/>
  <c r="BE9" i="19"/>
  <c r="BE7" i="19"/>
  <c r="BE5" i="19"/>
  <c r="CA2" i="19"/>
  <c r="BX2" i="19"/>
  <c r="BU2" i="19"/>
  <c r="BZ1" i="19"/>
  <c r="BR1" i="19"/>
  <c r="C4" i="15"/>
  <c r="CO15" i="10"/>
  <c r="U19" i="10" s="1"/>
  <c r="O19" i="10" s="1"/>
  <c r="U19" i="21" l="1"/>
  <c r="O19" i="21" s="1"/>
  <c r="U19" i="20"/>
  <c r="O19" i="20" s="1"/>
  <c r="U19" i="19"/>
  <c r="O19" i="19" s="1"/>
  <c r="G1" i="15"/>
  <c r="J6" i="15"/>
  <c r="J7" i="15" s="1"/>
  <c r="K6" i="15"/>
  <c r="K7" i="15" s="1"/>
  <c r="L6" i="15"/>
  <c r="L7" i="15" s="1"/>
  <c r="I6" i="15"/>
  <c r="I7" i="15" s="1"/>
  <c r="F6" i="15"/>
  <c r="F7" i="15" s="1"/>
  <c r="G6" i="15"/>
  <c r="G7" i="15" s="1"/>
  <c r="H6" i="15"/>
  <c r="H7" i="15" s="1"/>
  <c r="E6" i="15"/>
  <c r="C2" i="15"/>
  <c r="C3" i="15"/>
  <c r="C1" i="15"/>
  <c r="K20" i="15" l="1"/>
  <c r="K24" i="15"/>
  <c r="C8" i="15"/>
  <c r="C7" i="15" s="1"/>
  <c r="H13" i="15" s="1"/>
  <c r="B27" i="15"/>
  <c r="K12" i="15"/>
  <c r="K29" i="15"/>
  <c r="L17" i="15"/>
  <c r="I12" i="15"/>
  <c r="B15" i="15"/>
  <c r="G37" i="15"/>
  <c r="H40" i="15"/>
  <c r="G40" i="15"/>
  <c r="B26" i="15"/>
  <c r="B44" i="15"/>
  <c r="G36" i="15"/>
  <c r="K21" i="15"/>
  <c r="L25" i="15"/>
  <c r="L42" i="15"/>
  <c r="C14" i="15"/>
  <c r="H27" i="15"/>
  <c r="G41" i="15"/>
  <c r="K14" i="15"/>
  <c r="L33" i="15"/>
  <c r="L21" i="15"/>
  <c r="G33" i="15"/>
  <c r="H37" i="15"/>
  <c r="G42" i="15"/>
  <c r="G35" i="15"/>
  <c r="C43" i="15"/>
  <c r="B45" i="15"/>
  <c r="C34" i="15"/>
  <c r="H30" i="15"/>
  <c r="H28" i="15"/>
  <c r="C45" i="15"/>
  <c r="L30" i="15"/>
  <c r="K35" i="15"/>
  <c r="L36" i="15"/>
  <c r="H20" i="15"/>
  <c r="B20" i="15"/>
  <c r="C12" i="15"/>
  <c r="C32" i="15"/>
  <c r="H36" i="15"/>
  <c r="L19" i="15"/>
  <c r="K15" i="15"/>
  <c r="L13" i="15"/>
  <c r="B24" i="15"/>
  <c r="B23" i="15"/>
  <c r="B43" i="15"/>
  <c r="B46" i="15"/>
  <c r="H34" i="15"/>
  <c r="L41" i="15"/>
  <c r="H39" i="15"/>
  <c r="K28" i="15"/>
  <c r="K36" i="15"/>
  <c r="L27" i="15"/>
  <c r="B17" i="15"/>
  <c r="K42" i="15"/>
  <c r="G34" i="15"/>
  <c r="D12" i="15"/>
  <c r="H41" i="15"/>
  <c r="L12" i="15"/>
  <c r="L39" i="15"/>
  <c r="L24" i="15"/>
  <c r="J8" i="15"/>
  <c r="K8" i="15" s="1"/>
  <c r="K33" i="15"/>
  <c r="L8" i="15"/>
  <c r="H8" i="15"/>
  <c r="E7" i="15"/>
  <c r="N6" i="15"/>
  <c r="C6" i="15" s="1"/>
  <c r="B31" i="15" s="1"/>
  <c r="H42" i="15"/>
  <c r="L37" i="15"/>
  <c r="K38" i="15"/>
  <c r="K37" i="15"/>
  <c r="L34" i="15"/>
  <c r="L14" i="15"/>
  <c r="C31" i="15"/>
  <c r="C44" i="15"/>
  <c r="D31" i="15"/>
  <c r="D32" i="15" s="1"/>
  <c r="H33" i="15"/>
  <c r="L16" i="15"/>
  <c r="L31" i="15"/>
  <c r="M12" i="15"/>
  <c r="M13" i="15" s="1"/>
  <c r="M14" i="15" s="1"/>
  <c r="G39" i="15"/>
  <c r="H38" i="15"/>
  <c r="L26" i="15"/>
  <c r="C13" i="15"/>
  <c r="B18" i="15"/>
  <c r="C5" i="15"/>
  <c r="L28" i="15"/>
  <c r="K30" i="15"/>
  <c r="K18" i="15"/>
  <c r="K39" i="15"/>
  <c r="K23" i="15"/>
  <c r="L38" i="15"/>
  <c r="L22" i="15"/>
  <c r="K27" i="15"/>
  <c r="K32" i="15"/>
  <c r="L32" i="15"/>
  <c r="K25" i="15"/>
  <c r="K26" i="15"/>
  <c r="H18" i="15"/>
  <c r="B21" i="15"/>
  <c r="L35" i="15"/>
  <c r="H35" i="15"/>
  <c r="B25" i="15"/>
  <c r="H12" i="15"/>
  <c r="L15" i="15"/>
  <c r="K41" i="15"/>
  <c r="C46" i="15"/>
  <c r="H19" i="15"/>
  <c r="B16" i="15"/>
  <c r="L29" i="15"/>
  <c r="L40" i="15"/>
  <c r="K34" i="15"/>
  <c r="K16" i="15"/>
  <c r="K31" i="15"/>
  <c r="K19" i="15"/>
  <c r="L20" i="15"/>
  <c r="G38" i="15"/>
  <c r="B22" i="15"/>
  <c r="L23" i="15"/>
  <c r="B19" i="15"/>
  <c r="K17" i="15"/>
  <c r="K22" i="15"/>
  <c r="H31" i="15"/>
  <c r="K13" i="15"/>
  <c r="K40" i="15"/>
  <c r="L18" i="15"/>
  <c r="G12" i="15" l="1"/>
  <c r="G20" i="15"/>
  <c r="G16" i="15"/>
  <c r="H14" i="15"/>
  <c r="H32" i="15"/>
  <c r="H15" i="15"/>
  <c r="H29" i="15"/>
  <c r="H24" i="15"/>
  <c r="H26" i="15"/>
  <c r="H25" i="15"/>
  <c r="H22" i="15"/>
  <c r="H21" i="15"/>
  <c r="H23" i="15"/>
  <c r="C38" i="15"/>
  <c r="C41" i="15"/>
  <c r="C39" i="15"/>
  <c r="C42" i="15"/>
  <c r="C35" i="15"/>
  <c r="C40" i="15"/>
  <c r="C37" i="15"/>
  <c r="C33" i="15"/>
  <c r="D33" i="15" s="1"/>
  <c r="D34" i="15" s="1"/>
  <c r="B12" i="15"/>
  <c r="H17" i="15"/>
  <c r="H16" i="15"/>
  <c r="I13" i="15"/>
  <c r="C36" i="15"/>
  <c r="D13" i="15"/>
  <c r="D14" i="15" s="1"/>
  <c r="C15" i="15" s="1"/>
  <c r="D15" i="15" s="1"/>
  <c r="J9" i="15"/>
  <c r="G32" i="15" s="1"/>
  <c r="M15" i="15"/>
  <c r="M16" i="15" s="1"/>
  <c r="M17" i="15" s="1"/>
  <c r="M18" i="15" s="1"/>
  <c r="M19" i="15" s="1"/>
  <c r="M20" i="15" s="1"/>
  <c r="M21" i="15" s="1"/>
  <c r="M22" i="15" s="1"/>
  <c r="M23" i="15" s="1"/>
  <c r="M24" i="15" s="1"/>
  <c r="M25" i="15" s="1"/>
  <c r="M26" i="15" s="1"/>
  <c r="M27" i="15" s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  <c r="M38" i="15" s="1"/>
  <c r="M39" i="15" s="1"/>
  <c r="M40" i="15" s="1"/>
  <c r="M41" i="15" s="1"/>
  <c r="M42" i="15" s="1"/>
  <c r="I14" i="15" l="1"/>
  <c r="D35" i="15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G21" i="15"/>
  <c r="G22" i="15"/>
  <c r="B37" i="15"/>
  <c r="G25" i="15"/>
  <c r="G28" i="15"/>
  <c r="G31" i="15"/>
  <c r="G26" i="15"/>
  <c r="G14" i="15"/>
  <c r="G30" i="15"/>
  <c r="G29" i="15"/>
  <c r="G27" i="15"/>
  <c r="G19" i="15"/>
  <c r="G15" i="15"/>
  <c r="G13" i="15"/>
  <c r="G23" i="15"/>
  <c r="G17" i="15"/>
  <c r="G18" i="15"/>
  <c r="G24" i="15"/>
  <c r="I15" i="15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I37" i="15" s="1"/>
  <c r="I38" i="15" s="1"/>
  <c r="I39" i="15" s="1"/>
  <c r="I40" i="15" s="1"/>
  <c r="I41" i="15" s="1"/>
  <c r="I42" i="15" s="1"/>
  <c r="B40" i="15"/>
  <c r="B39" i="15"/>
  <c r="B38" i="15"/>
  <c r="B42" i="15"/>
  <c r="B41" i="15"/>
  <c r="B32" i="15"/>
  <c r="B14" i="15"/>
  <c r="B13" i="15"/>
  <c r="B36" i="15"/>
  <c r="B34" i="15"/>
  <c r="B35" i="15"/>
  <c r="B33" i="15"/>
  <c r="C16" i="15"/>
  <c r="D16" i="15" s="1"/>
  <c r="C17" i="15" l="1"/>
  <c r="D17" i="15" s="1"/>
  <c r="C18" i="15" l="1"/>
  <c r="D18" i="15" s="1"/>
  <c r="C19" i="15" l="1"/>
  <c r="D19" i="15" s="1"/>
  <c r="C20" i="15" l="1"/>
  <c r="D20" i="15" s="1"/>
  <c r="C21" i="15" l="1"/>
  <c r="D21" i="15" s="1"/>
  <c r="C22" i="15" l="1"/>
  <c r="D22" i="15" s="1"/>
  <c r="C23" i="15" l="1"/>
  <c r="D23" i="15" s="1"/>
  <c r="C24" i="15" l="1"/>
  <c r="D24" i="15" s="1"/>
  <c r="C25" i="15" l="1"/>
  <c r="D25" i="15" s="1"/>
  <c r="C26" i="15" l="1"/>
  <c r="D26" i="15" s="1"/>
  <c r="C27" i="15" l="1"/>
  <c r="D2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D2" authorId="0" shapeId="0" xr:uid="{00000000-0006-0000-0000-000001000000}">
      <text>
        <r>
          <rPr>
            <sz val="11"/>
            <color indexed="81"/>
            <rFont val="Yu Gothic UI"/>
            <family val="3"/>
            <charset val="128"/>
          </rPr>
          <t>　【使い方】
・このシートに入力すると、他のシート（センター控、市町村控、融資機関控）に転記されます。
・また「償還表」シートに償還表が自動作成されますので、ご利用ください。</t>
        </r>
        <r>
          <rPr>
            <sz val="8"/>
            <color indexed="81"/>
            <rFont val="Yu Gothic UI"/>
            <family val="3"/>
            <charset val="128"/>
          </rPr>
          <t xml:space="preserve">
</t>
        </r>
      </text>
    </comment>
    <comment ref="E14" authorId="0" shapeId="0" xr:uid="{00000000-0006-0000-0000-000003000000}">
      <text>
        <r>
          <rPr>
            <sz val="10"/>
            <color indexed="81"/>
            <rFont val="Yu Gothic UI"/>
            <family val="3"/>
            <charset val="128"/>
          </rPr>
          <t>法人種類はこちらでリストから選択してください。</t>
        </r>
      </text>
    </comment>
    <comment ref="O16" authorId="0" shapeId="0" xr:uid="{00000000-0006-0000-0000-000002000000}">
      <text>
        <r>
          <rPr>
            <b/>
            <sz val="12"/>
            <color indexed="81"/>
            <rFont val="Yu Gothic UI"/>
            <family val="3"/>
            <charset val="128"/>
          </rPr>
          <t>約定償還額は自動入力されます
（借入申込額、償還期間、据置期間、年・半年賦を入力してください）</t>
        </r>
      </text>
    </comment>
  </commentList>
</comments>
</file>

<file path=xl/sharedStrings.xml><?xml version="1.0" encoding="utf-8"?>
<sst xmlns="http://schemas.openxmlformats.org/spreadsheetml/2006/main" count="1048" uniqueCount="801">
  <si>
    <t>月</t>
    <rPh sb="0" eb="1">
      <t>ツキ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</si>
  <si>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</si>
  <si>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</si>
  <si>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貸付目標日</t>
    <rPh sb="0" eb="2">
      <t>カシツケ</t>
    </rPh>
    <rPh sb="2" eb="5">
      <t>モクヒョウビ</t>
    </rPh>
    <phoneticPr fontId="2"/>
  </si>
  <si>
    <t>（％）</t>
    <phoneticPr fontId="2"/>
  </si>
  <si>
    <t>融資機関</t>
    <rPh sb="0" eb="4">
      <t>ユウシキカン</t>
    </rPh>
    <phoneticPr fontId="2"/>
  </si>
  <si>
    <t>融資機関</t>
    <rPh sb="0" eb="4">
      <t>ユウシキカン</t>
    </rPh>
    <phoneticPr fontId="2"/>
  </si>
  <si>
    <t>市町村</t>
    <rPh sb="0" eb="3">
      <t>シチョウソン</t>
    </rPh>
    <phoneticPr fontId="2"/>
  </si>
  <si>
    <t>コード</t>
    <phoneticPr fontId="2"/>
  </si>
  <si>
    <t>承認</t>
    <rPh sb="0" eb="2">
      <t>ショウニン</t>
    </rPh>
    <phoneticPr fontId="2"/>
  </si>
  <si>
    <t>年度</t>
    <rPh sb="0" eb="2">
      <t>ネンド</t>
    </rPh>
    <phoneticPr fontId="2"/>
  </si>
  <si>
    <t>農業近代化資金利子補給承認申請書</t>
    <rPh sb="0" eb="2">
      <t>ノウギョウ</t>
    </rPh>
    <rPh sb="2" eb="4">
      <t>キンダイ</t>
    </rPh>
    <rPh sb="4" eb="7">
      <t>カシキン</t>
    </rPh>
    <rPh sb="7" eb="9">
      <t>リシ</t>
    </rPh>
    <rPh sb="9" eb="11">
      <t>ホキュウ</t>
    </rPh>
    <rPh sb="11" eb="13">
      <t>ショウニン</t>
    </rPh>
    <rPh sb="13" eb="16">
      <t>シンセイショ</t>
    </rPh>
    <phoneticPr fontId="2"/>
  </si>
  <si>
    <t>名称</t>
    <rPh sb="0" eb="2">
      <t>メイショウ</t>
    </rPh>
    <phoneticPr fontId="2"/>
  </si>
  <si>
    <t>年</t>
    <rPh sb="0" eb="1">
      <t>ネン</t>
    </rPh>
    <phoneticPr fontId="2"/>
  </si>
  <si>
    <t>住所</t>
    <rPh sb="0" eb="2">
      <t>ジュウショ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</si>
  <si>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</si>
  <si>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</si>
  <si>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</si>
  <si>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</si>
  <si>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約  定　償　還　額</t>
    <rPh sb="0" eb="1">
      <t>ヤク</t>
    </rPh>
    <rPh sb="3" eb="4">
      <t>サダム</t>
    </rPh>
    <rPh sb="5" eb="6">
      <t>ショウ</t>
    </rPh>
    <rPh sb="7" eb="8">
      <t>カン</t>
    </rPh>
    <rPh sb="9" eb="10">
      <t>ガク</t>
    </rPh>
    <phoneticPr fontId="2"/>
  </si>
  <si>
    <t>代表者</t>
    <rPh sb="0" eb="2">
      <t>ダイヒョウ</t>
    </rPh>
    <rPh sb="2" eb="3">
      <t>シャ</t>
    </rPh>
    <phoneticPr fontId="2"/>
  </si>
  <si>
    <t>千円</t>
    <rPh sb="0" eb="2">
      <t>センエン</t>
    </rPh>
    <phoneticPr fontId="2"/>
  </si>
  <si>
    <t>事　業　種　目　及　び　事　業　量</t>
    <rPh sb="0" eb="1">
      <t>コト</t>
    </rPh>
    <rPh sb="2" eb="3">
      <t>ギョウ</t>
    </rPh>
    <rPh sb="4" eb="5">
      <t>シュ</t>
    </rPh>
    <rPh sb="6" eb="7">
      <t>メ</t>
    </rPh>
    <rPh sb="8" eb="9">
      <t>オヨ</t>
    </rPh>
    <rPh sb="12" eb="13">
      <t>コト</t>
    </rPh>
    <rPh sb="14" eb="15">
      <t>ギョウ</t>
    </rPh>
    <rPh sb="16" eb="17">
      <t>リョウ</t>
    </rPh>
    <phoneticPr fontId="2"/>
  </si>
  <si>
    <t>コ　ー　ド</t>
    <phoneticPr fontId="2"/>
  </si>
  <si>
    <t>ｶﾀｶﾅ</t>
    <phoneticPr fontId="2"/>
  </si>
  <si>
    <t>漢字</t>
    <rPh sb="0" eb="2">
      <t>カンジ</t>
    </rPh>
    <phoneticPr fontId="2"/>
  </si>
  <si>
    <t>施設</t>
    <rPh sb="0" eb="2">
      <t>シセツ</t>
    </rPh>
    <phoneticPr fontId="2"/>
  </si>
  <si>
    <t>借入予定者氏名等（上段……ｶﾀｶﾅ　下段……漢字）</t>
    <rPh sb="0" eb="2">
      <t>カリイレ</t>
    </rPh>
    <rPh sb="2" eb="5">
      <t>ヨテイシャ</t>
    </rPh>
    <rPh sb="5" eb="7">
      <t>シメイ</t>
    </rPh>
    <rPh sb="7" eb="8">
      <t>ナド</t>
    </rPh>
    <rPh sb="9" eb="11">
      <t>ジョウダン</t>
    </rPh>
    <rPh sb="18" eb="20">
      <t>ゲダン</t>
    </rPh>
    <rPh sb="22" eb="24">
      <t>カンジ</t>
    </rPh>
    <phoneticPr fontId="2"/>
  </si>
  <si>
    <t>西暦</t>
    <rPh sb="0" eb="2">
      <t>セイレキ</t>
    </rPh>
    <phoneticPr fontId="2"/>
  </si>
  <si>
    <t>農林振興ｾﾝﾀｰｺｰﾄﾞ</t>
    <rPh sb="0" eb="2">
      <t>ノウリン</t>
    </rPh>
    <rPh sb="2" eb="4">
      <t>シンコウ</t>
    </rPh>
    <phoneticPr fontId="2"/>
  </si>
  <si>
    <t>市町村</t>
    <rPh sb="0" eb="3">
      <t>シチョウソン</t>
    </rPh>
    <phoneticPr fontId="2"/>
  </si>
  <si>
    <t>5001りそな川口支店</t>
  </si>
  <si>
    <t>5002りそな東岩槻支店（さいたま）</t>
  </si>
  <si>
    <t>5003りそな西川口支店</t>
  </si>
  <si>
    <t>5004りそな川口南平支店</t>
  </si>
  <si>
    <t>5005りそなさいたま営業部</t>
  </si>
  <si>
    <t>5006りそな県庁支店（さいたま）</t>
  </si>
  <si>
    <t>5007りそな浦和中央支店</t>
  </si>
  <si>
    <t>5008りそな浦和東口支店</t>
  </si>
  <si>
    <t>5009りそな南浦和支店（さいたま）</t>
  </si>
  <si>
    <t>5010りそな岩槻支店（さいたま）</t>
  </si>
  <si>
    <t>5011りそな騎西支店（鴻巣）</t>
  </si>
  <si>
    <t>5012りそな北浦和支店</t>
  </si>
  <si>
    <t>5013りそな北浦和西口支店</t>
  </si>
  <si>
    <t>5014りそな大宮支店（さいたま）</t>
  </si>
  <si>
    <t>5016りそな宮原支店（さいたま）</t>
  </si>
  <si>
    <t>5017りそな東大宮支店</t>
  </si>
  <si>
    <t>5018りそな七里支店（さいたま）</t>
  </si>
  <si>
    <t>5019りそな大宮支店（土呂）</t>
  </si>
  <si>
    <t>5020りそな大宮西支店（さいたま）</t>
  </si>
  <si>
    <t>5021りそな日進支店（さいたま）</t>
  </si>
  <si>
    <t>5022りそな指扇支店（さいたま）</t>
  </si>
  <si>
    <t>5023りそな鴻巣支店</t>
  </si>
  <si>
    <t>5024りそな上尾支店</t>
  </si>
  <si>
    <t>5025りそな上尾西口支店</t>
  </si>
  <si>
    <t>5026りそな与野支店（さいたま）</t>
  </si>
  <si>
    <t>5027りそな草加支店</t>
  </si>
  <si>
    <t>5028りそな松原支店（草加）</t>
  </si>
  <si>
    <t>5029りそな蕨支店</t>
  </si>
  <si>
    <t>5030りそな蕨東支店</t>
  </si>
  <si>
    <t>5031りそな戸田支店</t>
  </si>
  <si>
    <t>5033りそな鳩ヶ谷支店（川口）</t>
  </si>
  <si>
    <t>5034りそな朝霞支店</t>
  </si>
  <si>
    <t>5035りそな志木支店</t>
  </si>
  <si>
    <t>5036りそな和光支店</t>
  </si>
  <si>
    <t>5037りそな新座支店</t>
  </si>
  <si>
    <t>5039りそな桶川支店</t>
  </si>
  <si>
    <t>5040りそな北本支店</t>
  </si>
  <si>
    <t>5041りそな伊奈支店</t>
  </si>
  <si>
    <t>5042りそな吹上支店（鴻巣）</t>
  </si>
  <si>
    <t>5047りそな武蔵浦和支店（さいたま）</t>
  </si>
  <si>
    <t>5101りそな川越支店</t>
  </si>
  <si>
    <t>5102りそな川越南支店</t>
  </si>
  <si>
    <t>5103りそな本川越支店</t>
  </si>
  <si>
    <t>5104りそな川越支店・新河岸</t>
  </si>
  <si>
    <t>5105りそな霞ヶ関支店（川越）</t>
  </si>
  <si>
    <t>5106りそな所沢支店</t>
  </si>
  <si>
    <t>5108りそな新所沢支店</t>
  </si>
  <si>
    <t>5109りそな小手指支店（所沢）</t>
  </si>
  <si>
    <t>5110りそな飯能支店</t>
  </si>
  <si>
    <t>5111りそな狭山支店</t>
  </si>
  <si>
    <t>5112りそな新狭山支店</t>
  </si>
  <si>
    <t>5114りそな入間支店</t>
  </si>
  <si>
    <t>5115りそな武蔵藤沢支店（入間）</t>
  </si>
  <si>
    <t>5116りそな上福岡支店（ふじみ野）</t>
  </si>
  <si>
    <t>5117りそな鶴瀬支店（富士見）</t>
  </si>
  <si>
    <t>5118りそなみずほ台支店（富士見）</t>
  </si>
  <si>
    <t>5119りそな坂戸支店</t>
  </si>
  <si>
    <t>5121りそな大井支店（ふじみ野）</t>
  </si>
  <si>
    <t>5122りそな鶴瀬支店（三芳）</t>
  </si>
  <si>
    <t>5123りそな越生毛呂山支店（毛呂山）</t>
  </si>
  <si>
    <t>5125りそな鶴ヶ島支店</t>
  </si>
  <si>
    <t>5126りそな日高支店</t>
  </si>
  <si>
    <t>5131りそな所沢支店所沢東口</t>
  </si>
  <si>
    <t>5201りそな東松山支店（東松山）</t>
  </si>
  <si>
    <t>5202りそな東松山支店（滑川）</t>
  </si>
  <si>
    <t>5203りそな東松山支店（嵐山）</t>
  </si>
  <si>
    <t>5204りそな小川支店</t>
  </si>
  <si>
    <t>5206りそな東松山（ときがわ）</t>
  </si>
  <si>
    <t>5207りそな東松山支店（川島）</t>
  </si>
  <si>
    <t>5208りそな東松山支店（吉見）</t>
  </si>
  <si>
    <t>5301りそな秩父支店（秩父）</t>
  </si>
  <si>
    <t>5302りそな秩父支店（横瀬）</t>
  </si>
  <si>
    <t>5303りそな皆野支店（皆野）</t>
  </si>
  <si>
    <t>5304りそな皆野支店（長）</t>
  </si>
  <si>
    <t>5305りそな小鹿野支店（秩父）</t>
  </si>
  <si>
    <t>5306りそな小鹿野支店（小鹿野）</t>
  </si>
  <si>
    <t>5310りそな小鹿野支店（東秩父）</t>
  </si>
  <si>
    <t>5401りそな本庄支店（本庄）</t>
  </si>
  <si>
    <t>5402りそな本庄支店（美里）</t>
  </si>
  <si>
    <t>5403りそな児玉支店（本庄）</t>
  </si>
  <si>
    <t>5404りそな児玉支店（神川）</t>
  </si>
  <si>
    <t>5405りそな本庄支店（神川）</t>
  </si>
  <si>
    <t>5406りそな本庄支店（上里）</t>
  </si>
  <si>
    <t>5501りそな熊谷支店（熊谷）</t>
  </si>
  <si>
    <t>5503りそな熊谷駅前支店</t>
  </si>
  <si>
    <t>5504りそな深谷支店</t>
  </si>
  <si>
    <t>5507りそな妻沼支店（熊谷）</t>
  </si>
  <si>
    <t>5508りそな岡部支店（深谷）</t>
  </si>
  <si>
    <t>5509りそな熊谷支店（深谷）</t>
  </si>
  <si>
    <t>5510りそな寄居支店（深谷）</t>
  </si>
  <si>
    <t>5511りそな寄居支店（寄居）</t>
  </si>
  <si>
    <t>5512りそな籠原支店（熊谷）</t>
  </si>
  <si>
    <t>5601りそな行田支店</t>
  </si>
  <si>
    <t>5602りそな加須支店</t>
  </si>
  <si>
    <t>5603りそな羽生支店</t>
  </si>
  <si>
    <t>5604りそな騎西支店（加須）</t>
  </si>
  <si>
    <t>5607りそな栗橋支店（加須市北川辺）</t>
  </si>
  <si>
    <t>5608りそな栗橋支店（加須市大利根）</t>
  </si>
  <si>
    <t>5703りそな春日部支店</t>
  </si>
  <si>
    <t>5704りそな武里支店（春日部）</t>
  </si>
  <si>
    <t>5705りそな春日部西口支店</t>
  </si>
  <si>
    <t>5706りそな越谷支店（越谷）</t>
  </si>
  <si>
    <t>5707りそな久喜支店</t>
  </si>
  <si>
    <t>5708りそな八潮支店</t>
  </si>
  <si>
    <t>5709りそな蓮田支店</t>
  </si>
  <si>
    <t>5710りそな白岡支店</t>
  </si>
  <si>
    <t>5712りそな菖蒲支店（久喜）</t>
  </si>
  <si>
    <t>5714りそな宮代支店</t>
  </si>
  <si>
    <t>5715りそな南越谷支店</t>
  </si>
  <si>
    <t>5716りそな北越谷支店</t>
  </si>
  <si>
    <t>5801りそな三郷支店</t>
  </si>
  <si>
    <t>5802りそな幸手支店</t>
  </si>
  <si>
    <t>5803りそな栗橋支店（久喜）</t>
  </si>
  <si>
    <t>5804りそな鷲宮支店（久喜）</t>
  </si>
  <si>
    <t>5805りそな杉戸支店</t>
  </si>
  <si>
    <t>5806りそな越谷支店（松伏）</t>
  </si>
  <si>
    <t>5807りそな吉川支店</t>
  </si>
  <si>
    <t>5808りそな庄和支店（春日部）</t>
  </si>
  <si>
    <t>6001武銀本店営業部（さいたま）</t>
  </si>
  <si>
    <t>6002武銀浦和支店</t>
  </si>
  <si>
    <t>6003武銀蕨支店</t>
  </si>
  <si>
    <t>6004武銀川口支店</t>
  </si>
  <si>
    <t>6018武銀草加支店</t>
  </si>
  <si>
    <t>6020武銀鴻巣支店</t>
  </si>
  <si>
    <t>6021武銀北浦和支店</t>
  </si>
  <si>
    <t>6022武銀志木支店</t>
  </si>
  <si>
    <t>6024武銀上尾支店</t>
  </si>
  <si>
    <t>6025武銀宮原支店（さいたま）</t>
  </si>
  <si>
    <t>6027武銀戸田支店</t>
  </si>
  <si>
    <t>6028武銀朝霞支店</t>
  </si>
  <si>
    <t>6030武銀岩槻支店（さいたま）</t>
  </si>
  <si>
    <t>6032武銀東大宮支店（さいたま）</t>
  </si>
  <si>
    <t>6033武銀南浦和支店</t>
  </si>
  <si>
    <t>6034武銀大宮支店</t>
  </si>
  <si>
    <t>6035武銀西上尾支店</t>
  </si>
  <si>
    <t>6036武銀西川口支店</t>
  </si>
  <si>
    <t>6037武銀新座支店</t>
  </si>
  <si>
    <t>6038武銀与野支店（さいたま）</t>
  </si>
  <si>
    <t>6039武銀北本支店</t>
  </si>
  <si>
    <t>6044武銀七里支店（さいたま）</t>
  </si>
  <si>
    <t>6045武銀指扇支店（さいたま）</t>
  </si>
  <si>
    <t>6049武銀東浦和支店（さいたま）</t>
  </si>
  <si>
    <t>6056武銀松原支店（草加）</t>
  </si>
  <si>
    <t>6057武銀県庁前支店（さいたま）</t>
  </si>
  <si>
    <t>6059武銀大宮北支店</t>
  </si>
  <si>
    <t>6061武銀伊奈支店</t>
  </si>
  <si>
    <t>6036武銀武蔵浦和支店（さいたま）</t>
  </si>
  <si>
    <t>6065武銀桶川支店</t>
  </si>
  <si>
    <t>6068武銀新座南支店</t>
  </si>
  <si>
    <t>6077武銀白鍬支店（さいたま）</t>
  </si>
  <si>
    <t>6082武銀北浦和西口支店</t>
  </si>
  <si>
    <t>6090武銀東川口支店</t>
  </si>
  <si>
    <t>6091武銀和光支店</t>
  </si>
  <si>
    <t>6092武銀行田支店（鴻巣）</t>
  </si>
  <si>
    <t>6093武銀片柳支店（さいたま）</t>
  </si>
  <si>
    <t>6094武銀深作支店（さいたま）</t>
  </si>
  <si>
    <t>6095武銀天沼支店（さいたま）</t>
  </si>
  <si>
    <t>6096武銀宮原西口支店（さいたま）</t>
  </si>
  <si>
    <t>6097武銀鳩ヶ谷支店（川口）</t>
  </si>
  <si>
    <t>6098武銀戸田西支店</t>
  </si>
  <si>
    <t>6105武銀狭山支店</t>
  </si>
  <si>
    <t>6116武銀飯能支店</t>
  </si>
  <si>
    <t>6117武銀川越支店</t>
  </si>
  <si>
    <t>6119武銀所沢支店</t>
  </si>
  <si>
    <t>6131武銀大井支店（ふじみ野）</t>
  </si>
  <si>
    <t>6140武銀新所沢支店</t>
  </si>
  <si>
    <t>6141武銀坂戸支店</t>
  </si>
  <si>
    <t>6142武銀日高支店</t>
  </si>
  <si>
    <t>6146武銀新河岸支店（川越）</t>
  </si>
  <si>
    <t>6148武銀狭山東支店</t>
  </si>
  <si>
    <t>6153武銀霞ヶ関支店（川越）</t>
  </si>
  <si>
    <t>6154武銀川越南支店</t>
  </si>
  <si>
    <t>6164武銀入曽支店（狭山）</t>
  </si>
  <si>
    <t>6166武銀下山口支店（所沢）</t>
  </si>
  <si>
    <t>6169武銀所沢駅前支店</t>
  </si>
  <si>
    <t>6170武銀入間支店</t>
  </si>
  <si>
    <t>6174武銀狭山西支店</t>
  </si>
  <si>
    <t>6176武銀みずほ台支店（富士見）</t>
  </si>
  <si>
    <t>6180武銀東所沢支店</t>
  </si>
  <si>
    <t>6183武銀鶴ケ島支店（川越）</t>
  </si>
  <si>
    <t>6192武銀大井支店（三芳）</t>
  </si>
  <si>
    <t>6193武銀坂戸支店（毛呂山）</t>
  </si>
  <si>
    <t>6194武銀坂戸支店（越生）</t>
  </si>
  <si>
    <t>6195武銀坂戸支店（鶴ヶ島）</t>
  </si>
  <si>
    <t>6197武銀ふじみ野支店（ふじみ野）</t>
  </si>
  <si>
    <t>6211武銀東松山（東松山）</t>
  </si>
  <si>
    <t>6212武銀小川支店（小川）</t>
  </si>
  <si>
    <t>6275武銀高坂支店</t>
  </si>
  <si>
    <t>6290武銀東松山（滑川）</t>
  </si>
  <si>
    <t>6291武銀小川支店（嵐山）</t>
  </si>
  <si>
    <t>6292武銀小川支店（ときがわ）</t>
  </si>
  <si>
    <t>6294武銀川越支店（川島）</t>
  </si>
  <si>
    <t>6295武銀東松山（吉見）</t>
  </si>
  <si>
    <t>6296武銀坂戸支店（鳩山）</t>
  </si>
  <si>
    <t>6306武銀秩父支店（秩父）</t>
  </si>
  <si>
    <t>6307武銀秩父支店（横瀬）</t>
  </si>
  <si>
    <t>6378武銀横瀬支店</t>
  </si>
  <si>
    <t>6391武銀秩父支店（皆野）</t>
  </si>
  <si>
    <t>6392武銀寄居支店（長瀞）</t>
  </si>
  <si>
    <t>6394武銀秩父支店（小鹿野）</t>
  </si>
  <si>
    <t>6398武銀小川支店（東秩父）</t>
  </si>
  <si>
    <t>6415武銀本庄支店（本庄）</t>
  </si>
  <si>
    <t>6467武銀本庄南支店</t>
  </si>
  <si>
    <t>6490武銀本庄支店（美里）</t>
  </si>
  <si>
    <t>6492武銀本庄支店（神川）</t>
  </si>
  <si>
    <t>6494武銀本庄支店（上里）</t>
  </si>
  <si>
    <t>6507武銀寄居支店（寄居）</t>
  </si>
  <si>
    <t>6508武銀熊谷支店（熊谷）</t>
  </si>
  <si>
    <t>6562武銀深谷支店</t>
  </si>
  <si>
    <t>6573武銀川本支店（深谷）</t>
  </si>
  <si>
    <t>6594武銀寄居支店（深谷）</t>
  </si>
  <si>
    <t>6595武銀熊谷東支店</t>
  </si>
  <si>
    <t>6609武銀羽生支店（羽生）</t>
  </si>
  <si>
    <t>6613武銀行田支店（行田）</t>
  </si>
  <si>
    <t>6690武銀加須支店</t>
  </si>
  <si>
    <t>6691武銀羽生支店（加須市騎西）</t>
  </si>
  <si>
    <t>6694武銀幸手支店（加須市北川辺）</t>
  </si>
  <si>
    <t>6695武銀幸手支店（加須市大利根）</t>
  </si>
  <si>
    <t>6696武銀久喜支店（加須）</t>
  </si>
  <si>
    <t>6714武銀春日部支店（春日部）</t>
  </si>
  <si>
    <t>6723武銀久喜支店（久喜）</t>
  </si>
  <si>
    <t>6726武銀越谷支店（越谷）</t>
  </si>
  <si>
    <t>6747武銀蓮田支店（蓮田）</t>
  </si>
  <si>
    <t>6750武銀武里支店（春日部）</t>
  </si>
  <si>
    <t>6751武銀藤ヶ丘支店（春日部）</t>
  </si>
  <si>
    <t>6755武銀大袋支店（越谷）</t>
  </si>
  <si>
    <t>6790武銀八潮支店</t>
  </si>
  <si>
    <t>6791武銀春日部支店（宮代）</t>
  </si>
  <si>
    <t>6792武銀蓮田支店（白岡）</t>
  </si>
  <si>
    <t>6793武銀久喜支店（久喜市菖蒲）</t>
  </si>
  <si>
    <t>6794武銀新白岡支店</t>
  </si>
  <si>
    <t>6795武銀伊奈支店（蓮田）</t>
  </si>
  <si>
    <t>6810武銀幸手支店（幸手）</t>
  </si>
  <si>
    <t>6858武銀三郷支店</t>
  </si>
  <si>
    <t>6860武銀松伏支店</t>
  </si>
  <si>
    <t>6871武銀庄和支店（宮代）</t>
  </si>
  <si>
    <t>6884武銀杉戸高野台支店</t>
  </si>
  <si>
    <t>6890武銀幸手支店（久喜）</t>
  </si>
  <si>
    <t>6891武銀久喜支店（久喜市鷲宮）</t>
  </si>
  <si>
    <t>6892武銀幸手支店（杉戸）</t>
  </si>
  <si>
    <t>6893武銀越谷支店（吉川）</t>
  </si>
  <si>
    <t>6894武銀吉川支店</t>
  </si>
  <si>
    <t>7002埼信浦和支店</t>
  </si>
  <si>
    <t>7003埼信大宮支店</t>
  </si>
  <si>
    <t>7010埼信鴻巣支店（鴻巣）</t>
  </si>
  <si>
    <t>7013埼信桶川支店（桶川）</t>
  </si>
  <si>
    <t>7016埼信上尾支店</t>
  </si>
  <si>
    <t>7017埼信草加支店</t>
  </si>
  <si>
    <t>7018埼信岩槻支店（さいたま）</t>
  </si>
  <si>
    <t>7019埼信北浦和支店</t>
  </si>
  <si>
    <t>7020埼信大宮西支店</t>
  </si>
  <si>
    <t>7021埼信北本支店</t>
  </si>
  <si>
    <t>7023埼信与野支店（さいたま）</t>
  </si>
  <si>
    <t>7025埼信南浦和支店</t>
  </si>
  <si>
    <t>7030埼信大和田支店（さいたま）</t>
  </si>
  <si>
    <t>7035埼信吹上支店（鴻巣）</t>
  </si>
  <si>
    <t>7036埼信三橋支店（さいたま）</t>
  </si>
  <si>
    <t>7038埼信大東支店（さいたま）</t>
  </si>
  <si>
    <t>7040埼信片柳支店（さいたま）</t>
  </si>
  <si>
    <t>7041埼信宮原東支店（さいたま）</t>
  </si>
  <si>
    <t>7043埼信宮原支店（さいたま）</t>
  </si>
  <si>
    <t>7044埼信西堀支店（さいたま）</t>
  </si>
  <si>
    <t>7046埼信浦和東支店</t>
  </si>
  <si>
    <t>7047埼信上尾柏座支店</t>
  </si>
  <si>
    <t>7048埼信上尾西支店</t>
  </si>
  <si>
    <t>7049埼信大間木支店（さいたま）</t>
  </si>
  <si>
    <t>7050埼信原市支店（上尾）</t>
  </si>
  <si>
    <t>7051埼信伊奈支店</t>
  </si>
  <si>
    <t>7058埼信七里支店（さいたま）</t>
  </si>
  <si>
    <t>7061埼信東岩槻支店（さいたま）</t>
  </si>
  <si>
    <t>7063埼信鴻巣西口支店</t>
  </si>
  <si>
    <t>7064埼信桶川西口支店</t>
  </si>
  <si>
    <t>7065埼信北本西口支店</t>
  </si>
  <si>
    <t>7066埼信新座支店</t>
  </si>
  <si>
    <t>7067埼信野火止支店（新座）</t>
  </si>
  <si>
    <t>7068埼信朝霞支店</t>
  </si>
  <si>
    <t>7073埼信大久保支店（さいたま）</t>
  </si>
  <si>
    <t>7074埼信東大宮支店（さいたま）</t>
  </si>
  <si>
    <t>7088埼信原市支店（伊奈）</t>
  </si>
  <si>
    <t>7089埼信熊谷東支店（鴻巣）</t>
  </si>
  <si>
    <t>7092埼信西草加支店（草加）</t>
  </si>
  <si>
    <t>7093埼信北草加支店（草加）</t>
  </si>
  <si>
    <t>7104埼信川越支店</t>
  </si>
  <si>
    <t>7105埼信新河岸東支店（川越）</t>
  </si>
  <si>
    <t>7106埼信川越南支店</t>
  </si>
  <si>
    <t>7107埼信川越西支店</t>
  </si>
  <si>
    <t>7108埼信南古谷支店（川越）</t>
  </si>
  <si>
    <t>7110埼信越生支店</t>
  </si>
  <si>
    <t>7111埼信毛呂山支店</t>
  </si>
  <si>
    <t>7112埼信狭山支店</t>
  </si>
  <si>
    <t>7113埼信上福岡支店（ふじみ野）</t>
  </si>
  <si>
    <t>7114埼信鶴瀬支店（富士見）</t>
  </si>
  <si>
    <t>7115埼信鶴ヶ島支店</t>
  </si>
  <si>
    <t>7116埼信武蔵藤沢支店（入間）</t>
  </si>
  <si>
    <t>7117埼信三芳支店</t>
  </si>
  <si>
    <t>7120埼信長瀬支店（毛呂山）</t>
  </si>
  <si>
    <t>7145埼信新河岸支店（川越）</t>
  </si>
  <si>
    <t>7147埼信ふじみ野支店（ふじみ野）</t>
  </si>
  <si>
    <t>7153埼信所沢東支店</t>
  </si>
  <si>
    <t>7154埼信坂戸支店（坂戸）</t>
  </si>
  <si>
    <t>7156埼信霞ヶ関支店（川越）</t>
  </si>
  <si>
    <t>7166埼信鶴ヶ島北支店</t>
  </si>
  <si>
    <t>7188埼信新河岸支店（ふじみ野）</t>
  </si>
  <si>
    <t>7260埼信高坂支店</t>
  </si>
  <si>
    <t>7262埼信東松山支店</t>
  </si>
  <si>
    <t>7270埼信森林公園支店（滑川）</t>
  </si>
  <si>
    <t>7271埼信小川支店</t>
  </si>
  <si>
    <t>7272埼信嵐山支店</t>
  </si>
  <si>
    <t>7273埼信川島支店</t>
  </si>
  <si>
    <t>7274埼信吉見支店</t>
  </si>
  <si>
    <t>7277埼信都幾川支店（ときがわ）</t>
  </si>
  <si>
    <t>7288埼信鴻巣支店（滑川）</t>
  </si>
  <si>
    <t>7289埼信坂戸支店（川島）</t>
  </si>
  <si>
    <t>7290埼信鴻巣支店（吉見）</t>
  </si>
  <si>
    <t>7305埼信秩父支店（秩父）</t>
  </si>
  <si>
    <t>7388埼信秩父支店（横瀬）</t>
  </si>
  <si>
    <t>7389埼信秩父支店（皆野）</t>
  </si>
  <si>
    <t>7390埼信秩父支店（長瀞）</t>
  </si>
  <si>
    <t>7392埼信秩父支店（小鹿野）</t>
  </si>
  <si>
    <t>7406埼信本庄支店（本庄）</t>
  </si>
  <si>
    <t>7488埼信本庄支店（美里）</t>
  </si>
  <si>
    <t>7490埼信本庄支店（神川）</t>
  </si>
  <si>
    <t>7491埼信本庄支店（上里）</t>
  </si>
  <si>
    <t>7501埼信本店営業部（熊谷）</t>
  </si>
  <si>
    <t>7514埼信深谷支店</t>
  </si>
  <si>
    <t>7515埼信寄居支店（寄居）</t>
  </si>
  <si>
    <t>7531埼信籠原支店（熊谷）</t>
  </si>
  <si>
    <t>7539埼信上之支店（熊谷）</t>
  </si>
  <si>
    <t>7557埼信籠原南支店（熊谷）</t>
  </si>
  <si>
    <t>7559埼信江南支店（熊谷）</t>
  </si>
  <si>
    <t>7591埼信寄居支店（深谷）</t>
  </si>
  <si>
    <t>7593埼信本部・熊谷東支店</t>
  </si>
  <si>
    <t>7594埼信江南支店（深谷）</t>
  </si>
  <si>
    <t>7607埼信行田支店</t>
  </si>
  <si>
    <t>7608埼信花崎支店（加須）</t>
  </si>
  <si>
    <t>7609埼信加須支店（加須）</t>
  </si>
  <si>
    <t>7618埼信羽生支店</t>
  </si>
  <si>
    <t>7664埼信騎西支店（加須）</t>
  </si>
  <si>
    <t>7688埼信加須支店（加須市騎西）</t>
  </si>
  <si>
    <t>7689埼信加須支店（加須市北川辺）</t>
  </si>
  <si>
    <t>7690埼信加須支店（加須市大利根）</t>
  </si>
  <si>
    <t>7693埼信熊谷東支店（行田）</t>
  </si>
  <si>
    <t>7711埼信春日部（春日部）</t>
  </si>
  <si>
    <t>7712埼信越谷支店（越谷）</t>
  </si>
  <si>
    <t>7727埼信蓮田支店</t>
  </si>
  <si>
    <t>7728埼信大袋支店（越谷）</t>
  </si>
  <si>
    <t>7729埼信八潮支店</t>
  </si>
  <si>
    <t>7730埼信越谷平方支店</t>
  </si>
  <si>
    <t>7731埼信宮代支店</t>
  </si>
  <si>
    <t>7732埼信白岡支店</t>
  </si>
  <si>
    <t>7733埼信久喜支店</t>
  </si>
  <si>
    <t>7734埼信豊春支店（春日部）</t>
  </si>
  <si>
    <t>7750埼信春日部西口支店</t>
  </si>
  <si>
    <t>7752埼信八潮南支店</t>
  </si>
  <si>
    <t>7767埼信東八潮支店</t>
  </si>
  <si>
    <t>7788埼信杉戸支店（宮代）</t>
  </si>
  <si>
    <t>7789埼信桶川支店（久喜）</t>
  </si>
  <si>
    <t>7826埼信杉戸支店（杉戸）</t>
  </si>
  <si>
    <t>7888埼信杉戸支店（幸手）</t>
  </si>
  <si>
    <t>7889埼信杉戸支店（久喜）</t>
  </si>
  <si>
    <t>7890埼信越谷支店（松伏）</t>
  </si>
  <si>
    <t>7891埼信草加支店（吉川）</t>
  </si>
  <si>
    <t>7893埼信幸手支店</t>
  </si>
  <si>
    <t>7894埼信西草加支店（吉川）</t>
  </si>
  <si>
    <t>7895埼信北草加支店（吉川）</t>
  </si>
  <si>
    <t>8001川信本部（川口）</t>
  </si>
  <si>
    <t>8002川信本店営業部（川口）</t>
  </si>
  <si>
    <t>8003川信仲町支店（川口）</t>
  </si>
  <si>
    <t>8004川信飯塚支店（川口）</t>
  </si>
  <si>
    <t>8005川信本町東支店（川口）</t>
  </si>
  <si>
    <t>8006川信芝支店（川口）</t>
  </si>
  <si>
    <t>8007川信柳崎支店（川口）</t>
  </si>
  <si>
    <t>8008川信鳩ヶ谷支店（川口）</t>
  </si>
  <si>
    <t>8009川信木曽呂支店（川口）</t>
  </si>
  <si>
    <t>8010川信川口中央支店</t>
  </si>
  <si>
    <t>8011川信東川口支店</t>
  </si>
  <si>
    <t>8012川信赤井支店（川口）</t>
  </si>
  <si>
    <t>8013川信東本郷支店（川口）</t>
  </si>
  <si>
    <t>8014川信蕨支店</t>
  </si>
  <si>
    <t>8015川信戸田支店</t>
  </si>
  <si>
    <t>8016川信戸田北支店</t>
  </si>
  <si>
    <t>8017川信志木支店</t>
  </si>
  <si>
    <t>8018川信宗岡支店（志木）</t>
  </si>
  <si>
    <t>8019川信志木北支店</t>
  </si>
  <si>
    <t>8020川信和光支店</t>
  </si>
  <si>
    <t>8021川信大宮支店</t>
  </si>
  <si>
    <t>8022川信与野支店（さいたま）</t>
  </si>
  <si>
    <t>8023川信北浦和支店</t>
  </si>
  <si>
    <t>8024川信大和田支店（さいたま）</t>
  </si>
  <si>
    <t>8025川信武蔵浦和支店（さいたま）</t>
  </si>
  <si>
    <t>8026川信浦和中尾支店</t>
  </si>
  <si>
    <t>8027川信東大宮支店</t>
  </si>
  <si>
    <t>8028川信岩槻支店（さいたま）</t>
  </si>
  <si>
    <t>8029川信土呂支店（さいたま）</t>
  </si>
  <si>
    <t>8030川信浦和道場支店（さいたま）</t>
  </si>
  <si>
    <t>8031川信東浦和駅前支店</t>
  </si>
  <si>
    <t>8032川信鴻巣支店</t>
  </si>
  <si>
    <t>8033川信上尾支店</t>
  </si>
  <si>
    <t>8034川信桶川支店</t>
  </si>
  <si>
    <t>8101川信みずほ台支店（富士見）</t>
  </si>
  <si>
    <t>8102川信ふじみ野支店</t>
  </si>
  <si>
    <t>8701川信蒲生支店（越谷）</t>
  </si>
  <si>
    <t>8702川信蒲生西口支店（越谷）</t>
  </si>
  <si>
    <t>8703川信南越谷支店</t>
  </si>
  <si>
    <t>8704川信せんげん台支店（越谷）</t>
  </si>
  <si>
    <t>8705川信一ノ割支店（春日部）</t>
  </si>
  <si>
    <t>8706川信春日部支店</t>
  </si>
  <si>
    <t>8707川信宮代支店</t>
  </si>
  <si>
    <t>8708川信久喜支店</t>
  </si>
  <si>
    <t>8801川信鷲宮支店（久喜）</t>
  </si>
  <si>
    <t>8802川信栗橋支店（久喜）</t>
  </si>
  <si>
    <t>1001 さいたま・さいたま市</t>
  </si>
  <si>
    <t>1003 ほくさい・鴻巣市</t>
  </si>
  <si>
    <t>1005 南彩・さいたま市</t>
  </si>
  <si>
    <t>1008 さいたま・戸田市</t>
  </si>
  <si>
    <t>1009 さいたま・蕨市</t>
  </si>
  <si>
    <t>1020 さいたま・草加市</t>
  </si>
  <si>
    <t>1035 さいたま・鴻巣市</t>
  </si>
  <si>
    <t>1038 さいたま・北本市</t>
  </si>
  <si>
    <t>1040 さいたま・伊奈町</t>
  </si>
  <si>
    <t>1041 さいたま・桶川市</t>
  </si>
  <si>
    <t>1046 さいたま・上尾市</t>
  </si>
  <si>
    <t>1049 あさか野・志木市</t>
  </si>
  <si>
    <t>1050 あさか野・新座市</t>
  </si>
  <si>
    <t>1053 あさか野・朝霞市</t>
  </si>
  <si>
    <t>1054 あさか野・和光市</t>
  </si>
  <si>
    <t>1056 さいたま・川口市</t>
  </si>
  <si>
    <t>1057 さいたま・草加市</t>
  </si>
  <si>
    <t>1101 いるま野・川越市</t>
  </si>
  <si>
    <t>1115 いるま野・所沢市</t>
  </si>
  <si>
    <t>1124 いるま野・入間市</t>
  </si>
  <si>
    <t>1130 いるま野・狭山市</t>
  </si>
  <si>
    <t>1131 いるま野・坂戸市</t>
  </si>
  <si>
    <t>1136 いるま野・鶴ヶ島市</t>
  </si>
  <si>
    <t>1137 いるま野・毛呂山</t>
  </si>
  <si>
    <t>1138 いるま野・越生町</t>
  </si>
  <si>
    <t>1139 いるま野・日高市</t>
  </si>
  <si>
    <t>1140 いるま野・飯能市</t>
  </si>
  <si>
    <t>1146 いるま野・富士見市</t>
  </si>
  <si>
    <t>1147 いるま野・ふじみ野市</t>
  </si>
  <si>
    <t>1149 いるま野・三芳町</t>
  </si>
  <si>
    <t>1201 埼玉中央・東松山市</t>
  </si>
  <si>
    <t>1202 埼玉中央・滑川町</t>
  </si>
  <si>
    <t>1204 埼玉中央・嵐山町</t>
  </si>
  <si>
    <t>1207 埼玉中央・小川町</t>
  </si>
  <si>
    <t>1209 埼玉中央・ときがわ町</t>
  </si>
  <si>
    <t>1213 埼玉中央・鳩山町</t>
  </si>
  <si>
    <t>1214 埼玉中央・川島町</t>
  </si>
  <si>
    <t>1215 埼玉中央・吉見町</t>
  </si>
  <si>
    <t>1301 ちちぶ・秩父市</t>
  </si>
  <si>
    <t>1302 ちちぶ・横瀬町</t>
  </si>
  <si>
    <t>1305 ちちぶ・皆野町</t>
  </si>
  <si>
    <t>1306 ちちぶ・長瀞町</t>
  </si>
  <si>
    <t>1308 埼玉中央・東秩父村</t>
  </si>
  <si>
    <t>1309 ちちぶ・吉田（秩父市）</t>
  </si>
  <si>
    <t>1310 ちちぶ・小鹿野町</t>
  </si>
  <si>
    <t>1401 ひびきの・本庄市</t>
  </si>
  <si>
    <t>1402 ひびきの・上里町</t>
  </si>
  <si>
    <t>1403 ひびきの・美里町</t>
  </si>
  <si>
    <t>1405 ひびきの・神川町</t>
  </si>
  <si>
    <t>1501 くまがや</t>
  </si>
  <si>
    <t>1507 ふかや・深谷市</t>
  </si>
  <si>
    <t>1511 ふかや・寄居町</t>
  </si>
  <si>
    <t>1514 埼玉岡部・深谷市</t>
  </si>
  <si>
    <t>1517 花園・深谷市</t>
  </si>
  <si>
    <t>1601 ほくさい・行田市</t>
  </si>
  <si>
    <t>1606 ほくさい・羽生市</t>
  </si>
  <si>
    <t>1615 ほくさい・加須市</t>
  </si>
  <si>
    <t>1617 ほくさい・加須市騎西</t>
  </si>
  <si>
    <t>1618 ほくさい・加須市北川辺</t>
  </si>
  <si>
    <t>1619 ほくさい・加須市大利根</t>
  </si>
  <si>
    <t>1701 さいかつ・八潮市</t>
  </si>
  <si>
    <t>1703 越谷市・草加市</t>
  </si>
  <si>
    <t>1704 越谷市</t>
  </si>
  <si>
    <t>1706 南彩・春日部市</t>
  </si>
  <si>
    <t>1707 南彩・蓮田市</t>
  </si>
  <si>
    <t>1708 南彩・宮代町</t>
  </si>
  <si>
    <t>1709 南彩・白岡市</t>
  </si>
  <si>
    <t>1710 南彩・久喜市</t>
  </si>
  <si>
    <t>1711 南彩・久喜市菖蒲</t>
  </si>
  <si>
    <t>1803 埼玉みずほ・幸手</t>
  </si>
  <si>
    <t>1804 埼玉みずほ・杉戸</t>
  </si>
  <si>
    <t>1806 埼玉みずほ春日部</t>
  </si>
  <si>
    <t>1807 さいかつ・松伏町</t>
  </si>
  <si>
    <t>1808 さいかつ・吉川市</t>
  </si>
  <si>
    <t>1809 さいかつ・三郷市</t>
  </si>
  <si>
    <t>1812 埼玉みずほ・久喜市鷲宮</t>
  </si>
  <si>
    <t>2501 埼北酪農</t>
  </si>
  <si>
    <t>2504 埼玉酪農</t>
  </si>
  <si>
    <t>融資機関コード</t>
    <rPh sb="0" eb="2">
      <t>ユウシ</t>
    </rPh>
    <rPh sb="2" eb="4">
      <t>キカン</t>
    </rPh>
    <phoneticPr fontId="2"/>
  </si>
  <si>
    <t>・融資機関名は略称です。</t>
    <rPh sb="1" eb="3">
      <t>ユウシ</t>
    </rPh>
    <rPh sb="3" eb="5">
      <t>キカン</t>
    </rPh>
    <rPh sb="5" eb="6">
      <t>メイ</t>
    </rPh>
    <rPh sb="7" eb="9">
      <t>リャクショウ</t>
    </rPh>
    <phoneticPr fontId="2"/>
  </si>
  <si>
    <t>農林振興センターコード</t>
    <rPh sb="0" eb="2">
      <t>ノウリン</t>
    </rPh>
    <rPh sb="2" eb="4">
      <t>シンコウ</t>
    </rPh>
    <phoneticPr fontId="2"/>
  </si>
  <si>
    <t>01 さいたま農林</t>
    <rPh sb="7" eb="9">
      <t>ノウリン</t>
    </rPh>
    <phoneticPr fontId="2"/>
  </si>
  <si>
    <t>02 川越農林</t>
    <rPh sb="3" eb="5">
      <t>カワゴエ</t>
    </rPh>
    <rPh sb="5" eb="7">
      <t>ノウリン</t>
    </rPh>
    <phoneticPr fontId="2"/>
  </si>
  <si>
    <t>03 東松山農林</t>
    <rPh sb="3" eb="6">
      <t>ヒガシマツヤマ</t>
    </rPh>
    <rPh sb="6" eb="8">
      <t>ノウリン</t>
    </rPh>
    <phoneticPr fontId="2"/>
  </si>
  <si>
    <t>04 秩父農林</t>
    <rPh sb="3" eb="5">
      <t>チチブ</t>
    </rPh>
    <rPh sb="5" eb="7">
      <t>ノウリン</t>
    </rPh>
    <phoneticPr fontId="2"/>
  </si>
  <si>
    <t>05 本庄農林</t>
    <rPh sb="3" eb="5">
      <t>ホンジョウ</t>
    </rPh>
    <rPh sb="5" eb="7">
      <t>ノウリン</t>
    </rPh>
    <phoneticPr fontId="2"/>
  </si>
  <si>
    <t>06 大里農林</t>
    <rPh sb="3" eb="5">
      <t>オオサト</t>
    </rPh>
    <rPh sb="5" eb="7">
      <t>ノウリン</t>
    </rPh>
    <phoneticPr fontId="2"/>
  </si>
  <si>
    <t>07 加須農林</t>
    <rPh sb="3" eb="5">
      <t>カゾ</t>
    </rPh>
    <rPh sb="5" eb="7">
      <t>ノウリン</t>
    </rPh>
    <phoneticPr fontId="2"/>
  </si>
  <si>
    <t>08 春日部農林</t>
    <rPh sb="3" eb="6">
      <t>カスカベ</t>
    </rPh>
    <rPh sb="6" eb="8">
      <t>ノウリン</t>
    </rPh>
    <phoneticPr fontId="2"/>
  </si>
  <si>
    <t>市町村コード</t>
    <rPh sb="0" eb="3">
      <t>シチョウソン</t>
    </rPh>
    <phoneticPr fontId="2"/>
  </si>
  <si>
    <t>組織名コード</t>
    <rPh sb="0" eb="2">
      <t>ソシキ</t>
    </rPh>
    <rPh sb="2" eb="3">
      <t>メイ</t>
    </rPh>
    <phoneticPr fontId="2"/>
  </si>
  <si>
    <t>施設コード</t>
    <rPh sb="0" eb="2">
      <t>シセツ</t>
    </rPh>
    <phoneticPr fontId="2"/>
  </si>
  <si>
    <t>11 農事組合法人</t>
    <rPh sb="3" eb="5">
      <t>ノウジ</t>
    </rPh>
    <rPh sb="5" eb="7">
      <t>クミアイ</t>
    </rPh>
    <rPh sb="7" eb="9">
      <t>ホウジン</t>
    </rPh>
    <phoneticPr fontId="2"/>
  </si>
  <si>
    <t>12 株式会社</t>
    <rPh sb="3" eb="5">
      <t>カブシキ</t>
    </rPh>
    <rPh sb="5" eb="7">
      <t>カイシャ</t>
    </rPh>
    <phoneticPr fontId="2"/>
  </si>
  <si>
    <t>13 その他法人</t>
    <rPh sb="5" eb="6">
      <t>タ</t>
    </rPh>
    <rPh sb="6" eb="8">
      <t>ホウジン</t>
    </rPh>
    <phoneticPr fontId="2"/>
  </si>
  <si>
    <t>14 有限会社</t>
    <rPh sb="3" eb="5">
      <t>ユウゲン</t>
    </rPh>
    <rPh sb="5" eb="7">
      <t>カイシャ</t>
    </rPh>
    <phoneticPr fontId="2"/>
  </si>
  <si>
    <t>15　認定新規就農者（法人）</t>
    <rPh sb="3" eb="5">
      <t>ニンテイ</t>
    </rPh>
    <rPh sb="5" eb="7">
      <t>シンキ</t>
    </rPh>
    <rPh sb="7" eb="9">
      <t>シュウノウ</t>
    </rPh>
    <rPh sb="9" eb="10">
      <t>シャ</t>
    </rPh>
    <rPh sb="11" eb="13">
      <t>ホウジン</t>
    </rPh>
    <phoneticPr fontId="2"/>
  </si>
  <si>
    <t>11 一般資金（5号資金除く）</t>
    <rPh sb="3" eb="5">
      <t>イッパン</t>
    </rPh>
    <rPh sb="5" eb="7">
      <t>シキン</t>
    </rPh>
    <rPh sb="9" eb="10">
      <t>ゴウ</t>
    </rPh>
    <rPh sb="10" eb="12">
      <t>シキン</t>
    </rPh>
    <rPh sb="12" eb="13">
      <t>ノゾ</t>
    </rPh>
    <phoneticPr fontId="2"/>
  </si>
  <si>
    <t>12 ５号資金（一般）</t>
    <rPh sb="4" eb="5">
      <t>ゴウ</t>
    </rPh>
    <rPh sb="5" eb="7">
      <t>シキン</t>
    </rPh>
    <rPh sb="8" eb="10">
      <t>イッパン</t>
    </rPh>
    <phoneticPr fontId="2"/>
  </si>
  <si>
    <t>24 集落営農組織の特例資金</t>
    <rPh sb="3" eb="5">
      <t>シュウラク</t>
    </rPh>
    <rPh sb="5" eb="7">
      <t>エイノウ</t>
    </rPh>
    <rPh sb="7" eb="9">
      <t>ソシキ</t>
    </rPh>
    <rPh sb="10" eb="12">
      <t>トクレイ</t>
    </rPh>
    <rPh sb="12" eb="14">
      <t>シキン</t>
    </rPh>
    <phoneticPr fontId="2"/>
  </si>
  <si>
    <t>29 農業振興資金</t>
    <rPh sb="3" eb="5">
      <t>ノウギョウ</t>
    </rPh>
    <rPh sb="5" eb="7">
      <t>シンコウ</t>
    </rPh>
    <rPh sb="7" eb="9">
      <t>シキン</t>
    </rPh>
    <phoneticPr fontId="2"/>
  </si>
  <si>
    <t>借入額</t>
    <rPh sb="0" eb="3">
      <t>カリイレガク</t>
    </rPh>
    <phoneticPr fontId="2"/>
  </si>
  <si>
    <t>償還年数</t>
    <rPh sb="0" eb="2">
      <t>ショウカン</t>
    </rPh>
    <rPh sb="2" eb="4">
      <t>ネンスウ</t>
    </rPh>
    <phoneticPr fontId="2"/>
  </si>
  <si>
    <t>据置期間</t>
    <rPh sb="0" eb="2">
      <t>スエオキ</t>
    </rPh>
    <rPh sb="2" eb="4">
      <t>キカン</t>
    </rPh>
    <phoneticPr fontId="2"/>
  </si>
  <si>
    <t>年賦・半年賦</t>
    <rPh sb="0" eb="2">
      <t>ネンプ</t>
    </rPh>
    <rPh sb="3" eb="4">
      <t>ハン</t>
    </rPh>
    <rPh sb="4" eb="6">
      <t>ネンプ</t>
    </rPh>
    <phoneticPr fontId="2"/>
  </si>
  <si>
    <t>償還回数</t>
    <rPh sb="0" eb="2">
      <t>ショウカン</t>
    </rPh>
    <rPh sb="2" eb="4">
      <t>カイスウ</t>
    </rPh>
    <phoneticPr fontId="2"/>
  </si>
  <si>
    <t>回</t>
    <rPh sb="0" eb="1">
      <t>カイ</t>
    </rPh>
    <phoneticPr fontId="2"/>
  </si>
  <si>
    <t>貸付実行日</t>
    <rPh sb="0" eb="2">
      <t>カシツケ</t>
    </rPh>
    <rPh sb="2" eb="5">
      <t>ジッコウビ</t>
    </rPh>
    <phoneticPr fontId="2"/>
  </si>
  <si>
    <t>初回償還額</t>
    <rPh sb="0" eb="2">
      <t>ショカイ</t>
    </rPh>
    <rPh sb="2" eb="5">
      <t>ショウカンガク</t>
    </rPh>
    <phoneticPr fontId="2"/>
  </si>
  <si>
    <t>2回目以降償還額</t>
    <rPh sb="1" eb="3">
      <t>カイメ</t>
    </rPh>
    <rPh sb="3" eb="5">
      <t>イコウ</t>
    </rPh>
    <rPh sb="5" eb="8">
      <t>ショウカンガク</t>
    </rPh>
    <phoneticPr fontId="2"/>
  </si>
  <si>
    <t>日にち</t>
    <rPh sb="0" eb="1">
      <t>ヒ</t>
    </rPh>
    <phoneticPr fontId="2"/>
  </si>
  <si>
    <t>融資残高（円）</t>
    <rPh sb="0" eb="2">
      <t>ユウシ</t>
    </rPh>
    <rPh sb="2" eb="4">
      <t>ザンダカ</t>
    </rPh>
    <rPh sb="5" eb="6">
      <t>エン</t>
    </rPh>
    <phoneticPr fontId="2"/>
  </si>
  <si>
    <t>債務保証コード</t>
    <rPh sb="0" eb="2">
      <t>サイム</t>
    </rPh>
    <rPh sb="2" eb="4">
      <t>ホショウ</t>
    </rPh>
    <phoneticPr fontId="2"/>
  </si>
  <si>
    <t>農業支援課提出用</t>
    <rPh sb="0" eb="2">
      <t>ノウギョウ</t>
    </rPh>
    <rPh sb="2" eb="5">
      <t>シエンカ</t>
    </rPh>
    <rPh sb="5" eb="7">
      <t>テイシュツ</t>
    </rPh>
    <rPh sb="7" eb="8">
      <t>ヨウ</t>
    </rPh>
    <phoneticPr fontId="2"/>
  </si>
  <si>
    <t>・各コードは</t>
    <rPh sb="1" eb="2">
      <t>カク</t>
    </rPh>
    <phoneticPr fontId="2"/>
  </si>
  <si>
    <t>　の順になっています。</t>
    <rPh sb="2" eb="3">
      <t>ジュン</t>
    </rPh>
    <phoneticPr fontId="2"/>
  </si>
  <si>
    <t>　融資機関コード　融資機関名・利子補給する市町村名</t>
    <phoneticPr fontId="2"/>
  </si>
  <si>
    <t>　～注意点～</t>
    <rPh sb="2" eb="5">
      <t>チュウイテン</t>
    </rPh>
    <phoneticPr fontId="2"/>
  </si>
  <si>
    <t>1　あり</t>
    <phoneticPr fontId="2"/>
  </si>
  <si>
    <t>2　なし</t>
    <phoneticPr fontId="2"/>
  </si>
  <si>
    <t>畜舎（牛舎）</t>
  </si>
  <si>
    <t>畜舎（豚舎）</t>
  </si>
  <si>
    <t>畜舎（鶏舎）</t>
  </si>
  <si>
    <t>農産物乾燥施設</t>
  </si>
  <si>
    <t>たい肥舎</t>
  </si>
  <si>
    <t>農産物育成管理用施設</t>
  </si>
  <si>
    <t>サイロ</t>
  </si>
  <si>
    <t>たい肥盤</t>
  </si>
  <si>
    <t>農業用貯留槽</t>
  </si>
  <si>
    <t>果樹棚</t>
  </si>
  <si>
    <t>牧さく</t>
  </si>
  <si>
    <t>農業用索道</t>
  </si>
  <si>
    <t>排水施設</t>
  </si>
  <si>
    <t>かん水施設</t>
  </si>
  <si>
    <t>農産物処理加工施設</t>
  </si>
  <si>
    <t>農産物貯蔵施設</t>
  </si>
  <si>
    <t>農業生産資材貯蔵施設</t>
  </si>
  <si>
    <t>農業生産資材製造施設</t>
  </si>
  <si>
    <t>農機具保管修理施設</t>
  </si>
  <si>
    <t>病害虫等防除施設</t>
  </si>
  <si>
    <t>ふ卵育すう施設</t>
  </si>
  <si>
    <t>きのこ栽培施設</t>
  </si>
  <si>
    <t>家畜人工受精施設</t>
  </si>
  <si>
    <t>家畜市場施設</t>
  </si>
  <si>
    <t>家畜診療施設</t>
  </si>
  <si>
    <t>農産物販売施設</t>
  </si>
  <si>
    <t>農産物集出荷施設</t>
  </si>
  <si>
    <t>農業生産公害防止等用施設</t>
  </si>
  <si>
    <t>原動機</t>
  </si>
  <si>
    <t>揚排水用機具</t>
  </si>
  <si>
    <t>耕うん機整地用機具</t>
  </si>
  <si>
    <t>農作物育成管理用機具</t>
  </si>
  <si>
    <t>肥料調整散布用機具</t>
  </si>
  <si>
    <t>病害虫等防除用機具</t>
  </si>
  <si>
    <t>収穫調整用機具</t>
  </si>
  <si>
    <t>農産物処理加工用機具</t>
  </si>
  <si>
    <t>畜産用機具</t>
  </si>
  <si>
    <t>養蚕用機具</t>
  </si>
  <si>
    <t>運搬用機具</t>
  </si>
  <si>
    <t>農業生産公害防止等用機具</t>
  </si>
  <si>
    <t>農用地改良造成用機具</t>
  </si>
  <si>
    <t>生産・経営管理情報処理用機具</t>
  </si>
  <si>
    <t>果樹の植栽資金</t>
  </si>
  <si>
    <t>オリーブの植栽資金</t>
  </si>
  <si>
    <t>茶の植栽資金</t>
  </si>
  <si>
    <t>ホップの植栽資金</t>
  </si>
  <si>
    <t>桑の植栽資金</t>
  </si>
  <si>
    <t>アスパラガスの植栽資金</t>
  </si>
  <si>
    <t>果樹等育成資金</t>
  </si>
  <si>
    <t>花き・花木植栽育成資金</t>
  </si>
  <si>
    <t>特定永年性作物植栽育成資金</t>
  </si>
  <si>
    <t>牛（肉用素畜を除く）の購入</t>
  </si>
  <si>
    <t>馬（競争の用に供するものを除く）の購入</t>
  </si>
  <si>
    <t>めん羊（肉用素畜を除く）の購入</t>
  </si>
  <si>
    <t>山羊の購入資金</t>
  </si>
  <si>
    <t>豚（肉用素畜を除く）の購入</t>
  </si>
  <si>
    <t>繁殖用肉牛・繁殖豚の育成資金</t>
  </si>
  <si>
    <t>肥育牛の購入資金</t>
  </si>
  <si>
    <t>肥育豚の購入資金</t>
  </si>
  <si>
    <t>鶏の購入資金</t>
  </si>
  <si>
    <t>肥育牛の育成資金</t>
  </si>
  <si>
    <t>特用家畜購入資金</t>
  </si>
  <si>
    <t>小土地改良資金</t>
  </si>
  <si>
    <t>診療施設</t>
  </si>
  <si>
    <t>農村情報処理・通信施設</t>
  </si>
  <si>
    <t>水道施設</t>
  </si>
  <si>
    <t>託児施設</t>
  </si>
  <si>
    <t>研修施設</t>
  </si>
  <si>
    <t>集会施設</t>
  </si>
  <si>
    <t>農業管理センター</t>
  </si>
  <si>
    <t>ガス供給施設</t>
  </si>
  <si>
    <t>融雪・除雪用施設</t>
  </si>
  <si>
    <t>下水道施設</t>
  </si>
  <si>
    <t>農事放送施設</t>
  </si>
  <si>
    <t>農作業管理休養施設</t>
  </si>
  <si>
    <t>農業者等健康増進施設</t>
  </si>
  <si>
    <t>地域休養施設</t>
  </si>
  <si>
    <t>生活改善センター</t>
  </si>
  <si>
    <t>生活安全保護施設</t>
  </si>
  <si>
    <t>集落道</t>
  </si>
  <si>
    <t>廃棄物処理施設</t>
  </si>
  <si>
    <t>内水面養殖施設資金</t>
  </si>
  <si>
    <t>特定の農家住宅資金</t>
  </si>
  <si>
    <t>農村給排水施設資金</t>
  </si>
  <si>
    <t>長期運転資金</t>
  </si>
  <si>
    <t>セット融資</t>
  </si>
  <si>
    <t>種類コード</t>
    <rPh sb="0" eb="2">
      <t>シュルイ</t>
    </rPh>
    <phoneticPr fontId="2"/>
  </si>
  <si>
    <t>1号資金</t>
    <rPh sb="1" eb="2">
      <t>ゴウ</t>
    </rPh>
    <rPh sb="2" eb="4">
      <t>シキン</t>
    </rPh>
    <phoneticPr fontId="2"/>
  </si>
  <si>
    <t>2号資金</t>
    <rPh sb="1" eb="2">
      <t>ゴウ</t>
    </rPh>
    <rPh sb="2" eb="4">
      <t>シキン</t>
    </rPh>
    <phoneticPr fontId="2"/>
  </si>
  <si>
    <t>3号資金</t>
    <rPh sb="1" eb="2">
      <t>ゴウ</t>
    </rPh>
    <rPh sb="2" eb="4">
      <t>シキン</t>
    </rPh>
    <phoneticPr fontId="2"/>
  </si>
  <si>
    <t>4号資金</t>
    <rPh sb="1" eb="2">
      <t>ゴウ</t>
    </rPh>
    <rPh sb="2" eb="4">
      <t>シキン</t>
    </rPh>
    <phoneticPr fontId="2"/>
  </si>
  <si>
    <t>5号資金</t>
    <rPh sb="1" eb="2">
      <t>ゴウ</t>
    </rPh>
    <rPh sb="2" eb="4">
      <t>シキン</t>
    </rPh>
    <phoneticPr fontId="2"/>
  </si>
  <si>
    <t>6号資金</t>
    <rPh sb="1" eb="2">
      <t>ゴウ</t>
    </rPh>
    <rPh sb="2" eb="4">
      <t>シキン</t>
    </rPh>
    <phoneticPr fontId="2"/>
  </si>
  <si>
    <t>7号資金</t>
    <rPh sb="1" eb="2">
      <t>ゴウ</t>
    </rPh>
    <rPh sb="2" eb="4">
      <t>シキン</t>
    </rPh>
    <phoneticPr fontId="2"/>
  </si>
  <si>
    <t>8号資金</t>
    <rPh sb="1" eb="2">
      <t>ゴウ</t>
    </rPh>
    <rPh sb="2" eb="4">
      <t>シキン</t>
    </rPh>
    <phoneticPr fontId="2"/>
  </si>
  <si>
    <t>9号資金</t>
    <rPh sb="1" eb="2">
      <t>ゴウ</t>
    </rPh>
    <rPh sb="2" eb="4">
      <t>シキン</t>
    </rPh>
    <phoneticPr fontId="2"/>
  </si>
  <si>
    <t>農舎</t>
    <phoneticPr fontId="2"/>
  </si>
  <si>
    <t>蚕室</t>
    <phoneticPr fontId="2"/>
  </si>
  <si>
    <t>（あて先）</t>
    <rPh sb="3" eb="4">
      <t>サキ</t>
    </rPh>
    <phoneticPr fontId="2"/>
  </si>
  <si>
    <t>農林振興センター用</t>
    <rPh sb="0" eb="2">
      <t>ノウリン</t>
    </rPh>
    <rPh sb="2" eb="4">
      <t>シンコウ</t>
    </rPh>
    <rPh sb="8" eb="9">
      <t>ヨウ</t>
    </rPh>
    <phoneticPr fontId="2"/>
  </si>
  <si>
    <t>市町村用</t>
    <rPh sb="0" eb="3">
      <t>シチョウソン</t>
    </rPh>
    <rPh sb="3" eb="4">
      <t>ヨウ</t>
    </rPh>
    <phoneticPr fontId="2"/>
  </si>
  <si>
    <t>資金</t>
    <rPh sb="0" eb="2">
      <t>シキン</t>
    </rPh>
    <phoneticPr fontId="2"/>
  </si>
  <si>
    <t>22 認定農業者の特例資金</t>
    <rPh sb="3" eb="5">
      <t>ニンテイ</t>
    </rPh>
    <rPh sb="5" eb="8">
      <t>ノウギョウシャ</t>
    </rPh>
    <rPh sb="9" eb="11">
      <t>トクレイ</t>
    </rPh>
    <rPh sb="11" eb="13">
      <t>シキン</t>
    </rPh>
    <phoneticPr fontId="2"/>
  </si>
  <si>
    <t>23 ５号資金（認定農業者特例）</t>
    <rPh sb="4" eb="5">
      <t>ゴウ</t>
    </rPh>
    <rPh sb="5" eb="7">
      <t>シキン</t>
    </rPh>
    <rPh sb="8" eb="10">
      <t>ニンテイ</t>
    </rPh>
    <rPh sb="10" eb="13">
      <t>ノウギョウシャ</t>
    </rPh>
    <rPh sb="13" eb="15">
      <t>トクレイ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</si>
  <si>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</si>
  <si>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年賦</t>
    <rPh sb="0" eb="2">
      <t>ネンプ</t>
    </rPh>
    <phoneticPr fontId="2"/>
  </si>
  <si>
    <t>（据置あり）</t>
    <phoneticPr fontId="2"/>
  </si>
  <si>
    <t>（据置なし）</t>
    <phoneticPr fontId="2"/>
  </si>
  <si>
    <t>半年賦</t>
    <rPh sb="0" eb="1">
      <t>ハン</t>
    </rPh>
    <rPh sb="1" eb="3">
      <t>ネンプ</t>
    </rPh>
    <phoneticPr fontId="2"/>
  </si>
  <si>
    <t>償還額（円）</t>
    <rPh sb="0" eb="3">
      <t>ショウカンガク</t>
    </rPh>
    <rPh sb="4" eb="5">
      <t>エン</t>
    </rPh>
    <phoneticPr fontId="2"/>
  </si>
  <si>
    <t>経過年数</t>
    <rPh sb="0" eb="2">
      <t>ケイカ</t>
    </rPh>
    <rPh sb="2" eb="4">
      <t>ネンスウ</t>
    </rPh>
    <phoneticPr fontId="2"/>
  </si>
  <si>
    <t>観光農業施設</t>
    <rPh sb="0" eb="2">
      <t>カンコウ</t>
    </rPh>
    <rPh sb="2" eb="4">
      <t>ノウギョウ</t>
    </rPh>
    <rPh sb="4" eb="6">
      <t>シセツ</t>
    </rPh>
    <phoneticPr fontId="2"/>
  </si>
  <si>
    <t>未利用資源活用施設</t>
    <rPh sb="0" eb="3">
      <t>ミリヨウ</t>
    </rPh>
    <rPh sb="3" eb="5">
      <t>シゲン</t>
    </rPh>
    <rPh sb="5" eb="7">
      <t>カツヨウ</t>
    </rPh>
    <rPh sb="7" eb="9">
      <t>シセツ</t>
    </rPh>
    <phoneticPr fontId="2"/>
  </si>
  <si>
    <t>農業労働力確保施設</t>
    <rPh sb="0" eb="2">
      <t>ノウギョウ</t>
    </rPh>
    <rPh sb="2" eb="5">
      <t>ロウドウリョク</t>
    </rPh>
    <rPh sb="5" eb="7">
      <t>カクホ</t>
    </rPh>
    <rPh sb="7" eb="9">
      <t>シセツ</t>
    </rPh>
    <phoneticPr fontId="2"/>
  </si>
  <si>
    <t>観光農業用機具</t>
    <rPh sb="0" eb="2">
      <t>カンコウ</t>
    </rPh>
    <rPh sb="2" eb="5">
      <t>ノウギョウヨウ</t>
    </rPh>
    <rPh sb="5" eb="7">
      <t>キグ</t>
    </rPh>
    <phoneticPr fontId="2"/>
  </si>
  <si>
    <t>未利用資源活用用機具</t>
    <rPh sb="0" eb="3">
      <t>ミリヨウ</t>
    </rPh>
    <rPh sb="3" eb="5">
      <t>シゲン</t>
    </rPh>
    <rPh sb="5" eb="7">
      <t>カツヨウ</t>
    </rPh>
    <rPh sb="7" eb="8">
      <t>ヨウ</t>
    </rPh>
    <rPh sb="8" eb="10">
      <t>キグ</t>
    </rPh>
    <phoneticPr fontId="2"/>
  </si>
  <si>
    <t>※この償還表に疑義がある場合は農業支援課までご連絡ください。</t>
    <rPh sb="3" eb="5">
      <t>ショウカン</t>
    </rPh>
    <rPh sb="5" eb="6">
      <t>ヒョウ</t>
    </rPh>
    <rPh sb="7" eb="9">
      <t>ギギ</t>
    </rPh>
    <rPh sb="12" eb="14">
      <t>バアイ</t>
    </rPh>
    <rPh sb="15" eb="17">
      <t>ノウギョウ</t>
    </rPh>
    <rPh sb="17" eb="20">
      <t>シエンカ</t>
    </rPh>
    <rPh sb="23" eb="25">
      <t>レンラク</t>
    </rPh>
    <phoneticPr fontId="2"/>
  </si>
  <si>
    <t>債務
保証</t>
    <rPh sb="0" eb="2">
      <t>サイム</t>
    </rPh>
    <rPh sb="3" eb="5">
      <t>ホショウ</t>
    </rPh>
    <phoneticPr fontId="2"/>
  </si>
  <si>
    <t>第１回
（千円）</t>
    <rPh sb="0" eb="1">
      <t>ダイ</t>
    </rPh>
    <rPh sb="2" eb="3">
      <t>カイ</t>
    </rPh>
    <rPh sb="5" eb="7">
      <t>センエン</t>
    </rPh>
    <phoneticPr fontId="2"/>
  </si>
  <si>
    <t>第２回以降
（千円）</t>
    <rPh sb="0" eb="1">
      <t>ダイ</t>
    </rPh>
    <rPh sb="2" eb="3">
      <t>カイ</t>
    </rPh>
    <rPh sb="3" eb="5">
      <t>イコウ</t>
    </rPh>
    <rPh sb="7" eb="9">
      <t>センエン</t>
    </rPh>
    <phoneticPr fontId="2"/>
  </si>
  <si>
    <t>埼玉県知事  大野　元裕</t>
    <rPh sb="0" eb="3">
      <t>サイタマケン</t>
    </rPh>
    <rPh sb="3" eb="5">
      <t>チジ</t>
    </rPh>
    <rPh sb="7" eb="9">
      <t>オオノ</t>
    </rPh>
    <rPh sb="10" eb="12">
      <t>モトヒロ</t>
    </rPh>
    <phoneticPr fontId="2"/>
  </si>
  <si>
    <t>ｶﾀｶﾅ</t>
    <phoneticPr fontId="2"/>
  </si>
  <si>
    <t>担当者記名</t>
    <rPh sb="0" eb="2">
      <t>タントウ</t>
    </rPh>
    <rPh sb="3" eb="5">
      <t>キメイ</t>
    </rPh>
    <phoneticPr fontId="2"/>
  </si>
  <si>
    <t>その１</t>
    <phoneticPr fontId="2"/>
  </si>
  <si>
    <t>その２</t>
    <phoneticPr fontId="2"/>
  </si>
  <si>
    <t>　 次の貸付けについて、貴県との利子補給契約に基づき利子補給を受けたいので
 　その承認を申請します。</t>
    <rPh sb="2" eb="3">
      <t>ツギ</t>
    </rPh>
    <rPh sb="4" eb="6">
      <t>カシツケ</t>
    </rPh>
    <rPh sb="12" eb="13">
      <t>キケン</t>
    </rPh>
    <rPh sb="13" eb="14">
      <t>ケン</t>
    </rPh>
    <rPh sb="16" eb="18">
      <t>リシ</t>
    </rPh>
    <rPh sb="18" eb="20">
      <t>ホキュウ</t>
    </rPh>
    <rPh sb="20" eb="22">
      <t>ケイヤク</t>
    </rPh>
    <rPh sb="23" eb="24">
      <t>モト</t>
    </rPh>
    <rPh sb="26" eb="28">
      <t>リシ</t>
    </rPh>
    <rPh sb="28" eb="30">
      <t>ホキュウ</t>
    </rPh>
    <rPh sb="31" eb="32">
      <t>ウ</t>
    </rPh>
    <rPh sb="42" eb="44">
      <t>ショウニン</t>
    </rPh>
    <rPh sb="45" eb="47">
      <t>シンセイ</t>
    </rPh>
    <phoneticPr fontId="2"/>
  </si>
  <si>
    <t>100　さいたま市</t>
    <phoneticPr fontId="2"/>
  </si>
  <si>
    <t>201　川越市</t>
    <phoneticPr fontId="2"/>
  </si>
  <si>
    <t>202　熊谷市</t>
    <phoneticPr fontId="2"/>
  </si>
  <si>
    <t>203　川口市</t>
    <phoneticPr fontId="2"/>
  </si>
  <si>
    <t>206　行田市</t>
    <phoneticPr fontId="2"/>
  </si>
  <si>
    <t>207　秩父市</t>
    <phoneticPr fontId="2"/>
  </si>
  <si>
    <t>208　所沢市</t>
    <phoneticPr fontId="2"/>
  </si>
  <si>
    <t>NH　農事組合法人</t>
    <rPh sb="3" eb="5">
      <t>ノウジ</t>
    </rPh>
    <rPh sb="5" eb="7">
      <t>クミアイ</t>
    </rPh>
    <rPh sb="7" eb="9">
      <t>ホウジン</t>
    </rPh>
    <phoneticPr fontId="2"/>
  </si>
  <si>
    <t>SH　社団法人</t>
    <rPh sb="3" eb="5">
      <t>シャダン</t>
    </rPh>
    <rPh sb="5" eb="7">
      <t>ホウジン</t>
    </rPh>
    <phoneticPr fontId="2"/>
  </si>
  <si>
    <t>ZH　財団法人</t>
    <rPh sb="3" eb="5">
      <t>ザイダン</t>
    </rPh>
    <rPh sb="5" eb="7">
      <t>ホウジン</t>
    </rPh>
    <phoneticPr fontId="2"/>
  </si>
  <si>
    <t>YK　有限会社</t>
    <rPh sb="3" eb="5">
      <t>ユウゲン</t>
    </rPh>
    <rPh sb="5" eb="7">
      <t>カイシャ</t>
    </rPh>
    <phoneticPr fontId="2"/>
  </si>
  <si>
    <t>KK　株式会社</t>
    <rPh sb="3" eb="5">
      <t>カブシキ</t>
    </rPh>
    <rPh sb="5" eb="7">
      <t>カイシャ</t>
    </rPh>
    <phoneticPr fontId="2"/>
  </si>
  <si>
    <t>DK　合同会社</t>
    <rPh sb="3" eb="5">
      <t>ゴウドウ</t>
    </rPh>
    <rPh sb="5" eb="7">
      <t>カイシャ</t>
    </rPh>
    <phoneticPr fontId="2"/>
  </si>
  <si>
    <t>GK　合名会社</t>
    <rPh sb="3" eb="5">
      <t>ゴウメイ</t>
    </rPh>
    <rPh sb="5" eb="7">
      <t>カイシャ</t>
    </rPh>
    <phoneticPr fontId="2"/>
  </si>
  <si>
    <t>SK　合資会社</t>
    <rPh sb="3" eb="5">
      <t>ゴウシ</t>
    </rPh>
    <rPh sb="5" eb="7">
      <t>カイシャ</t>
    </rPh>
    <phoneticPr fontId="2"/>
  </si>
  <si>
    <t>TK　土地改良区（土地改良区連合会）</t>
    <rPh sb="3" eb="5">
      <t>トチ</t>
    </rPh>
    <rPh sb="5" eb="8">
      <t>カイリョウク</t>
    </rPh>
    <rPh sb="9" eb="11">
      <t>トチ</t>
    </rPh>
    <rPh sb="11" eb="14">
      <t>カイリョウク</t>
    </rPh>
    <rPh sb="14" eb="17">
      <t>レンゴウカイ</t>
    </rPh>
    <phoneticPr fontId="2"/>
  </si>
  <si>
    <t>NK　農業協同組合</t>
    <rPh sb="3" eb="5">
      <t>ノウギョウ</t>
    </rPh>
    <rPh sb="5" eb="7">
      <t>キョウドウ</t>
    </rPh>
    <rPh sb="7" eb="9">
      <t>クミアイ</t>
    </rPh>
    <phoneticPr fontId="2"/>
  </si>
  <si>
    <t>NR　農業協同組合連合会</t>
    <rPh sb="3" eb="5">
      <t>ノウギョウ</t>
    </rPh>
    <rPh sb="5" eb="7">
      <t>キョウドウ</t>
    </rPh>
    <rPh sb="7" eb="9">
      <t>クミアイ</t>
    </rPh>
    <rPh sb="9" eb="12">
      <t>レンゴウカイ</t>
    </rPh>
    <phoneticPr fontId="2"/>
  </si>
  <si>
    <t>KS　農業共済組合</t>
    <rPh sb="3" eb="5">
      <t>ノウギョウ</t>
    </rPh>
    <rPh sb="5" eb="7">
      <t>キョウサイ</t>
    </rPh>
    <rPh sb="7" eb="9">
      <t>クミアイ</t>
    </rPh>
    <phoneticPr fontId="2"/>
  </si>
  <si>
    <t>KR　農業共済組合連合会</t>
    <rPh sb="3" eb="5">
      <t>ノウギョウ</t>
    </rPh>
    <rPh sb="5" eb="7">
      <t>キョウサイ</t>
    </rPh>
    <rPh sb="7" eb="9">
      <t>クミアイ</t>
    </rPh>
    <rPh sb="9" eb="12">
      <t>レンゴウカイ</t>
    </rPh>
    <phoneticPr fontId="2"/>
  </si>
  <si>
    <t>209　飯能市</t>
    <phoneticPr fontId="2"/>
  </si>
  <si>
    <t>210　加須市</t>
    <phoneticPr fontId="2"/>
  </si>
  <si>
    <t>211　本庄市</t>
    <phoneticPr fontId="2"/>
  </si>
  <si>
    <t>212　東松山市</t>
    <phoneticPr fontId="2"/>
  </si>
  <si>
    <t>214　春日部市</t>
    <phoneticPr fontId="2"/>
  </si>
  <si>
    <t>215　狭山市</t>
    <phoneticPr fontId="2"/>
  </si>
  <si>
    <t>216　羽生市</t>
    <phoneticPr fontId="2"/>
  </si>
  <si>
    <t>217　鴻巣市</t>
    <phoneticPr fontId="2"/>
  </si>
  <si>
    <t>218　深谷市</t>
    <phoneticPr fontId="2"/>
  </si>
  <si>
    <t>219　上尾市</t>
    <phoneticPr fontId="2"/>
  </si>
  <si>
    <t>221　草加市</t>
    <phoneticPr fontId="2"/>
  </si>
  <si>
    <t>222　越谷市</t>
    <phoneticPr fontId="2"/>
  </si>
  <si>
    <t>223　蕨市</t>
    <phoneticPr fontId="2"/>
  </si>
  <si>
    <t>224　戸田市</t>
    <phoneticPr fontId="2"/>
  </si>
  <si>
    <t>225　入間市</t>
    <phoneticPr fontId="2"/>
  </si>
  <si>
    <t>227　朝霞市</t>
    <phoneticPr fontId="2"/>
  </si>
  <si>
    <t>228　志木市</t>
    <phoneticPr fontId="2"/>
  </si>
  <si>
    <t>229　和光市</t>
    <phoneticPr fontId="2"/>
  </si>
  <si>
    <t>230　新座市</t>
    <phoneticPr fontId="2"/>
  </si>
  <si>
    <t>232　久喜市</t>
    <phoneticPr fontId="2"/>
  </si>
  <si>
    <t>231　桶川市</t>
    <phoneticPr fontId="2"/>
  </si>
  <si>
    <t>233　北本市</t>
    <phoneticPr fontId="2"/>
  </si>
  <si>
    <t>234　八潮市</t>
    <phoneticPr fontId="2"/>
  </si>
  <si>
    <t>235　富士見市</t>
    <phoneticPr fontId="2"/>
  </si>
  <si>
    <t>237　三郷市</t>
    <phoneticPr fontId="2"/>
  </si>
  <si>
    <t>238　蓮田市</t>
    <phoneticPr fontId="2"/>
  </si>
  <si>
    <t>239　坂戸市</t>
    <phoneticPr fontId="2"/>
  </si>
  <si>
    <t>240　幸手市</t>
    <phoneticPr fontId="2"/>
  </si>
  <si>
    <t>241　鶴ヶ島市</t>
    <phoneticPr fontId="2"/>
  </si>
  <si>
    <t>242　日高市</t>
    <phoneticPr fontId="2"/>
  </si>
  <si>
    <t>243　吉川市</t>
    <phoneticPr fontId="2"/>
  </si>
  <si>
    <t>245　ふじみ野市</t>
    <phoneticPr fontId="2"/>
  </si>
  <si>
    <t>246　白岡市</t>
    <phoneticPr fontId="2"/>
  </si>
  <si>
    <t>301　伊奈町</t>
    <phoneticPr fontId="2"/>
  </si>
  <si>
    <t>324　三芳町</t>
    <phoneticPr fontId="2"/>
  </si>
  <si>
    <t>326　毛呂山町</t>
    <phoneticPr fontId="2"/>
  </si>
  <si>
    <t>327　越生町</t>
    <phoneticPr fontId="2"/>
  </si>
  <si>
    <t>341　滑川町</t>
    <phoneticPr fontId="2"/>
  </si>
  <si>
    <t>346　川島町</t>
    <phoneticPr fontId="2"/>
  </si>
  <si>
    <t>342　嵐山町</t>
    <phoneticPr fontId="2"/>
  </si>
  <si>
    <t>343　小川町</t>
    <phoneticPr fontId="2"/>
  </si>
  <si>
    <t>347　吉見町</t>
    <phoneticPr fontId="2"/>
  </si>
  <si>
    <t>348　鳩山町</t>
    <phoneticPr fontId="2"/>
  </si>
  <si>
    <t>349　ときがわ町</t>
    <phoneticPr fontId="2"/>
  </si>
  <si>
    <t>361　横瀬町</t>
    <phoneticPr fontId="2"/>
  </si>
  <si>
    <t>362　皆野町</t>
    <phoneticPr fontId="2"/>
  </si>
  <si>
    <t>363　長瀞町</t>
    <phoneticPr fontId="2"/>
  </si>
  <si>
    <t>365　小鹿野町</t>
    <phoneticPr fontId="2"/>
  </si>
  <si>
    <t>369　東秩父村</t>
    <phoneticPr fontId="2"/>
  </si>
  <si>
    <t>381　美里町</t>
    <phoneticPr fontId="2"/>
  </si>
  <si>
    <t>383　神川町</t>
    <phoneticPr fontId="2"/>
  </si>
  <si>
    <t>385　上里町</t>
    <phoneticPr fontId="2"/>
  </si>
  <si>
    <t>408　寄居町</t>
    <phoneticPr fontId="2"/>
  </si>
  <si>
    <t>442　宮代町</t>
    <phoneticPr fontId="2"/>
  </si>
  <si>
    <t>464　杉戸町</t>
    <phoneticPr fontId="2"/>
  </si>
  <si>
    <t>465　松伏町</t>
    <phoneticPr fontId="2"/>
  </si>
  <si>
    <t>資金コード</t>
    <rPh sb="0" eb="2">
      <t>シキン</t>
    </rPh>
    <phoneticPr fontId="2"/>
  </si>
  <si>
    <t>0１ 個人（認定農業者含む）</t>
    <rPh sb="3" eb="5">
      <t>コジン</t>
    </rPh>
    <rPh sb="6" eb="8">
      <t>ニンテイ</t>
    </rPh>
    <rPh sb="8" eb="11">
      <t>ノウギョウシャ</t>
    </rPh>
    <rPh sb="11" eb="12">
      <t>フク</t>
    </rPh>
    <phoneticPr fontId="2"/>
  </si>
  <si>
    <t>0３ 共同利用（農協）</t>
    <rPh sb="3" eb="5">
      <t>キョウドウ</t>
    </rPh>
    <rPh sb="5" eb="7">
      <t>リヨウ</t>
    </rPh>
    <rPh sb="8" eb="10">
      <t>ノウキョウ</t>
    </rPh>
    <phoneticPr fontId="2"/>
  </si>
  <si>
    <t>0４ 共同利用（任意団体）</t>
    <rPh sb="3" eb="5">
      <t>キョウドウ</t>
    </rPh>
    <rPh sb="5" eb="7">
      <t>リヨウ</t>
    </rPh>
    <rPh sb="8" eb="10">
      <t>ニンイ</t>
    </rPh>
    <rPh sb="10" eb="12">
      <t>ダンタイ</t>
    </rPh>
    <phoneticPr fontId="2"/>
  </si>
  <si>
    <t>0５ 共同利用（その他）</t>
    <rPh sb="3" eb="5">
      <t>キョウドウ</t>
    </rPh>
    <rPh sb="5" eb="7">
      <t>リヨウ</t>
    </rPh>
    <rPh sb="10" eb="11">
      <t>タ</t>
    </rPh>
    <phoneticPr fontId="2"/>
  </si>
  <si>
    <t>0８ 認定新規就農者（個人）</t>
    <rPh sb="3" eb="5">
      <t>ニンテイ</t>
    </rPh>
    <rPh sb="5" eb="7">
      <t>シンキ</t>
    </rPh>
    <rPh sb="7" eb="10">
      <t>シュウノウシャ</t>
    </rPh>
    <rPh sb="11" eb="13">
      <t>コジン</t>
    </rPh>
    <phoneticPr fontId="2"/>
  </si>
  <si>
    <t>1515 ふかや（榛沢）・深谷市</t>
    <phoneticPr fontId="2"/>
  </si>
  <si>
    <t>6171武銀入間支店（東松山）</t>
    <rPh sb="11" eb="14">
      <t>ヒガシマツヤマ</t>
    </rPh>
    <phoneticPr fontId="2"/>
  </si>
  <si>
    <t>本人
利率</t>
    <rPh sb="0" eb="2">
      <t>ホンニン</t>
    </rPh>
    <rPh sb="3" eb="5">
      <t>リリツ</t>
    </rPh>
    <phoneticPr fontId="2"/>
  </si>
  <si>
    <t>県</t>
    <rPh sb="0" eb="1">
      <t>ケン</t>
    </rPh>
    <phoneticPr fontId="2"/>
  </si>
  <si>
    <t>貸付1年目</t>
    <rPh sb="0" eb="2">
      <t>カシツケ</t>
    </rPh>
    <rPh sb="3" eb="5">
      <t>ネンメ</t>
    </rPh>
    <phoneticPr fontId="2"/>
  </si>
  <si>
    <t>基準金利(％)</t>
    <rPh sb="0" eb="2">
      <t>キジュン</t>
    </rPh>
    <rPh sb="2" eb="4">
      <t>キンリ</t>
    </rPh>
    <phoneticPr fontId="2"/>
  </si>
  <si>
    <t>貸付2年目</t>
    <rPh sb="0" eb="2">
      <t>カシツケ</t>
    </rPh>
    <rPh sb="3" eb="5">
      <t>ネンメ</t>
    </rPh>
    <phoneticPr fontId="2"/>
  </si>
  <si>
    <t>貸付3年目</t>
    <rPh sb="0" eb="2">
      <t>カシツケ</t>
    </rPh>
    <rPh sb="3" eb="5">
      <t>ネンメ</t>
    </rPh>
    <phoneticPr fontId="2"/>
  </si>
  <si>
    <t>貸付4年目</t>
    <rPh sb="0" eb="2">
      <t>カシツケ</t>
    </rPh>
    <rPh sb="3" eb="5">
      <t>ネンメ</t>
    </rPh>
    <phoneticPr fontId="2"/>
  </si>
  <si>
    <t>貸付5年目</t>
    <rPh sb="0" eb="2">
      <t>カシツケ</t>
    </rPh>
    <rPh sb="3" eb="5">
      <t>ネンメ</t>
    </rPh>
    <phoneticPr fontId="2"/>
  </si>
  <si>
    <t>貸付6年目</t>
    <rPh sb="0" eb="2">
      <t>カシツケ</t>
    </rPh>
    <rPh sb="3" eb="5">
      <t>ネンメ</t>
    </rPh>
    <phoneticPr fontId="2"/>
  </si>
  <si>
    <t>貸付7年目</t>
    <rPh sb="0" eb="2">
      <t>カシツケ</t>
    </rPh>
    <rPh sb="3" eb="5">
      <t>ネンメ</t>
    </rPh>
    <phoneticPr fontId="2"/>
  </si>
  <si>
    <t>貸付8年目</t>
    <rPh sb="0" eb="2">
      <t>カシツケ</t>
    </rPh>
    <rPh sb="3" eb="5">
      <t>ネンメ</t>
    </rPh>
    <phoneticPr fontId="2"/>
  </si>
  <si>
    <t>貸付9年目</t>
    <rPh sb="0" eb="2">
      <t>カシツケ</t>
    </rPh>
    <rPh sb="3" eb="5">
      <t>ネンメ</t>
    </rPh>
    <phoneticPr fontId="2"/>
  </si>
  <si>
    <t>貸付10年目</t>
    <rPh sb="0" eb="2">
      <t>カシツケ</t>
    </rPh>
    <rPh sb="4" eb="6">
      <t>ネンメ</t>
    </rPh>
    <phoneticPr fontId="2"/>
  </si>
  <si>
    <t>貸付11年目</t>
    <rPh sb="0" eb="2">
      <t>カシツケ</t>
    </rPh>
    <rPh sb="4" eb="6">
      <t>ネンメ</t>
    </rPh>
    <phoneticPr fontId="2"/>
  </si>
  <si>
    <t>貸付12年目</t>
    <rPh sb="0" eb="2">
      <t>カシツケ</t>
    </rPh>
    <rPh sb="4" eb="6">
      <t>ネンメ</t>
    </rPh>
    <phoneticPr fontId="2"/>
  </si>
  <si>
    <t>貸付13年目</t>
    <rPh sb="0" eb="2">
      <t>カシツケ</t>
    </rPh>
    <rPh sb="4" eb="6">
      <t>ネンメ</t>
    </rPh>
    <phoneticPr fontId="2"/>
  </si>
  <si>
    <t>貸付14年目</t>
    <rPh sb="0" eb="2">
      <t>カシツケ</t>
    </rPh>
    <rPh sb="4" eb="6">
      <t>ネンメ</t>
    </rPh>
    <phoneticPr fontId="2"/>
  </si>
  <si>
    <t>貸付15年目</t>
    <rPh sb="0" eb="2">
      <t>カシツケ</t>
    </rPh>
    <rPh sb="4" eb="6">
      <t>ネンメ</t>
    </rPh>
    <phoneticPr fontId="2"/>
  </si>
  <si>
    <t>長期協会
（見込）</t>
    <rPh sb="0" eb="2">
      <t>チョウキ</t>
    </rPh>
    <rPh sb="2" eb="4">
      <t>キョウカイ</t>
    </rPh>
    <rPh sb="6" eb="8">
      <t>ミコミ</t>
    </rPh>
    <phoneticPr fontId="2"/>
  </si>
  <si>
    <t>年・半年賦</t>
    <rPh sb="0" eb="1">
      <t>ネン</t>
    </rPh>
    <rPh sb="2" eb="3">
      <t>ハン</t>
    </rPh>
    <rPh sb="3" eb="5">
      <t>ネンプ</t>
    </rPh>
    <phoneticPr fontId="2"/>
  </si>
  <si>
    <t>種類</t>
    <rPh sb="0" eb="1">
      <t>シュ</t>
    </rPh>
    <rPh sb="1" eb="2">
      <t>タグイ</t>
    </rPh>
    <phoneticPr fontId="2"/>
  </si>
  <si>
    <t>償還
期間</t>
    <rPh sb="0" eb="2">
      <t>ショウカン</t>
    </rPh>
    <rPh sb="3" eb="5">
      <t>キカン</t>
    </rPh>
    <phoneticPr fontId="2"/>
  </si>
  <si>
    <t>事業費
(千円)</t>
    <rPh sb="0" eb="1">
      <t>コト</t>
    </rPh>
    <rPh sb="1" eb="2">
      <t>ギョウ</t>
    </rPh>
    <rPh sb="2" eb="3">
      <t>ヒ</t>
    </rPh>
    <rPh sb="5" eb="7">
      <t>センエン</t>
    </rPh>
    <phoneticPr fontId="2"/>
  </si>
  <si>
    <t>借入申込額
(千円)</t>
    <rPh sb="0" eb="2">
      <t>カリイレ</t>
    </rPh>
    <rPh sb="2" eb="4">
      <t>モウシコミ</t>
    </rPh>
    <rPh sb="4" eb="5">
      <t>ガク</t>
    </rPh>
    <rPh sb="7" eb="9">
      <t>センエン</t>
    </rPh>
    <phoneticPr fontId="2"/>
  </si>
  <si>
    <t>据置
期間</t>
    <rPh sb="0" eb="2">
      <t>スエオキ</t>
    </rPh>
    <rPh sb="3" eb="5">
      <t>キカン</t>
    </rPh>
    <phoneticPr fontId="2"/>
  </si>
  <si>
    <t>約定償還日</t>
    <rPh sb="0" eb="1">
      <t>ヤク</t>
    </rPh>
    <rPh sb="1" eb="2">
      <t>サダム</t>
    </rPh>
    <rPh sb="2" eb="3">
      <t>ショウ</t>
    </rPh>
    <rPh sb="3" eb="4">
      <t>カン</t>
    </rPh>
    <rPh sb="4" eb="5">
      <t>ビ</t>
    </rPh>
    <phoneticPr fontId="2"/>
  </si>
  <si>
    <t>農林</t>
    <rPh sb="0" eb="2">
      <t>ノウリン</t>
    </rPh>
    <phoneticPr fontId="2"/>
  </si>
  <si>
    <t>利子補給・利子助成率 （％）</t>
    <rPh sb="0" eb="1">
      <t>リ</t>
    </rPh>
    <rPh sb="1" eb="2">
      <t>コ</t>
    </rPh>
    <rPh sb="2" eb="3">
      <t>タスク</t>
    </rPh>
    <rPh sb="3" eb="4">
      <t>キュウ</t>
    </rPh>
    <rPh sb="5" eb="9">
      <t>リシジョセイ</t>
    </rPh>
    <rPh sb="9" eb="10">
      <t>リツ</t>
    </rPh>
    <phoneticPr fontId="2"/>
  </si>
  <si>
    <t>融資機関控</t>
    <rPh sb="0" eb="4">
      <t>ユウシキカン</t>
    </rPh>
    <rPh sb="4" eb="5">
      <t>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</si>
</sst>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yyyy/m/d;@"/>
    <numFmt numFmtId="178" formatCode="0;\-0;;@"/>
    <numFmt numFmtId="179" formatCode="##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6"/>
      <name val="BIZ UDPゴシック"/>
      <family val="3"/>
      <charset val="128"/>
    </font>
    <font>
      <sz val="20"/>
      <name val="BIZ UDPゴシック"/>
      <family val="3"/>
      <charset val="128"/>
    </font>
    <font>
      <sz val="22"/>
      <name val="BIZ UDPゴシック"/>
      <family val="3"/>
      <charset val="128"/>
    </font>
    <font>
      <sz val="18"/>
      <name val="BIZ UDPゴシック"/>
      <family val="3"/>
      <charset val="128"/>
    </font>
    <font>
      <b/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color indexed="81"/>
      <name val="Yu Gothic UI"/>
      <family val="3"/>
      <charset val="128"/>
    </font>
    <font>
      <sz val="8"/>
      <color indexed="81"/>
      <name val="Yu Gothic UI"/>
      <family val="3"/>
      <charset val="128"/>
    </font>
    <font>
      <b/>
      <sz val="12"/>
      <color indexed="81"/>
      <name val="Yu Gothic UI"/>
      <family val="3"/>
      <charset val="128"/>
    </font>
    <font>
      <sz val="10"/>
      <color indexed="81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6600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337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38" fontId="0" fillId="0" borderId="4" xfId="0" applyNumberForma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4" xfId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38" fontId="0" fillId="0" borderId="4" xfId="1" applyFont="1" applyBorder="1"/>
    <xf numFmtId="14" fontId="0" fillId="0" borderId="4" xfId="0" applyNumberFormat="1" applyBorder="1" applyAlignment="1">
      <alignment horizontal="center" vertical="center"/>
    </xf>
    <xf numFmtId="38" fontId="0" fillId="0" borderId="4" xfId="1" applyFont="1" applyBorder="1" applyAlignment="1">
      <alignment horizontal="center"/>
    </xf>
    <xf numFmtId="38" fontId="0" fillId="0" borderId="4" xfId="0" applyNumberFormat="1" applyBorder="1"/>
    <xf numFmtId="14" fontId="0" fillId="0" borderId="4" xfId="0" applyNumberFormat="1" applyBorder="1" applyAlignment="1">
      <alignment horizontal="center"/>
    </xf>
    <xf numFmtId="38" fontId="4" fillId="0" borderId="6" xfId="1" quotePrefix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/>
    </xf>
    <xf numFmtId="38" fontId="4" fillId="0" borderId="0" xfId="1" applyFont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176" fontId="0" fillId="3" borderId="5" xfId="0" applyNumberFormat="1" applyFill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0" fontId="0" fillId="3" borderId="5" xfId="0" applyFill="1" applyBorder="1"/>
    <xf numFmtId="0" fontId="0" fillId="3" borderId="3" xfId="0" applyFill="1" applyBorder="1"/>
    <xf numFmtId="0" fontId="0" fillId="4" borderId="5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5" xfId="0" applyFill="1" applyBorder="1"/>
    <xf numFmtId="0" fontId="0" fillId="4" borderId="3" xfId="0" applyFill="1" applyBorder="1"/>
    <xf numFmtId="0" fontId="0" fillId="5" borderId="6" xfId="0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/>
    </xf>
    <xf numFmtId="38" fontId="0" fillId="0" borderId="4" xfId="1" applyFont="1" applyFill="1" applyBorder="1" applyAlignment="1">
      <alignment horizontal="center"/>
    </xf>
    <xf numFmtId="0" fontId="5" fillId="0" borderId="0" xfId="0" applyFont="1"/>
    <xf numFmtId="177" fontId="5" fillId="0" borderId="0" xfId="0" applyNumberFormat="1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right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4" fillId="0" borderId="0" xfId="0" applyFont="1"/>
    <xf numFmtId="0" fontId="15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/>
    <xf numFmtId="0" fontId="15" fillId="0" borderId="0" xfId="0" applyFont="1" applyAlignment="1">
      <alignment horizontal="center" shrinkToFit="1"/>
    </xf>
    <xf numFmtId="0" fontId="10" fillId="0" borderId="0" xfId="0" applyFont="1" applyAlignment="1" applyProtection="1">
      <alignment horizontal="left" vertical="distributed" shrinkToFit="1"/>
      <protection locked="0"/>
    </xf>
    <xf numFmtId="0" fontId="10" fillId="0" borderId="0" xfId="0" applyFont="1" applyAlignment="1" applyProtection="1">
      <alignment horizontal="center" shrinkToFit="1"/>
      <protection locked="0"/>
    </xf>
    <xf numFmtId="0" fontId="15" fillId="0" borderId="0" xfId="0" applyFont="1" applyAlignment="1">
      <alignment horizontal="left" vertical="distributed" wrapText="1"/>
    </xf>
    <xf numFmtId="0" fontId="15" fillId="0" borderId="0" xfId="0" applyFont="1" applyAlignment="1">
      <alignment horizontal="left" vertical="distributed" shrinkToFi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left" vertical="center" shrinkToFit="1"/>
    </xf>
    <xf numFmtId="0" fontId="10" fillId="0" borderId="0" xfId="0" applyFont="1" applyAlignment="1" applyProtection="1">
      <alignment horizontal="left" vertical="distributed"/>
      <protection locked="0"/>
    </xf>
    <xf numFmtId="0" fontId="10" fillId="0" borderId="0" xfId="0" applyFont="1" applyAlignment="1" applyProtection="1">
      <alignment horizontal="left" vertical="distributed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25" fillId="0" borderId="1" xfId="2" applyFont="1" applyBorder="1"/>
    <xf numFmtId="0" fontId="11" fillId="0" borderId="0" xfId="0" applyFont="1"/>
    <xf numFmtId="0" fontId="11" fillId="0" borderId="0" xfId="0" applyFont="1" applyAlignment="1">
      <alignment shrinkToFit="1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11" fillId="0" borderId="0" xfId="0" applyFont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22" fillId="0" borderId="25" xfId="0" applyFont="1" applyBorder="1" applyAlignment="1" applyProtection="1">
      <alignment horizontal="center" shrinkToFit="1"/>
      <protection locked="0"/>
    </xf>
    <xf numFmtId="0" fontId="22" fillId="0" borderId="28" xfId="0" applyFont="1" applyBorder="1" applyAlignment="1" applyProtection="1">
      <alignment horizontal="center" shrinkToFit="1"/>
      <protection locked="0"/>
    </xf>
    <xf numFmtId="0" fontId="22" fillId="0" borderId="29" xfId="0" applyFont="1" applyBorder="1" applyAlignment="1" applyProtection="1">
      <alignment horizontal="center" shrinkToFit="1"/>
      <protection locked="0"/>
    </xf>
    <xf numFmtId="0" fontId="10" fillId="0" borderId="0" xfId="3" applyFont="1" applyAlignment="1">
      <alignment vertical="top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1" fillId="0" borderId="0" xfId="0" applyFont="1" applyAlignment="1" applyProtection="1">
      <alignment vertical="center" shrinkToFit="1"/>
      <protection locked="0"/>
    </xf>
    <xf numFmtId="0" fontId="10" fillId="0" borderId="31" xfId="0" applyFont="1" applyBorder="1" applyAlignment="1">
      <alignment horizontal="right" vertical="center"/>
    </xf>
    <xf numFmtId="0" fontId="10" fillId="0" borderId="33" xfId="0" applyFont="1" applyBorder="1" applyAlignment="1">
      <alignment horizontal="right" vertical="center"/>
    </xf>
    <xf numFmtId="0" fontId="10" fillId="0" borderId="32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78" fontId="10" fillId="0" borderId="0" xfId="0" applyNumberFormat="1" applyFont="1"/>
    <xf numFmtId="178" fontId="15" fillId="0" borderId="0" xfId="0" applyNumberFormat="1" applyFont="1"/>
    <xf numFmtId="178" fontId="10" fillId="0" borderId="0" xfId="0" applyNumberFormat="1" applyFont="1" applyAlignment="1">
      <alignment vertical="distributed" wrapText="1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left" vertical="distributed"/>
    </xf>
    <xf numFmtId="0" fontId="10" fillId="0" borderId="0" xfId="0" applyFont="1" applyAlignment="1">
      <alignment horizontal="left" vertical="distributed" wrapText="1"/>
    </xf>
    <xf numFmtId="0" fontId="1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28" xfId="0" applyFont="1" applyBorder="1" applyAlignment="1">
      <alignment horizontal="center" shrinkToFit="1"/>
    </xf>
    <xf numFmtId="0" fontId="22" fillId="0" borderId="25" xfId="0" applyFont="1" applyBorder="1" applyAlignment="1">
      <alignment horizontal="center" shrinkToFit="1"/>
    </xf>
    <xf numFmtId="0" fontId="22" fillId="0" borderId="29" xfId="0" applyFont="1" applyBorder="1" applyAlignment="1">
      <alignment horizontal="center" shrinkToFit="1"/>
    </xf>
    <xf numFmtId="0" fontId="6" fillId="7" borderId="38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2" fillId="7" borderId="38" xfId="0" applyFont="1" applyFill="1" applyBorder="1" applyAlignment="1">
      <alignment horizontal="center" vertical="center"/>
    </xf>
    <xf numFmtId="0" fontId="22" fillId="7" borderId="37" xfId="0" applyFont="1" applyFill="1" applyBorder="1" applyAlignment="1">
      <alignment horizontal="center" vertical="center"/>
    </xf>
    <xf numFmtId="0" fontId="22" fillId="7" borderId="39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 shrinkToFit="1"/>
    </xf>
    <xf numFmtId="0" fontId="22" fillId="7" borderId="14" xfId="0" applyFont="1" applyFill="1" applyBorder="1" applyAlignment="1">
      <alignment horizontal="center" vertical="center" shrinkToFit="1"/>
    </xf>
    <xf numFmtId="0" fontId="22" fillId="7" borderId="12" xfId="0" applyFont="1" applyFill="1" applyBorder="1" applyAlignment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10" fontId="11" fillId="0" borderId="34" xfId="4" applyNumberFormat="1" applyFont="1" applyBorder="1" applyAlignment="1">
      <alignment horizontal="center"/>
    </xf>
    <xf numFmtId="10" fontId="11" fillId="0" borderId="35" xfId="4" applyNumberFormat="1" applyFont="1" applyBorder="1" applyAlignment="1">
      <alignment horizontal="center"/>
    </xf>
    <xf numFmtId="10" fontId="11" fillId="0" borderId="36" xfId="4" applyNumberFormat="1" applyFont="1" applyBorder="1" applyAlignment="1">
      <alignment horizontal="center"/>
    </xf>
    <xf numFmtId="0" fontId="14" fillId="7" borderId="4" xfId="0" applyFont="1" applyFill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shrinkToFit="1"/>
      <protection locked="0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 shrinkToFit="1"/>
    </xf>
    <xf numFmtId="10" fontId="11" fillId="0" borderId="30" xfId="4" applyNumberFormat="1" applyFont="1" applyBorder="1" applyAlignment="1">
      <alignment horizontal="center"/>
    </xf>
    <xf numFmtId="0" fontId="6" fillId="7" borderId="37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 wrapText="1" shrinkToFit="1"/>
    </xf>
    <xf numFmtId="0" fontId="6" fillId="7" borderId="30" xfId="0" applyFont="1" applyFill="1" applyBorder="1" applyAlignment="1">
      <alignment horizontal="center" vertical="center" shrinkToFit="1"/>
    </xf>
    <xf numFmtId="0" fontId="6" fillId="7" borderId="30" xfId="0" applyFont="1" applyFill="1" applyBorder="1" applyAlignment="1">
      <alignment horizontal="center" vertical="center"/>
    </xf>
    <xf numFmtId="49" fontId="23" fillId="0" borderId="30" xfId="0" applyNumberFormat="1" applyFont="1" applyBorder="1" applyAlignment="1" applyProtection="1">
      <alignment horizontal="center"/>
      <protection locked="0"/>
    </xf>
    <xf numFmtId="0" fontId="14" fillId="7" borderId="30" xfId="0" applyFont="1" applyFill="1" applyBorder="1" applyAlignment="1">
      <alignment horizontal="center" vertical="center" wrapText="1" shrinkToFit="1"/>
    </xf>
    <xf numFmtId="0" fontId="21" fillId="0" borderId="30" xfId="0" applyFont="1" applyBorder="1" applyAlignment="1" applyProtection="1">
      <alignment horizontal="left"/>
      <protection locked="0"/>
    </xf>
    <xf numFmtId="3" fontId="23" fillId="0" borderId="4" xfId="0" applyNumberFormat="1" applyFont="1" applyBorder="1" applyAlignment="1" applyProtection="1">
      <alignment horizontal="right" shrinkToFit="1"/>
      <protection locked="0"/>
    </xf>
    <xf numFmtId="0" fontId="23" fillId="0" borderId="4" xfId="0" applyFont="1" applyBorder="1" applyAlignment="1" applyProtection="1">
      <alignment horizontal="right" shrinkToFit="1"/>
      <protection locked="0"/>
    </xf>
    <xf numFmtId="0" fontId="21" fillId="0" borderId="30" xfId="0" applyFont="1" applyBorder="1" applyAlignment="1" applyProtection="1">
      <alignment horizontal="left" shrinkToFi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distributed" shrinkToFit="1"/>
      <protection locked="0"/>
    </xf>
    <xf numFmtId="0" fontId="10" fillId="0" borderId="0" xfId="0" applyFont="1" applyAlignment="1" applyProtection="1">
      <alignment shrinkToFi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distributed" shrinkToFit="1"/>
      <protection locked="0"/>
    </xf>
    <xf numFmtId="0" fontId="23" fillId="0" borderId="5" xfId="0" applyFont="1" applyBorder="1" applyAlignment="1" applyProtection="1">
      <alignment horizontal="left"/>
      <protection locked="0"/>
    </xf>
    <xf numFmtId="0" fontId="23" fillId="0" borderId="24" xfId="0" applyFont="1" applyBorder="1" applyAlignment="1" applyProtection="1">
      <alignment horizontal="left"/>
      <protection locked="0"/>
    </xf>
    <xf numFmtId="38" fontId="23" fillId="0" borderId="4" xfId="1" applyFont="1" applyBorder="1" applyAlignment="1" applyProtection="1">
      <alignment horizontal="right"/>
    </xf>
    <xf numFmtId="0" fontId="6" fillId="7" borderId="7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0" borderId="12" xfId="0" applyFont="1" applyBorder="1" applyAlignment="1" applyProtection="1">
      <alignment horizontal="center"/>
      <protection locked="0"/>
    </xf>
    <xf numFmtId="0" fontId="15" fillId="7" borderId="11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16" fillId="7" borderId="7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179" fontId="21" fillId="0" borderId="7" xfId="0" applyNumberFormat="1" applyFont="1" applyBorder="1" applyAlignment="1" applyProtection="1">
      <alignment horizontal="left"/>
      <protection locked="0"/>
    </xf>
    <xf numFmtId="179" fontId="21" fillId="0" borderId="10" xfId="0" applyNumberFormat="1" applyFont="1" applyBorder="1" applyAlignment="1" applyProtection="1">
      <alignment horizontal="left"/>
      <protection locked="0"/>
    </xf>
    <xf numFmtId="179" fontId="21" fillId="0" borderId="11" xfId="0" applyNumberFormat="1" applyFont="1" applyBorder="1" applyAlignment="1" applyProtection="1">
      <alignment horizontal="left"/>
      <protection locked="0"/>
    </xf>
    <xf numFmtId="179" fontId="21" fillId="0" borderId="12" xfId="0" applyNumberFormat="1" applyFont="1" applyBorder="1" applyAlignment="1" applyProtection="1">
      <alignment horizontal="left"/>
      <protection locked="0"/>
    </xf>
    <xf numFmtId="0" fontId="21" fillId="0" borderId="7" xfId="0" applyFont="1" applyBorder="1" applyAlignment="1" applyProtection="1">
      <alignment horizontal="center" shrinkToFit="1"/>
      <protection locked="0"/>
    </xf>
    <xf numFmtId="0" fontId="21" fillId="0" borderId="10" xfId="0" applyFont="1" applyBorder="1" applyAlignment="1" applyProtection="1">
      <alignment horizontal="center" shrinkToFit="1"/>
      <protection locked="0"/>
    </xf>
    <xf numFmtId="0" fontId="21" fillId="0" borderId="11" xfId="0" applyFont="1" applyBorder="1" applyAlignment="1" applyProtection="1">
      <alignment horizontal="center" shrinkToFit="1"/>
      <protection locked="0"/>
    </xf>
    <xf numFmtId="0" fontId="21" fillId="0" borderId="12" xfId="0" applyFont="1" applyBorder="1" applyAlignment="1" applyProtection="1">
      <alignment horizontal="center" shrinkToFi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15" fillId="7" borderId="11" xfId="0" applyFont="1" applyFill="1" applyBorder="1" applyAlignment="1">
      <alignment horizontal="center" vertical="center" shrinkToFit="1"/>
    </xf>
    <xf numFmtId="0" fontId="15" fillId="7" borderId="14" xfId="0" applyFont="1" applyFill="1" applyBorder="1" applyAlignment="1">
      <alignment horizontal="center" vertical="center" shrinkToFit="1"/>
    </xf>
    <xf numFmtId="0" fontId="15" fillId="7" borderId="12" xfId="0" applyFont="1" applyFill="1" applyBorder="1" applyAlignment="1">
      <alignment horizontal="center" vertical="center" shrinkToFit="1"/>
    </xf>
    <xf numFmtId="0" fontId="21" fillId="0" borderId="7" xfId="0" applyFont="1" applyBorder="1" applyAlignment="1" applyProtection="1">
      <alignment horizontal="left"/>
      <protection locked="0"/>
    </xf>
    <xf numFmtId="0" fontId="21" fillId="0" borderId="13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2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center" vertical="center" textRotation="255"/>
    </xf>
    <xf numFmtId="0" fontId="15" fillId="7" borderId="1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 shrinkToFit="1"/>
    </xf>
    <xf numFmtId="0" fontId="15" fillId="7" borderId="13" xfId="0" applyFont="1" applyFill="1" applyBorder="1" applyAlignment="1">
      <alignment horizontal="center" vertical="center" shrinkToFit="1"/>
    </xf>
    <xf numFmtId="0" fontId="15" fillId="7" borderId="10" xfId="0" applyFont="1" applyFill="1" applyBorder="1" applyAlignment="1">
      <alignment horizontal="center" vertical="center" shrinkToFit="1"/>
    </xf>
    <xf numFmtId="0" fontId="15" fillId="7" borderId="26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/>
    </xf>
    <xf numFmtId="0" fontId="21" fillId="0" borderId="26" xfId="0" applyFont="1" applyBorder="1" applyAlignment="1" applyProtection="1">
      <alignment horizontal="center" shrinkToFit="1"/>
      <protection locked="0"/>
    </xf>
    <xf numFmtId="0" fontId="21" fillId="0" borderId="27" xfId="0" applyFont="1" applyBorder="1" applyAlignment="1" applyProtection="1">
      <alignment horizontal="center" shrinkToFit="1"/>
      <protection locked="0"/>
    </xf>
    <xf numFmtId="0" fontId="21" fillId="0" borderId="14" xfId="0" applyFont="1" applyBorder="1" applyAlignment="1" applyProtection="1">
      <alignment horizontal="center" shrinkToFit="1"/>
      <protection locked="0"/>
    </xf>
    <xf numFmtId="0" fontId="6" fillId="7" borderId="38" xfId="0" applyFont="1" applyFill="1" applyBorder="1" applyAlignment="1">
      <alignment horizontal="center" wrapText="1"/>
    </xf>
    <xf numFmtId="0" fontId="6" fillId="7" borderId="37" xfId="0" applyFont="1" applyFill="1" applyBorder="1" applyAlignment="1">
      <alignment horizontal="center" wrapText="1"/>
    </xf>
    <xf numFmtId="0" fontId="6" fillId="7" borderId="39" xfId="0" applyFont="1" applyFill="1" applyBorder="1" applyAlignment="1">
      <alignment horizontal="center" wrapText="1"/>
    </xf>
    <xf numFmtId="0" fontId="6" fillId="7" borderId="9" xfId="0" applyFont="1" applyFill="1" applyBorder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6" fillId="7" borderId="8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shrinkToFit="1"/>
    </xf>
    <xf numFmtId="0" fontId="23" fillId="0" borderId="4" xfId="0" applyFont="1" applyBorder="1" applyAlignment="1">
      <alignment horizontal="center" shrinkToFit="1"/>
    </xf>
    <xf numFmtId="3" fontId="23" fillId="0" borderId="4" xfId="0" applyNumberFormat="1" applyFont="1" applyBorder="1" applyAlignment="1" applyProtection="1">
      <alignment horizontal="right"/>
      <protection locked="0"/>
    </xf>
    <xf numFmtId="0" fontId="23" fillId="0" borderId="4" xfId="0" applyFont="1" applyBorder="1" applyAlignment="1" applyProtection="1">
      <alignment horizontal="right"/>
      <protection locked="0"/>
    </xf>
    <xf numFmtId="0" fontId="23" fillId="0" borderId="30" xfId="0" applyFont="1" applyBorder="1" applyAlignment="1" applyProtection="1">
      <alignment horizontal="center" shrinkToFit="1"/>
      <protection locked="0"/>
    </xf>
    <xf numFmtId="0" fontId="14" fillId="7" borderId="30" xfId="0" applyFont="1" applyFill="1" applyBorder="1" applyAlignment="1">
      <alignment horizontal="center" vertical="center" shrinkToFit="1"/>
    </xf>
    <xf numFmtId="10" fontId="11" fillId="0" borderId="34" xfId="4" applyNumberFormat="1" applyFont="1" applyBorder="1" applyAlignment="1" applyProtection="1">
      <alignment horizontal="center"/>
    </xf>
    <xf numFmtId="10" fontId="11" fillId="0" borderId="35" xfId="4" applyNumberFormat="1" applyFont="1" applyBorder="1" applyAlignment="1" applyProtection="1">
      <alignment horizontal="center"/>
    </xf>
    <xf numFmtId="10" fontId="11" fillId="0" borderId="36" xfId="4" applyNumberFormat="1" applyFont="1" applyBorder="1" applyAlignment="1" applyProtection="1">
      <alignment horizontal="center"/>
    </xf>
    <xf numFmtId="10" fontId="11" fillId="0" borderId="30" xfId="4" applyNumberFormat="1" applyFont="1" applyBorder="1" applyAlignment="1" applyProtection="1">
      <alignment horizontal="center"/>
    </xf>
    <xf numFmtId="0" fontId="11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1" fillId="0" borderId="30" xfId="0" applyFont="1" applyBorder="1" applyAlignment="1">
      <alignment horizontal="left" shrinkToFit="1"/>
    </xf>
    <xf numFmtId="49" fontId="23" fillId="0" borderId="30" xfId="0" applyNumberFormat="1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1" fillId="0" borderId="30" xfId="0" applyFont="1" applyBorder="1" applyAlignment="1">
      <alignment horizontal="left"/>
    </xf>
    <xf numFmtId="3" fontId="23" fillId="0" borderId="4" xfId="0" applyNumberFormat="1" applyFont="1" applyBorder="1" applyAlignment="1">
      <alignment horizontal="right" shrinkToFit="1"/>
    </xf>
    <xf numFmtId="0" fontId="23" fillId="0" borderId="4" xfId="0" applyFont="1" applyBorder="1" applyAlignment="1">
      <alignment horizontal="right" shrinkToFit="1"/>
    </xf>
    <xf numFmtId="3" fontId="23" fillId="0" borderId="4" xfId="0" applyNumberFormat="1" applyFont="1" applyBorder="1" applyAlignment="1">
      <alignment horizontal="right"/>
    </xf>
    <xf numFmtId="0" fontId="23" fillId="0" borderId="4" xfId="0" applyFont="1" applyBorder="1" applyAlignment="1">
      <alignment horizontal="right"/>
    </xf>
    <xf numFmtId="0" fontId="23" fillId="0" borderId="30" xfId="0" applyFont="1" applyBorder="1" applyAlignment="1">
      <alignment horizontal="center" shrinkToFit="1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178" fontId="11" fillId="0" borderId="0" xfId="0" applyNumberFormat="1" applyFont="1" applyAlignment="1">
      <alignment horizontal="left" vertical="center" shrinkToFit="1"/>
    </xf>
    <xf numFmtId="178" fontId="10" fillId="0" borderId="0" xfId="0" applyNumberFormat="1" applyFont="1" applyAlignment="1">
      <alignment vertical="distributed" wrapText="1"/>
    </xf>
    <xf numFmtId="178" fontId="10" fillId="0" borderId="0" xfId="0" applyNumberFormat="1" applyFont="1"/>
    <xf numFmtId="178" fontId="21" fillId="0" borderId="7" xfId="0" applyNumberFormat="1" applyFont="1" applyBorder="1" applyAlignment="1">
      <alignment horizontal="center"/>
    </xf>
    <xf numFmtId="178" fontId="21" fillId="0" borderId="13" xfId="0" applyNumberFormat="1" applyFont="1" applyBorder="1" applyAlignment="1">
      <alignment horizontal="center"/>
    </xf>
    <xf numFmtId="178" fontId="21" fillId="0" borderId="10" xfId="0" applyNumberFormat="1" applyFont="1" applyBorder="1" applyAlignment="1">
      <alignment horizontal="center"/>
    </xf>
    <xf numFmtId="178" fontId="21" fillId="0" borderId="11" xfId="0" applyNumberFormat="1" applyFont="1" applyBorder="1" applyAlignment="1">
      <alignment horizontal="center"/>
    </xf>
    <xf numFmtId="178" fontId="21" fillId="0" borderId="14" xfId="0" applyNumberFormat="1" applyFont="1" applyBorder="1" applyAlignment="1">
      <alignment horizontal="center"/>
    </xf>
    <xf numFmtId="178" fontId="21" fillId="0" borderId="12" xfId="0" applyNumberFormat="1" applyFont="1" applyBorder="1" applyAlignment="1">
      <alignment horizontal="center"/>
    </xf>
    <xf numFmtId="179" fontId="21" fillId="0" borderId="7" xfId="0" applyNumberFormat="1" applyFont="1" applyBorder="1" applyAlignment="1">
      <alignment horizontal="left"/>
    </xf>
    <xf numFmtId="179" fontId="21" fillId="0" borderId="10" xfId="0" applyNumberFormat="1" applyFont="1" applyBorder="1" applyAlignment="1">
      <alignment horizontal="left"/>
    </xf>
    <xf numFmtId="179" fontId="21" fillId="0" borderId="11" xfId="0" applyNumberFormat="1" applyFont="1" applyBorder="1" applyAlignment="1">
      <alignment horizontal="left"/>
    </xf>
    <xf numFmtId="179" fontId="21" fillId="0" borderId="12" xfId="0" applyNumberFormat="1" applyFont="1" applyBorder="1" applyAlignment="1">
      <alignment horizontal="left"/>
    </xf>
    <xf numFmtId="178" fontId="21" fillId="0" borderId="7" xfId="0" applyNumberFormat="1" applyFont="1" applyBorder="1" applyAlignment="1">
      <alignment horizontal="left"/>
    </xf>
    <xf numFmtId="178" fontId="21" fillId="0" borderId="13" xfId="0" applyNumberFormat="1" applyFont="1" applyBorder="1" applyAlignment="1">
      <alignment horizontal="left"/>
    </xf>
    <xf numFmtId="178" fontId="21" fillId="0" borderId="10" xfId="0" applyNumberFormat="1" applyFont="1" applyBorder="1" applyAlignment="1">
      <alignment horizontal="left"/>
    </xf>
    <xf numFmtId="178" fontId="21" fillId="0" borderId="11" xfId="0" applyNumberFormat="1" applyFont="1" applyBorder="1" applyAlignment="1">
      <alignment horizontal="left"/>
    </xf>
    <xf numFmtId="178" fontId="21" fillId="0" borderId="14" xfId="0" applyNumberFormat="1" applyFont="1" applyBorder="1" applyAlignment="1">
      <alignment horizontal="left"/>
    </xf>
    <xf numFmtId="178" fontId="21" fillId="0" borderId="12" xfId="0" applyNumberFormat="1" applyFont="1" applyBorder="1" applyAlignment="1">
      <alignment horizontal="left"/>
    </xf>
    <xf numFmtId="178" fontId="21" fillId="0" borderId="7" xfId="0" applyNumberFormat="1" applyFont="1" applyBorder="1" applyAlignment="1">
      <alignment horizontal="center" shrinkToFit="1"/>
    </xf>
    <xf numFmtId="178" fontId="21" fillId="0" borderId="26" xfId="0" applyNumberFormat="1" applyFont="1" applyBorder="1" applyAlignment="1">
      <alignment horizontal="center" shrinkToFit="1"/>
    </xf>
    <xf numFmtId="178" fontId="21" fillId="0" borderId="27" xfId="0" applyNumberFormat="1" applyFont="1" applyBorder="1" applyAlignment="1">
      <alignment horizontal="center" shrinkToFit="1"/>
    </xf>
    <xf numFmtId="178" fontId="21" fillId="0" borderId="11" xfId="0" applyNumberFormat="1" applyFont="1" applyBorder="1" applyAlignment="1">
      <alignment horizontal="center" shrinkToFit="1"/>
    </xf>
    <xf numFmtId="178" fontId="21" fillId="0" borderId="14" xfId="0" applyNumberFormat="1" applyFont="1" applyBorder="1" applyAlignment="1">
      <alignment horizontal="center" shrinkToFit="1"/>
    </xf>
    <xf numFmtId="178" fontId="21" fillId="0" borderId="12" xfId="0" applyNumberFormat="1" applyFont="1" applyBorder="1" applyAlignment="1">
      <alignment horizontal="center" shrinkToFit="1"/>
    </xf>
    <xf numFmtId="178" fontId="21" fillId="0" borderId="10" xfId="0" applyNumberFormat="1" applyFont="1" applyBorder="1" applyAlignment="1">
      <alignment horizontal="center" shrinkToFit="1"/>
    </xf>
    <xf numFmtId="0" fontId="10" fillId="0" borderId="0" xfId="0" applyFont="1" applyAlignment="1">
      <alignment horizontal="center"/>
    </xf>
    <xf numFmtId="178" fontId="10" fillId="0" borderId="32" xfId="0" applyNumberFormat="1" applyFont="1" applyBorder="1" applyAlignment="1">
      <alignment horizontal="center" vertical="center"/>
    </xf>
    <xf numFmtId="178" fontId="11" fillId="0" borderId="31" xfId="0" applyNumberFormat="1" applyFont="1" applyBorder="1" applyAlignment="1">
      <alignment vertical="center"/>
    </xf>
    <xf numFmtId="178" fontId="10" fillId="0" borderId="31" xfId="0" applyNumberFormat="1" applyFont="1" applyBorder="1" applyAlignment="1">
      <alignment horizontal="center" vertical="center"/>
    </xf>
    <xf numFmtId="178" fontId="11" fillId="0" borderId="3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</cellXfs>
  <cellStyles count="5">
    <cellStyle name="パーセント" xfId="4" builtinId="5"/>
    <cellStyle name="桁区切り" xfId="1" builtinId="6"/>
    <cellStyle name="標準" xfId="0" builtinId="0"/>
    <cellStyle name="標準 2" xfId="3" xr:uid="{7E45AE4E-3BBE-4C73-8353-A9428DCE9C10}"/>
    <cellStyle name="標準_Sheet1" xfId="2" xr:uid="{00000000-0005-0000-0000-000002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133350</xdr:colOff>
      <xdr:row>11</xdr:row>
      <xdr:rowOff>38100</xdr:rowOff>
    </xdr:from>
    <xdr:to>
      <xdr:col>88</xdr:col>
      <xdr:colOff>95250</xdr:colOff>
      <xdr:row>29</xdr:row>
      <xdr:rowOff>297656</xdr:rowOff>
    </xdr:to>
    <xdr:sp macro="" textlink="">
      <xdr:nvSpPr>
        <xdr:cNvPr id="18747" name="右中かっこ 1">
          <a:extLst>
            <a:ext uri="{FF2B5EF4-FFF2-40B4-BE49-F238E27FC236}">
              <a16:creationId xmlns:a16="http://schemas.microsoft.com/office/drawing/2014/main" id="{00000000-0008-0000-0000-00003B490000}"/>
            </a:ext>
          </a:extLst>
        </xdr:cNvPr>
        <xdr:cNvSpPr>
          <a:spLocks/>
        </xdr:cNvSpPr>
      </xdr:nvSpPr>
      <xdr:spPr bwMode="auto">
        <a:xfrm>
          <a:off x="14254163" y="2002631"/>
          <a:ext cx="461962" cy="5498306"/>
        </a:xfrm>
        <a:prstGeom prst="rightBrace">
          <a:avLst>
            <a:gd name="adj1" fmla="val 8041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89</xdr:col>
      <xdr:colOff>83343</xdr:colOff>
      <xdr:row>20</xdr:row>
      <xdr:rowOff>47624</xdr:rowOff>
    </xdr:from>
    <xdr:to>
      <xdr:col>98</xdr:col>
      <xdr:colOff>74725</xdr:colOff>
      <xdr:row>22</xdr:row>
      <xdr:rowOff>110330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870906" y="4464843"/>
          <a:ext cx="1682069" cy="6818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「償還表」シートに転記されます。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S38"/>
  <sheetViews>
    <sheetView tabSelected="1" zoomScale="80" zoomScaleNormal="80" workbookViewId="0">
      <selection activeCell="BD2" sqref="BD2"/>
    </sheetView>
  </sheetViews>
  <sheetFormatPr defaultColWidth="1.6328125" defaultRowHeight="20.149999999999999" customHeight="1" x14ac:dyDescent="0.15"/>
  <cols>
    <col min="1" max="1" width="2.453125" style="44" customWidth="1"/>
    <col min="2" max="2" width="1.6328125" style="44"/>
    <col min="3" max="91" width="2.26953125" style="44" customWidth="1"/>
    <col min="92" max="92" width="1.6328125" style="44"/>
    <col min="93" max="93" width="10.1796875" style="46" bestFit="1" customWidth="1"/>
    <col min="94" max="16384" width="1.6328125" style="44"/>
  </cols>
  <sheetData>
    <row r="1" spans="1:97" ht="12.75" customHeight="1" x14ac:dyDescent="0.25">
      <c r="A1" s="233"/>
      <c r="B1" s="233"/>
      <c r="C1" s="233"/>
      <c r="D1" s="233"/>
      <c r="E1" s="233"/>
      <c r="F1" s="233"/>
      <c r="G1" s="233"/>
      <c r="H1" s="23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229" t="s">
        <v>11</v>
      </c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43"/>
      <c r="BF1" s="43"/>
      <c r="BG1" s="43"/>
      <c r="BH1" s="42"/>
      <c r="BI1" s="42"/>
      <c r="BJ1" s="42"/>
      <c r="BK1" s="42"/>
      <c r="BL1" s="42"/>
      <c r="BM1" s="42"/>
      <c r="BR1" s="225"/>
      <c r="BS1" s="226"/>
      <c r="BT1" s="226"/>
      <c r="BU1" s="226"/>
      <c r="BV1" s="226"/>
      <c r="BW1" s="226"/>
      <c r="BX1" s="226"/>
      <c r="BY1" s="86" t="s">
        <v>15</v>
      </c>
      <c r="BZ1" s="227"/>
      <c r="CA1" s="228"/>
      <c r="CB1" s="228"/>
      <c r="CC1" s="87" t="s">
        <v>16</v>
      </c>
      <c r="CD1" s="45"/>
      <c r="CE1" s="45"/>
    </row>
    <row r="2" spans="1:97" ht="12.75" customHeight="1" x14ac:dyDescent="0.2">
      <c r="A2" s="47"/>
      <c r="B2" s="47"/>
      <c r="C2" s="91" t="s">
        <v>666</v>
      </c>
      <c r="D2" s="47"/>
      <c r="E2" s="47"/>
      <c r="F2" s="47"/>
      <c r="G2" s="47"/>
      <c r="H2" s="47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H2" s="42"/>
      <c r="BI2" s="42"/>
      <c r="BJ2" s="42"/>
      <c r="BK2" s="42"/>
      <c r="BL2" s="42"/>
      <c r="BM2" s="42"/>
      <c r="BR2" s="88"/>
      <c r="BS2" s="89"/>
      <c r="BT2" s="89"/>
      <c r="BU2" s="227"/>
      <c r="BV2" s="228"/>
      <c r="BW2" s="89" t="s">
        <v>13</v>
      </c>
      <c r="BX2" s="227"/>
      <c r="BY2" s="228"/>
      <c r="BZ2" s="89" t="s">
        <v>17</v>
      </c>
      <c r="CA2" s="227"/>
      <c r="CB2" s="228"/>
      <c r="CC2" s="90" t="s">
        <v>18</v>
      </c>
      <c r="CD2" s="48"/>
      <c r="CE2" s="48"/>
    </row>
    <row r="3" spans="1:97" ht="12.75" customHeight="1" x14ac:dyDescent="0.2">
      <c r="Z3" s="49"/>
      <c r="BP3" s="50"/>
      <c r="BQ3" s="50"/>
      <c r="BR3" s="50"/>
      <c r="BS3" s="50"/>
      <c r="BT3" s="50"/>
      <c r="BU3" s="50"/>
      <c r="BV3" s="50"/>
      <c r="BW3" s="50"/>
      <c r="BX3" s="50"/>
      <c r="CG3" s="182"/>
      <c r="CH3" s="182"/>
      <c r="CI3" s="182"/>
      <c r="CJ3" s="182"/>
      <c r="CK3" s="182"/>
      <c r="CL3" s="182"/>
    </row>
    <row r="4" spans="1:97" ht="33.5" customHeight="1" x14ac:dyDescent="0.2">
      <c r="CG4" s="51"/>
      <c r="CH4" s="52"/>
      <c r="CI4" s="53"/>
      <c r="CJ4" s="51"/>
      <c r="CK4" s="52"/>
      <c r="CL4" s="53"/>
    </row>
    <row r="5" spans="1:97" ht="15.75" customHeight="1" x14ac:dyDescent="0.15">
      <c r="AV5" s="54"/>
      <c r="AW5" s="54"/>
      <c r="AX5" s="54" t="s">
        <v>5</v>
      </c>
      <c r="AY5" s="54"/>
      <c r="AZ5" s="55"/>
      <c r="BA5" s="55"/>
      <c r="BC5" s="232" t="s">
        <v>14</v>
      </c>
      <c r="BD5" s="23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56"/>
    </row>
    <row r="6" spans="1:97" ht="15.75" customHeight="1" x14ac:dyDescent="0.2">
      <c r="A6" s="243"/>
      <c r="C6" s="230" t="s">
        <v>6</v>
      </c>
      <c r="D6" s="244"/>
      <c r="E6" s="244"/>
      <c r="F6" s="244"/>
      <c r="G6" s="213" t="s">
        <v>29</v>
      </c>
      <c r="H6" s="214"/>
      <c r="I6" s="246" t="s">
        <v>30</v>
      </c>
      <c r="J6" s="247"/>
      <c r="K6" s="248"/>
      <c r="L6" s="230" t="s">
        <v>9</v>
      </c>
      <c r="M6" s="249"/>
      <c r="N6" s="249"/>
      <c r="O6" s="250"/>
      <c r="P6" s="230" t="s">
        <v>9</v>
      </c>
      <c r="Q6" s="231"/>
      <c r="R6" s="57"/>
      <c r="S6" s="57" t="s">
        <v>660</v>
      </c>
      <c r="T6" s="57"/>
      <c r="U6" s="57"/>
      <c r="V6" s="58"/>
      <c r="W6" s="58"/>
      <c r="AB6" s="59"/>
      <c r="AC6" s="60"/>
      <c r="AD6" s="60"/>
      <c r="AE6" s="60"/>
      <c r="AF6" s="60"/>
      <c r="AG6" s="60"/>
      <c r="BC6" s="58"/>
      <c r="BD6" s="58"/>
      <c r="BE6" s="61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3"/>
      <c r="BZ6" s="63"/>
      <c r="CA6" s="63"/>
    </row>
    <row r="7" spans="1:97" ht="15.75" customHeight="1" x14ac:dyDescent="0.2">
      <c r="A7" s="243"/>
      <c r="C7" s="209" t="s">
        <v>23</v>
      </c>
      <c r="D7" s="245"/>
      <c r="E7" s="245"/>
      <c r="F7" s="245"/>
      <c r="G7" s="215"/>
      <c r="H7" s="216"/>
      <c r="I7" s="234" t="s">
        <v>8</v>
      </c>
      <c r="J7" s="235"/>
      <c r="K7" s="236"/>
      <c r="L7" s="209" t="s">
        <v>10</v>
      </c>
      <c r="M7" s="245"/>
      <c r="N7" s="245"/>
      <c r="O7" s="210"/>
      <c r="P7" s="209" t="s">
        <v>0</v>
      </c>
      <c r="Q7" s="210"/>
      <c r="R7" s="57"/>
      <c r="S7" s="57" t="s">
        <v>682</v>
      </c>
      <c r="T7" s="57"/>
      <c r="U7" s="57"/>
      <c r="V7" s="58"/>
      <c r="W7" s="58"/>
      <c r="X7" s="59"/>
      <c r="Y7" s="59"/>
      <c r="Z7" s="59"/>
      <c r="AA7" s="59"/>
      <c r="AB7" s="59"/>
      <c r="AC7" s="59"/>
      <c r="AD7" s="59"/>
      <c r="AE7" s="59"/>
      <c r="AF7" s="59"/>
      <c r="AG7" s="59"/>
      <c r="BC7" s="232" t="s">
        <v>12</v>
      </c>
      <c r="BD7" s="23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</row>
    <row r="8" spans="1:97" ht="15.75" customHeight="1" x14ac:dyDescent="0.15">
      <c r="A8" s="243"/>
      <c r="C8" s="203"/>
      <c r="D8" s="204"/>
      <c r="E8" s="204"/>
      <c r="F8" s="205"/>
      <c r="G8" s="217"/>
      <c r="H8" s="218"/>
      <c r="I8" s="237"/>
      <c r="J8" s="238"/>
      <c r="K8" s="239"/>
      <c r="L8" s="221"/>
      <c r="M8" s="251"/>
      <c r="N8" s="251"/>
      <c r="O8" s="252"/>
      <c r="P8" s="221"/>
      <c r="Q8" s="222"/>
      <c r="R8" s="211" t="s">
        <v>687</v>
      </c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57"/>
      <c r="BC8" s="64"/>
      <c r="BD8" s="64"/>
      <c r="BE8" s="65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  <c r="BZ8" s="63"/>
      <c r="CA8" s="63"/>
    </row>
    <row r="9" spans="1:97" ht="15.75" customHeight="1" x14ac:dyDescent="0.15">
      <c r="A9" s="243"/>
      <c r="C9" s="206"/>
      <c r="D9" s="207"/>
      <c r="E9" s="207"/>
      <c r="F9" s="208"/>
      <c r="G9" s="219"/>
      <c r="H9" s="220"/>
      <c r="I9" s="240"/>
      <c r="J9" s="241"/>
      <c r="K9" s="242"/>
      <c r="L9" s="223"/>
      <c r="M9" s="253"/>
      <c r="N9" s="253"/>
      <c r="O9" s="224"/>
      <c r="P9" s="223"/>
      <c r="Q9" s="224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57"/>
      <c r="BC9" s="260" t="s">
        <v>20</v>
      </c>
      <c r="BD9" s="260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62"/>
      <c r="BX9" s="183"/>
      <c r="BY9" s="184"/>
      <c r="BZ9" s="63"/>
      <c r="CA9" s="63"/>
    </row>
    <row r="10" spans="1:97" ht="39" customHeight="1" x14ac:dyDescent="0.3">
      <c r="A10" s="243"/>
      <c r="C10" s="66"/>
      <c r="D10" s="67"/>
      <c r="E10" s="67"/>
      <c r="F10" s="67"/>
      <c r="G10" s="66"/>
      <c r="H10" s="66"/>
      <c r="I10" s="68"/>
      <c r="J10" s="68"/>
      <c r="K10" s="68"/>
      <c r="L10" s="69"/>
      <c r="M10" s="69"/>
      <c r="N10" s="69"/>
      <c r="O10" s="70"/>
      <c r="P10" s="70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C10" s="71"/>
      <c r="BD10" s="71"/>
      <c r="BE10" s="71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3"/>
      <c r="BX10" s="73"/>
      <c r="BY10" s="74"/>
      <c r="BZ10" s="75"/>
      <c r="CA10" s="75"/>
    </row>
    <row r="11" spans="1:97" ht="6.75" customHeight="1" x14ac:dyDescent="0.3">
      <c r="A11" s="243"/>
      <c r="C11" s="66"/>
      <c r="D11" s="67"/>
      <c r="E11" s="67"/>
      <c r="F11" s="67"/>
      <c r="G11" s="66"/>
      <c r="H11" s="66"/>
      <c r="I11" s="76"/>
      <c r="J11" s="76"/>
      <c r="K11" s="77"/>
      <c r="L11" s="77"/>
      <c r="M11" s="70"/>
      <c r="N11" s="70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C11" s="71"/>
      <c r="BD11" s="71"/>
      <c r="BE11" s="71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3"/>
      <c r="BX11" s="73"/>
      <c r="BY11" s="74"/>
      <c r="BZ11" s="75"/>
      <c r="CA11" s="75"/>
      <c r="CC11" s="50"/>
      <c r="CD11" s="50"/>
      <c r="CE11" s="50"/>
      <c r="CG11" s="50"/>
      <c r="CH11" s="50"/>
      <c r="CI11" s="50"/>
      <c r="CK11" s="50"/>
      <c r="CL11" s="50"/>
      <c r="CM11" s="50"/>
    </row>
    <row r="12" spans="1:97" ht="12.75" customHeight="1" x14ac:dyDescent="0.15">
      <c r="A12" s="243"/>
      <c r="C12" s="161" t="s">
        <v>27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 t="s">
        <v>3</v>
      </c>
      <c r="AR12" s="161"/>
      <c r="AS12" s="161"/>
      <c r="AT12" s="161"/>
      <c r="AU12" s="161"/>
      <c r="AV12" s="161"/>
      <c r="AW12" s="161"/>
      <c r="AX12" s="163"/>
      <c r="AY12" s="125" t="s">
        <v>775</v>
      </c>
      <c r="AZ12" s="126"/>
      <c r="BA12" s="126"/>
      <c r="BB12" s="126"/>
      <c r="BC12" s="126"/>
      <c r="BD12" s="126"/>
      <c r="BE12" s="126"/>
      <c r="BF12" s="126"/>
      <c r="BG12" s="126"/>
      <c r="BH12" s="127"/>
      <c r="BI12" s="172" t="s">
        <v>799</v>
      </c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8"/>
      <c r="BX12" s="254" t="s">
        <v>772</v>
      </c>
      <c r="BY12" s="255"/>
      <c r="BZ12" s="255"/>
      <c r="CA12" s="256"/>
    </row>
    <row r="13" spans="1:97" ht="12.75" customHeight="1" x14ac:dyDescent="0.15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3"/>
      <c r="AY13" s="128"/>
      <c r="AZ13" s="129"/>
      <c r="BA13" s="129"/>
      <c r="BB13" s="129"/>
      <c r="BC13" s="129"/>
      <c r="BD13" s="129"/>
      <c r="BE13" s="129"/>
      <c r="BF13" s="129"/>
      <c r="BG13" s="129"/>
      <c r="BH13" s="130"/>
      <c r="BI13" s="169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1"/>
      <c r="BX13" s="257"/>
      <c r="BY13" s="258"/>
      <c r="BZ13" s="258"/>
      <c r="CA13" s="259"/>
      <c r="CC13" s="75"/>
      <c r="CD13" s="75"/>
      <c r="CE13" s="75"/>
      <c r="CF13" s="75"/>
      <c r="CG13" s="75"/>
      <c r="CH13" s="75"/>
      <c r="CI13" s="185"/>
      <c r="CJ13" s="186"/>
      <c r="CK13" s="186"/>
      <c r="CL13" s="75"/>
      <c r="CM13" s="75"/>
      <c r="CN13" s="75"/>
      <c r="CO13" s="78"/>
      <c r="CP13" s="75"/>
    </row>
    <row r="14" spans="1:97" ht="18" customHeight="1" x14ac:dyDescent="0.2">
      <c r="C14" s="165" t="s">
        <v>683</v>
      </c>
      <c r="D14" s="165"/>
      <c r="E14" s="200"/>
      <c r="F14" s="201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9"/>
      <c r="AQ14" s="163" t="s">
        <v>28</v>
      </c>
      <c r="AR14" s="162"/>
      <c r="AS14" s="162"/>
      <c r="AT14" s="164"/>
      <c r="AU14" s="162" t="s">
        <v>0</v>
      </c>
      <c r="AV14" s="162"/>
      <c r="AW14" s="163" t="s">
        <v>2</v>
      </c>
      <c r="AX14" s="164"/>
      <c r="AY14" s="131"/>
      <c r="AZ14" s="132"/>
      <c r="BA14" s="132"/>
      <c r="BB14" s="132"/>
      <c r="BC14" s="132"/>
      <c r="BD14" s="132"/>
      <c r="BE14" s="132"/>
      <c r="BF14" s="132"/>
      <c r="BG14" s="132"/>
      <c r="BH14" s="133"/>
      <c r="BI14" s="172" t="s">
        <v>773</v>
      </c>
      <c r="BJ14" s="167"/>
      <c r="BK14" s="167"/>
      <c r="BL14" s="167"/>
      <c r="BM14" s="168"/>
      <c r="BN14" s="172" t="s">
        <v>7</v>
      </c>
      <c r="BO14" s="167"/>
      <c r="BP14" s="167"/>
      <c r="BQ14" s="167"/>
      <c r="BR14" s="168"/>
      <c r="BS14" s="125" t="s">
        <v>790</v>
      </c>
      <c r="BT14" s="167"/>
      <c r="BU14" s="167"/>
      <c r="BV14" s="167"/>
      <c r="BW14" s="168"/>
      <c r="BX14" s="257"/>
      <c r="BY14" s="258"/>
      <c r="BZ14" s="258"/>
      <c r="CA14" s="259"/>
      <c r="CC14" s="75"/>
      <c r="CD14" s="75"/>
      <c r="CE14" s="75"/>
      <c r="CF14" s="75"/>
      <c r="CG14" s="75"/>
      <c r="CH14" s="75"/>
      <c r="CI14" s="186"/>
      <c r="CJ14" s="186"/>
      <c r="CK14" s="186"/>
      <c r="CL14" s="75"/>
      <c r="CM14" s="75"/>
      <c r="CN14" s="75"/>
      <c r="CO14" s="78"/>
      <c r="CP14" s="75"/>
    </row>
    <row r="15" spans="1:97" s="79" customFormat="1" ht="27" customHeight="1" x14ac:dyDescent="0.25">
      <c r="C15" s="165" t="s">
        <v>25</v>
      </c>
      <c r="D15" s="165"/>
      <c r="E15" s="197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9"/>
      <c r="AQ15" s="97"/>
      <c r="AR15" s="96"/>
      <c r="AS15" s="96"/>
      <c r="AT15" s="98"/>
      <c r="AU15" s="97"/>
      <c r="AV15" s="98"/>
      <c r="AW15" s="97"/>
      <c r="AX15" s="98"/>
      <c r="AY15" s="156"/>
      <c r="AZ15" s="157"/>
      <c r="BA15" s="157"/>
      <c r="BB15" s="157"/>
      <c r="BC15" s="157"/>
      <c r="BD15" s="157"/>
      <c r="BE15" s="157"/>
      <c r="BF15" s="157"/>
      <c r="BG15" s="157"/>
      <c r="BH15" s="158"/>
      <c r="BI15" s="169"/>
      <c r="BJ15" s="170"/>
      <c r="BK15" s="170"/>
      <c r="BL15" s="170"/>
      <c r="BM15" s="171"/>
      <c r="BN15" s="169"/>
      <c r="BO15" s="170"/>
      <c r="BP15" s="170"/>
      <c r="BQ15" s="170"/>
      <c r="BR15" s="171"/>
      <c r="BS15" s="169"/>
      <c r="BT15" s="170"/>
      <c r="BU15" s="170"/>
      <c r="BV15" s="170"/>
      <c r="BW15" s="171"/>
      <c r="BX15" s="169" t="s">
        <v>4</v>
      </c>
      <c r="BY15" s="170"/>
      <c r="BZ15" s="170"/>
      <c r="CA15" s="171"/>
      <c r="CC15" s="80"/>
      <c r="CD15" s="80"/>
      <c r="CE15" s="80"/>
      <c r="CL15" s="80"/>
      <c r="CM15" s="80"/>
      <c r="CN15" s="80"/>
      <c r="CO15" s="81" t="e">
        <f>VALUE(IF(AI19="　　１ 　　 年賦",1,IF(AI19="　　２  　　半年賦",2,"")))</f>
        <v>#VALUE!</v>
      </c>
      <c r="CP15" s="80"/>
      <c r="CQ15" s="80"/>
      <c r="CR15" s="80"/>
      <c r="CS15" s="80"/>
    </row>
    <row r="16" spans="1:97" ht="25" customHeight="1" x14ac:dyDescent="0.2">
      <c r="C16" s="125" t="s">
        <v>794</v>
      </c>
      <c r="D16" s="126"/>
      <c r="E16" s="126"/>
      <c r="F16" s="126"/>
      <c r="G16" s="126"/>
      <c r="H16" s="127"/>
      <c r="I16" s="125" t="s">
        <v>795</v>
      </c>
      <c r="J16" s="126"/>
      <c r="K16" s="126"/>
      <c r="L16" s="126"/>
      <c r="M16" s="126"/>
      <c r="N16" s="127"/>
      <c r="O16" s="163" t="s">
        <v>19</v>
      </c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4"/>
      <c r="AA16" s="173" t="s">
        <v>793</v>
      </c>
      <c r="AB16" s="174"/>
      <c r="AC16" s="174"/>
      <c r="AD16" s="174"/>
      <c r="AE16" s="173" t="s">
        <v>796</v>
      </c>
      <c r="AF16" s="174"/>
      <c r="AG16" s="174"/>
      <c r="AH16" s="174"/>
      <c r="AI16" s="265" t="s">
        <v>791</v>
      </c>
      <c r="AJ16" s="265"/>
      <c r="AK16" s="265"/>
      <c r="AL16" s="265"/>
      <c r="AM16" s="175" t="s">
        <v>26</v>
      </c>
      <c r="AN16" s="175"/>
      <c r="AO16" s="175"/>
      <c r="AP16" s="175" t="s">
        <v>663</v>
      </c>
      <c r="AQ16" s="175"/>
      <c r="AR16" s="175"/>
      <c r="AS16" s="175" t="s">
        <v>792</v>
      </c>
      <c r="AT16" s="175"/>
      <c r="AU16" s="175"/>
      <c r="AV16" s="177" t="s">
        <v>679</v>
      </c>
      <c r="AW16" s="177"/>
      <c r="AX16" s="177"/>
      <c r="AY16" s="134" t="s">
        <v>774</v>
      </c>
      <c r="AZ16" s="134"/>
      <c r="BA16" s="134"/>
      <c r="BB16" s="134"/>
      <c r="BC16" s="134"/>
      <c r="BD16" s="134"/>
      <c r="BE16" s="134"/>
      <c r="BF16" s="134"/>
      <c r="BG16" s="134"/>
      <c r="BH16" s="134"/>
      <c r="BI16" s="156"/>
      <c r="BJ16" s="157"/>
      <c r="BK16" s="157"/>
      <c r="BL16" s="157"/>
      <c r="BM16" s="158"/>
      <c r="BN16" s="156"/>
      <c r="BO16" s="157"/>
      <c r="BP16" s="157"/>
      <c r="BQ16" s="157"/>
      <c r="BR16" s="158"/>
      <c r="BS16" s="156"/>
      <c r="BT16" s="157"/>
      <c r="BU16" s="157"/>
      <c r="BV16" s="157"/>
      <c r="BW16" s="158"/>
      <c r="BX16" s="166"/>
      <c r="BY16" s="166"/>
      <c r="BZ16" s="166"/>
      <c r="CA16" s="166"/>
    </row>
    <row r="17" spans="3:93" ht="25" customHeight="1" x14ac:dyDescent="0.2">
      <c r="C17" s="128"/>
      <c r="D17" s="129"/>
      <c r="E17" s="129"/>
      <c r="F17" s="129"/>
      <c r="G17" s="129"/>
      <c r="H17" s="130"/>
      <c r="I17" s="128"/>
      <c r="J17" s="129"/>
      <c r="K17" s="129"/>
      <c r="L17" s="129"/>
      <c r="M17" s="129"/>
      <c r="N17" s="130"/>
      <c r="O17" s="191" t="s">
        <v>680</v>
      </c>
      <c r="P17" s="192"/>
      <c r="Q17" s="192"/>
      <c r="R17" s="192"/>
      <c r="S17" s="192"/>
      <c r="T17" s="193"/>
      <c r="U17" s="191" t="s">
        <v>681</v>
      </c>
      <c r="V17" s="192"/>
      <c r="W17" s="192"/>
      <c r="X17" s="192"/>
      <c r="Y17" s="192"/>
      <c r="Z17" s="193"/>
      <c r="AA17" s="174"/>
      <c r="AB17" s="174"/>
      <c r="AC17" s="174"/>
      <c r="AD17" s="174"/>
      <c r="AE17" s="174"/>
      <c r="AF17" s="174"/>
      <c r="AG17" s="174"/>
      <c r="AH17" s="174"/>
      <c r="AI17" s="265"/>
      <c r="AJ17" s="265"/>
      <c r="AK17" s="265"/>
      <c r="AL17" s="26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7"/>
      <c r="AW17" s="177"/>
      <c r="AX17" s="177"/>
      <c r="AY17" s="134" t="s">
        <v>776</v>
      </c>
      <c r="AZ17" s="134"/>
      <c r="BA17" s="134"/>
      <c r="BB17" s="134"/>
      <c r="BC17" s="134"/>
      <c r="BD17" s="134"/>
      <c r="BE17" s="134"/>
      <c r="BF17" s="134"/>
      <c r="BG17" s="134"/>
      <c r="BH17" s="134"/>
      <c r="BI17" s="156"/>
      <c r="BJ17" s="157"/>
      <c r="BK17" s="157"/>
      <c r="BL17" s="157"/>
      <c r="BM17" s="158"/>
      <c r="BN17" s="156"/>
      <c r="BO17" s="157"/>
      <c r="BP17" s="157"/>
      <c r="BQ17" s="157"/>
      <c r="BR17" s="158"/>
      <c r="BS17" s="156"/>
      <c r="BT17" s="157"/>
      <c r="BU17" s="157"/>
      <c r="BV17" s="157"/>
      <c r="BW17" s="158"/>
      <c r="BX17" s="166"/>
      <c r="BY17" s="166"/>
      <c r="BZ17" s="166"/>
      <c r="CA17" s="166"/>
    </row>
    <row r="18" spans="3:93" ht="25" customHeight="1" x14ac:dyDescent="0.2">
      <c r="C18" s="131"/>
      <c r="D18" s="132"/>
      <c r="E18" s="132"/>
      <c r="F18" s="132"/>
      <c r="G18" s="132"/>
      <c r="H18" s="133"/>
      <c r="I18" s="131"/>
      <c r="J18" s="132"/>
      <c r="K18" s="132"/>
      <c r="L18" s="132"/>
      <c r="M18" s="132"/>
      <c r="N18" s="133"/>
      <c r="O18" s="194"/>
      <c r="P18" s="195"/>
      <c r="Q18" s="195"/>
      <c r="R18" s="195"/>
      <c r="S18" s="195"/>
      <c r="T18" s="196"/>
      <c r="U18" s="194"/>
      <c r="V18" s="195"/>
      <c r="W18" s="195"/>
      <c r="X18" s="195"/>
      <c r="Y18" s="195"/>
      <c r="Z18" s="196"/>
      <c r="AA18" s="174"/>
      <c r="AB18" s="174"/>
      <c r="AC18" s="174"/>
      <c r="AD18" s="174"/>
      <c r="AE18" s="174"/>
      <c r="AF18" s="174"/>
      <c r="AG18" s="174"/>
      <c r="AH18" s="174"/>
      <c r="AI18" s="265"/>
      <c r="AJ18" s="265"/>
      <c r="AK18" s="265"/>
      <c r="AL18" s="26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7"/>
      <c r="AW18" s="177"/>
      <c r="AX18" s="177"/>
      <c r="AY18" s="134" t="s">
        <v>777</v>
      </c>
      <c r="AZ18" s="134"/>
      <c r="BA18" s="134"/>
      <c r="BB18" s="134"/>
      <c r="BC18" s="134"/>
      <c r="BD18" s="134"/>
      <c r="BE18" s="134"/>
      <c r="BF18" s="134"/>
      <c r="BG18" s="134"/>
      <c r="BH18" s="134"/>
      <c r="BI18" s="156"/>
      <c r="BJ18" s="157"/>
      <c r="BK18" s="157"/>
      <c r="BL18" s="157"/>
      <c r="BM18" s="158"/>
      <c r="BN18" s="156"/>
      <c r="BO18" s="157"/>
      <c r="BP18" s="157"/>
      <c r="BQ18" s="157"/>
      <c r="BR18" s="158"/>
      <c r="BS18" s="156"/>
      <c r="BT18" s="157"/>
      <c r="BU18" s="157"/>
      <c r="BV18" s="157"/>
      <c r="BW18" s="158"/>
      <c r="BX18" s="166"/>
      <c r="BY18" s="166"/>
      <c r="BZ18" s="166"/>
      <c r="CA18" s="166"/>
    </row>
    <row r="19" spans="3:93" s="79" customFormat="1" ht="25" customHeight="1" x14ac:dyDescent="0.2">
      <c r="C19" s="179"/>
      <c r="D19" s="180"/>
      <c r="E19" s="180"/>
      <c r="F19" s="180"/>
      <c r="G19" s="180"/>
      <c r="H19" s="180"/>
      <c r="I19" s="262"/>
      <c r="J19" s="263"/>
      <c r="K19" s="263"/>
      <c r="L19" s="263"/>
      <c r="M19" s="263"/>
      <c r="N19" s="263"/>
      <c r="O19" s="190" t="str">
        <f>IFERROR(I19-U19*((AA19-AE19)*CO15-1),"")</f>
        <v/>
      </c>
      <c r="P19" s="190"/>
      <c r="Q19" s="190"/>
      <c r="R19" s="190"/>
      <c r="S19" s="190"/>
      <c r="T19" s="190"/>
      <c r="U19" s="190" t="str">
        <f>IFERROR(ROUNDDOWN(I19/((AA19-AE19)*CO15),0),"")</f>
        <v/>
      </c>
      <c r="V19" s="190"/>
      <c r="W19" s="190"/>
      <c r="X19" s="190"/>
      <c r="Y19" s="190"/>
      <c r="Z19" s="190"/>
      <c r="AA19" s="264"/>
      <c r="AB19" s="264"/>
      <c r="AC19" s="264"/>
      <c r="AD19" s="264"/>
      <c r="AE19" s="264"/>
      <c r="AF19" s="264"/>
      <c r="AG19" s="264"/>
      <c r="AH19" s="264"/>
      <c r="AI19" s="178"/>
      <c r="AJ19" s="178"/>
      <c r="AK19" s="178"/>
      <c r="AL19" s="178"/>
      <c r="AM19" s="176"/>
      <c r="AN19" s="176"/>
      <c r="AO19" s="176"/>
      <c r="AP19" s="176"/>
      <c r="AQ19" s="176"/>
      <c r="AR19" s="176"/>
      <c r="AS19" s="176"/>
      <c r="AT19" s="176"/>
      <c r="AU19" s="176"/>
      <c r="AV19" s="178"/>
      <c r="AW19" s="178"/>
      <c r="AX19" s="178"/>
      <c r="AY19" s="134" t="s">
        <v>778</v>
      </c>
      <c r="AZ19" s="134"/>
      <c r="BA19" s="134"/>
      <c r="BB19" s="134"/>
      <c r="BC19" s="134"/>
      <c r="BD19" s="134"/>
      <c r="BE19" s="134"/>
      <c r="BF19" s="134"/>
      <c r="BG19" s="134"/>
      <c r="BH19" s="134"/>
      <c r="BI19" s="156"/>
      <c r="BJ19" s="157"/>
      <c r="BK19" s="157"/>
      <c r="BL19" s="157"/>
      <c r="BM19" s="158"/>
      <c r="BN19" s="156"/>
      <c r="BO19" s="157"/>
      <c r="BP19" s="157"/>
      <c r="BQ19" s="157"/>
      <c r="BR19" s="158"/>
      <c r="BS19" s="156"/>
      <c r="BT19" s="157"/>
      <c r="BU19" s="157"/>
      <c r="BV19" s="157"/>
      <c r="BW19" s="158"/>
      <c r="BX19" s="166"/>
      <c r="BY19" s="166"/>
      <c r="BZ19" s="166"/>
      <c r="CA19" s="166"/>
      <c r="CO19" s="82"/>
    </row>
    <row r="20" spans="3:93" ht="25" customHeight="1" x14ac:dyDescent="0.2">
      <c r="C20" s="175" t="s">
        <v>22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94" t="s">
        <v>797</v>
      </c>
      <c r="AR20" s="195"/>
      <c r="AS20" s="195"/>
      <c r="AT20" s="195"/>
      <c r="AU20" s="195"/>
      <c r="AV20" s="195"/>
      <c r="AW20" s="195"/>
      <c r="AX20" s="196"/>
      <c r="AY20" s="134" t="s">
        <v>779</v>
      </c>
      <c r="AZ20" s="134"/>
      <c r="BA20" s="134"/>
      <c r="BB20" s="134"/>
      <c r="BC20" s="134"/>
      <c r="BD20" s="134"/>
      <c r="BE20" s="134"/>
      <c r="BF20" s="134"/>
      <c r="BG20" s="134"/>
      <c r="BH20" s="134"/>
      <c r="BI20" s="156"/>
      <c r="BJ20" s="157"/>
      <c r="BK20" s="157"/>
      <c r="BL20" s="157"/>
      <c r="BM20" s="158"/>
      <c r="BN20" s="156"/>
      <c r="BO20" s="157"/>
      <c r="BP20" s="157"/>
      <c r="BQ20" s="157"/>
      <c r="BR20" s="158"/>
      <c r="BS20" s="156"/>
      <c r="BT20" s="157"/>
      <c r="BU20" s="157"/>
      <c r="BV20" s="157"/>
      <c r="BW20" s="158"/>
      <c r="BX20" s="166"/>
      <c r="BY20" s="166"/>
      <c r="BZ20" s="166"/>
      <c r="CA20" s="166"/>
    </row>
    <row r="21" spans="3:93" ht="25" customHeight="1" x14ac:dyDescent="0.2"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59" t="s">
        <v>685</v>
      </c>
      <c r="AR21" s="159"/>
      <c r="AS21" s="159"/>
      <c r="AT21" s="159"/>
      <c r="AU21" s="159" t="s">
        <v>686</v>
      </c>
      <c r="AV21" s="159"/>
      <c r="AW21" s="159"/>
      <c r="AX21" s="159"/>
      <c r="AY21" s="134" t="s">
        <v>780</v>
      </c>
      <c r="AZ21" s="134"/>
      <c r="BA21" s="134"/>
      <c r="BB21" s="134"/>
      <c r="BC21" s="134"/>
      <c r="BD21" s="134"/>
      <c r="BE21" s="134"/>
      <c r="BF21" s="134"/>
      <c r="BG21" s="134"/>
      <c r="BH21" s="134"/>
      <c r="BI21" s="156"/>
      <c r="BJ21" s="157"/>
      <c r="BK21" s="157"/>
      <c r="BL21" s="157"/>
      <c r="BM21" s="158"/>
      <c r="BN21" s="156"/>
      <c r="BO21" s="157"/>
      <c r="BP21" s="157"/>
      <c r="BQ21" s="157"/>
      <c r="BR21" s="158"/>
      <c r="BS21" s="156"/>
      <c r="BT21" s="157"/>
      <c r="BU21" s="157"/>
      <c r="BV21" s="157"/>
      <c r="BW21" s="158"/>
      <c r="BX21" s="166"/>
      <c r="BY21" s="166"/>
      <c r="BZ21" s="166"/>
      <c r="CA21" s="166"/>
    </row>
    <row r="22" spans="3:93" ht="25" customHeight="1" x14ac:dyDescent="0.2"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59" t="s">
        <v>1</v>
      </c>
      <c r="AR22" s="159"/>
      <c r="AS22" s="159" t="s">
        <v>2</v>
      </c>
      <c r="AT22" s="159"/>
      <c r="AU22" s="159" t="s">
        <v>1</v>
      </c>
      <c r="AV22" s="159"/>
      <c r="AW22" s="159" t="s">
        <v>2</v>
      </c>
      <c r="AX22" s="159"/>
      <c r="AY22" s="134" t="s">
        <v>781</v>
      </c>
      <c r="AZ22" s="134"/>
      <c r="BA22" s="134"/>
      <c r="BB22" s="134"/>
      <c r="BC22" s="134"/>
      <c r="BD22" s="134"/>
      <c r="BE22" s="134"/>
      <c r="BF22" s="134"/>
      <c r="BG22" s="134"/>
      <c r="BH22" s="134"/>
      <c r="BI22" s="156"/>
      <c r="BJ22" s="157"/>
      <c r="BK22" s="157"/>
      <c r="BL22" s="157"/>
      <c r="BM22" s="158"/>
      <c r="BN22" s="156"/>
      <c r="BO22" s="157"/>
      <c r="BP22" s="157"/>
      <c r="BQ22" s="157"/>
      <c r="BR22" s="158"/>
      <c r="BS22" s="156"/>
      <c r="BT22" s="157"/>
      <c r="BU22" s="157"/>
      <c r="BV22" s="157"/>
      <c r="BW22" s="158"/>
      <c r="BX22" s="166"/>
      <c r="BY22" s="166"/>
      <c r="BZ22" s="166"/>
      <c r="CA22" s="166"/>
    </row>
    <row r="23" spans="3:93" ht="25" customHeight="1" x14ac:dyDescent="0.2"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60"/>
      <c r="AR23" s="160"/>
      <c r="AS23" s="261">
        <v>20</v>
      </c>
      <c r="AT23" s="261"/>
      <c r="AU23" s="160"/>
      <c r="AV23" s="160"/>
      <c r="AW23" s="261">
        <v>20</v>
      </c>
      <c r="AX23" s="261"/>
      <c r="AY23" s="134" t="s">
        <v>782</v>
      </c>
      <c r="AZ23" s="134"/>
      <c r="BA23" s="134"/>
      <c r="BB23" s="134"/>
      <c r="BC23" s="134"/>
      <c r="BD23" s="134"/>
      <c r="BE23" s="134"/>
      <c r="BF23" s="134"/>
      <c r="BG23" s="134"/>
      <c r="BH23" s="134"/>
      <c r="BI23" s="156"/>
      <c r="BJ23" s="157"/>
      <c r="BK23" s="157"/>
      <c r="BL23" s="157"/>
      <c r="BM23" s="158"/>
      <c r="BN23" s="156"/>
      <c r="BO23" s="157"/>
      <c r="BP23" s="157"/>
      <c r="BQ23" s="157"/>
      <c r="BR23" s="158"/>
      <c r="BS23" s="156"/>
      <c r="BT23" s="157"/>
      <c r="BU23" s="157"/>
      <c r="BV23" s="157"/>
      <c r="BW23" s="158"/>
      <c r="BX23" s="166"/>
      <c r="BY23" s="166"/>
      <c r="BZ23" s="166"/>
      <c r="CA23" s="166"/>
    </row>
    <row r="24" spans="3:93" ht="25" customHeight="1" x14ac:dyDescent="0.2">
      <c r="AY24" s="134" t="s">
        <v>783</v>
      </c>
      <c r="AZ24" s="134"/>
      <c r="BA24" s="134"/>
      <c r="BB24" s="134"/>
      <c r="BC24" s="134"/>
      <c r="BD24" s="134"/>
      <c r="BE24" s="134"/>
      <c r="BF24" s="134"/>
      <c r="BG24" s="134"/>
      <c r="BH24" s="134"/>
      <c r="BI24" s="156"/>
      <c r="BJ24" s="157"/>
      <c r="BK24" s="157"/>
      <c r="BL24" s="157"/>
      <c r="BM24" s="158"/>
      <c r="BN24" s="156"/>
      <c r="BO24" s="157"/>
      <c r="BP24" s="157"/>
      <c r="BQ24" s="157"/>
      <c r="BR24" s="158"/>
      <c r="BS24" s="156"/>
      <c r="BT24" s="157"/>
      <c r="BU24" s="157"/>
      <c r="BV24" s="157"/>
      <c r="BW24" s="158"/>
      <c r="BX24" s="166"/>
      <c r="BY24" s="166"/>
      <c r="BZ24" s="166"/>
      <c r="CA24" s="166"/>
    </row>
    <row r="25" spans="3:93" ht="25" customHeight="1" x14ac:dyDescent="0.2">
      <c r="AY25" s="134" t="s">
        <v>784</v>
      </c>
      <c r="AZ25" s="134"/>
      <c r="BA25" s="134"/>
      <c r="BB25" s="134"/>
      <c r="BC25" s="134"/>
      <c r="BD25" s="134"/>
      <c r="BE25" s="134"/>
      <c r="BF25" s="134"/>
      <c r="BG25" s="134"/>
      <c r="BH25" s="134"/>
      <c r="BI25" s="156"/>
      <c r="BJ25" s="157"/>
      <c r="BK25" s="157"/>
      <c r="BL25" s="157"/>
      <c r="BM25" s="158"/>
      <c r="BN25" s="156"/>
      <c r="BO25" s="157"/>
      <c r="BP25" s="157"/>
      <c r="BQ25" s="157"/>
      <c r="BR25" s="158"/>
      <c r="BS25" s="156"/>
      <c r="BT25" s="157"/>
      <c r="BU25" s="157"/>
      <c r="BV25" s="157"/>
      <c r="BW25" s="158"/>
      <c r="BX25" s="166"/>
      <c r="BY25" s="166"/>
      <c r="BZ25" s="166"/>
      <c r="CA25" s="166"/>
    </row>
    <row r="26" spans="3:93" ht="25" customHeight="1" x14ac:dyDescent="0.2">
      <c r="AY26" s="134" t="s">
        <v>785</v>
      </c>
      <c r="AZ26" s="134"/>
      <c r="BA26" s="134"/>
      <c r="BB26" s="134"/>
      <c r="BC26" s="134"/>
      <c r="BD26" s="134"/>
      <c r="BE26" s="134"/>
      <c r="BF26" s="134"/>
      <c r="BG26" s="134"/>
      <c r="BH26" s="134"/>
      <c r="BI26" s="156"/>
      <c r="BJ26" s="157"/>
      <c r="BK26" s="157"/>
      <c r="BL26" s="157"/>
      <c r="BM26" s="158"/>
      <c r="BN26" s="156"/>
      <c r="BO26" s="157"/>
      <c r="BP26" s="157"/>
      <c r="BQ26" s="157"/>
      <c r="BR26" s="158"/>
      <c r="BS26" s="156"/>
      <c r="BT26" s="157"/>
      <c r="BU26" s="157"/>
      <c r="BV26" s="157"/>
      <c r="BW26" s="158"/>
      <c r="BX26" s="166"/>
      <c r="BY26" s="166"/>
      <c r="BZ26" s="166"/>
      <c r="CA26" s="166"/>
    </row>
    <row r="27" spans="3:93" ht="25" customHeight="1" thickBot="1" x14ac:dyDescent="0.25">
      <c r="N27" s="144" t="s">
        <v>6</v>
      </c>
      <c r="O27" s="145"/>
      <c r="P27" s="145"/>
      <c r="Q27" s="145"/>
      <c r="R27" s="146"/>
      <c r="U27" s="144" t="s">
        <v>7</v>
      </c>
      <c r="V27" s="145"/>
      <c r="W27" s="145"/>
      <c r="X27" s="145"/>
      <c r="Y27" s="146"/>
      <c r="AB27" s="144" t="s">
        <v>798</v>
      </c>
      <c r="AC27" s="145"/>
      <c r="AD27" s="145"/>
      <c r="AE27" s="145"/>
      <c r="AF27" s="146"/>
      <c r="AY27" s="134" t="s">
        <v>786</v>
      </c>
      <c r="AZ27" s="134"/>
      <c r="BA27" s="134"/>
      <c r="BB27" s="134"/>
      <c r="BC27" s="134"/>
      <c r="BD27" s="134"/>
      <c r="BE27" s="134"/>
      <c r="BF27" s="134"/>
      <c r="BG27" s="134"/>
      <c r="BH27" s="134"/>
      <c r="BI27" s="156"/>
      <c r="BJ27" s="157"/>
      <c r="BK27" s="157"/>
      <c r="BL27" s="157"/>
      <c r="BM27" s="158"/>
      <c r="BN27" s="156"/>
      <c r="BO27" s="157"/>
      <c r="BP27" s="157"/>
      <c r="BQ27" s="157"/>
      <c r="BR27" s="158"/>
      <c r="BS27" s="156"/>
      <c r="BT27" s="157"/>
      <c r="BU27" s="157"/>
      <c r="BV27" s="157"/>
      <c r="BW27" s="158"/>
      <c r="BX27" s="166"/>
      <c r="BY27" s="166"/>
      <c r="BZ27" s="166"/>
      <c r="CA27" s="166"/>
    </row>
    <row r="28" spans="3:93" ht="25" customHeight="1" x14ac:dyDescent="0.2">
      <c r="C28" s="135" t="s">
        <v>555</v>
      </c>
      <c r="D28" s="136"/>
      <c r="E28" s="136"/>
      <c r="F28" s="136"/>
      <c r="G28" s="136"/>
      <c r="H28" s="136"/>
      <c r="I28" s="136"/>
      <c r="J28" s="137"/>
      <c r="N28" s="147" t="s">
        <v>684</v>
      </c>
      <c r="O28" s="148"/>
      <c r="P28" s="148"/>
      <c r="Q28" s="148"/>
      <c r="R28" s="149"/>
      <c r="U28" s="147" t="s">
        <v>684</v>
      </c>
      <c r="V28" s="148"/>
      <c r="W28" s="148"/>
      <c r="X28" s="148"/>
      <c r="Y28" s="149"/>
      <c r="AB28" s="147" t="s">
        <v>684</v>
      </c>
      <c r="AC28" s="148"/>
      <c r="AD28" s="148"/>
      <c r="AE28" s="148"/>
      <c r="AF28" s="149"/>
      <c r="AY28" s="134" t="s">
        <v>787</v>
      </c>
      <c r="AZ28" s="134"/>
      <c r="BA28" s="134"/>
      <c r="BB28" s="134"/>
      <c r="BC28" s="134"/>
      <c r="BD28" s="134"/>
      <c r="BE28" s="134"/>
      <c r="BF28" s="134"/>
      <c r="BG28" s="134"/>
      <c r="BH28" s="134"/>
      <c r="BI28" s="156"/>
      <c r="BJ28" s="157"/>
      <c r="BK28" s="157"/>
      <c r="BL28" s="157"/>
      <c r="BM28" s="158"/>
      <c r="BN28" s="156"/>
      <c r="BO28" s="157"/>
      <c r="BP28" s="157"/>
      <c r="BQ28" s="157"/>
      <c r="BR28" s="158"/>
      <c r="BS28" s="156"/>
      <c r="BT28" s="157"/>
      <c r="BU28" s="157"/>
      <c r="BV28" s="157"/>
      <c r="BW28" s="158"/>
      <c r="BX28" s="166"/>
      <c r="BY28" s="166"/>
      <c r="BZ28" s="166"/>
      <c r="CA28" s="166"/>
    </row>
    <row r="29" spans="3:93" ht="25" customHeight="1" x14ac:dyDescent="0.2">
      <c r="C29" s="138"/>
      <c r="D29" s="139"/>
      <c r="E29" s="139"/>
      <c r="F29" s="139"/>
      <c r="G29" s="139"/>
      <c r="H29" s="139"/>
      <c r="I29" s="139"/>
      <c r="J29" s="140"/>
      <c r="N29" s="150"/>
      <c r="O29" s="151"/>
      <c r="P29" s="151"/>
      <c r="Q29" s="151"/>
      <c r="R29" s="152"/>
      <c r="U29" s="150"/>
      <c r="V29" s="151"/>
      <c r="W29" s="151"/>
      <c r="X29" s="151"/>
      <c r="Y29" s="152"/>
      <c r="AB29" s="150"/>
      <c r="AC29" s="151"/>
      <c r="AD29" s="151"/>
      <c r="AE29" s="151"/>
      <c r="AF29" s="152"/>
      <c r="AY29" s="134" t="s">
        <v>788</v>
      </c>
      <c r="AZ29" s="134"/>
      <c r="BA29" s="134"/>
      <c r="BB29" s="134"/>
      <c r="BC29" s="134"/>
      <c r="BD29" s="134"/>
      <c r="BE29" s="134"/>
      <c r="BF29" s="134"/>
      <c r="BG29" s="134"/>
      <c r="BH29" s="134"/>
      <c r="BI29" s="156"/>
      <c r="BJ29" s="157"/>
      <c r="BK29" s="157"/>
      <c r="BL29" s="157"/>
      <c r="BM29" s="158"/>
      <c r="BN29" s="156"/>
      <c r="BO29" s="157"/>
      <c r="BP29" s="157"/>
      <c r="BQ29" s="157"/>
      <c r="BR29" s="158"/>
      <c r="BS29" s="156"/>
      <c r="BT29" s="157"/>
      <c r="BU29" s="157"/>
      <c r="BV29" s="157"/>
      <c r="BW29" s="158"/>
      <c r="BX29" s="166"/>
      <c r="BY29" s="166"/>
      <c r="BZ29" s="166"/>
      <c r="CA29" s="166"/>
    </row>
    <row r="30" spans="3:93" ht="25" customHeight="1" thickBot="1" x14ac:dyDescent="0.25">
      <c r="C30" s="141"/>
      <c r="D30" s="142"/>
      <c r="E30" s="142"/>
      <c r="F30" s="142"/>
      <c r="G30" s="142"/>
      <c r="H30" s="142"/>
      <c r="I30" s="142"/>
      <c r="J30" s="143"/>
      <c r="N30" s="153"/>
      <c r="O30" s="154"/>
      <c r="P30" s="154"/>
      <c r="Q30" s="154"/>
      <c r="R30" s="155"/>
      <c r="U30" s="153"/>
      <c r="V30" s="154"/>
      <c r="W30" s="154"/>
      <c r="X30" s="154"/>
      <c r="Y30" s="155"/>
      <c r="AB30" s="153"/>
      <c r="AC30" s="154"/>
      <c r="AD30" s="154"/>
      <c r="AE30" s="154"/>
      <c r="AF30" s="155"/>
      <c r="AY30" s="134" t="s">
        <v>789</v>
      </c>
      <c r="AZ30" s="134"/>
      <c r="BA30" s="134"/>
      <c r="BB30" s="134"/>
      <c r="BC30" s="134"/>
      <c r="BD30" s="134"/>
      <c r="BE30" s="134"/>
      <c r="BF30" s="134"/>
      <c r="BG30" s="134"/>
      <c r="BH30" s="134"/>
      <c r="BI30" s="156"/>
      <c r="BJ30" s="157"/>
      <c r="BK30" s="157"/>
      <c r="BL30" s="157"/>
      <c r="BM30" s="158"/>
      <c r="BN30" s="156"/>
      <c r="BO30" s="157"/>
      <c r="BP30" s="157"/>
      <c r="BQ30" s="157"/>
      <c r="BR30" s="158"/>
      <c r="BS30" s="156"/>
      <c r="BT30" s="157"/>
      <c r="BU30" s="157"/>
      <c r="BV30" s="157"/>
      <c r="BW30" s="158"/>
      <c r="BX30" s="166"/>
      <c r="BY30" s="166"/>
      <c r="BZ30" s="166"/>
      <c r="CA30" s="166"/>
    </row>
    <row r="31" spans="3:93" ht="25" customHeight="1" x14ac:dyDescent="0.2">
      <c r="C31" s="102"/>
      <c r="D31" s="102"/>
      <c r="E31" s="102"/>
      <c r="F31" s="102"/>
      <c r="G31" s="102"/>
      <c r="H31" s="102"/>
      <c r="I31" s="102"/>
      <c r="J31" s="102"/>
      <c r="AQ31" s="101"/>
      <c r="AR31" s="101"/>
      <c r="AS31" s="101"/>
      <c r="AT31" s="101"/>
    </row>
    <row r="32" spans="3:93" ht="25" customHeight="1" x14ac:dyDescent="0.15">
      <c r="AC32" s="103"/>
      <c r="AD32" s="103"/>
      <c r="AE32" s="103"/>
      <c r="AK32" s="103"/>
      <c r="AL32" s="103"/>
      <c r="AM32" s="103"/>
    </row>
    <row r="33" spans="7:39" ht="25" customHeight="1" x14ac:dyDescent="0.15">
      <c r="AC33" s="104"/>
      <c r="AD33" s="104"/>
      <c r="AE33" s="104"/>
      <c r="AK33" s="104"/>
      <c r="AL33" s="104"/>
      <c r="AM33" s="104"/>
    </row>
    <row r="34" spans="7:39" ht="25" customHeight="1" x14ac:dyDescent="0.15">
      <c r="AC34" s="105"/>
      <c r="AD34" s="105"/>
      <c r="AE34" s="105"/>
      <c r="AK34" s="105"/>
      <c r="AL34" s="105"/>
      <c r="AM34" s="105"/>
    </row>
    <row r="35" spans="7:39" ht="15" customHeight="1" x14ac:dyDescent="0.2"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AC35" s="105"/>
      <c r="AD35" s="105"/>
      <c r="AE35" s="105"/>
      <c r="AK35" s="105"/>
      <c r="AL35" s="105"/>
      <c r="AM35" s="105"/>
    </row>
    <row r="36" spans="7:39" ht="15" customHeight="1" x14ac:dyDescent="0.15">
      <c r="H36" s="49"/>
      <c r="N36" s="99"/>
    </row>
    <row r="37" spans="7:39" ht="15" customHeight="1" x14ac:dyDescent="0.15">
      <c r="H37" s="49"/>
      <c r="N37" s="99"/>
    </row>
    <row r="38" spans="7:39" ht="5.25" customHeight="1" x14ac:dyDescent="0.15"/>
  </sheetData>
  <sheetProtection selectLockedCells="1"/>
  <dataConsolidate/>
  <mergeCells count="172">
    <mergeCell ref="AP16:AR18"/>
    <mergeCell ref="BE7:CA7"/>
    <mergeCell ref="L6:O6"/>
    <mergeCell ref="L7:O7"/>
    <mergeCell ref="L8:O9"/>
    <mergeCell ref="BX12:CA14"/>
    <mergeCell ref="BX15:CA15"/>
    <mergeCell ref="BX16:CA16"/>
    <mergeCell ref="BI24:BM24"/>
    <mergeCell ref="BN24:BR24"/>
    <mergeCell ref="BS24:BW24"/>
    <mergeCell ref="BX24:CA24"/>
    <mergeCell ref="BC9:BD9"/>
    <mergeCell ref="AU23:AV23"/>
    <mergeCell ref="AS23:AT23"/>
    <mergeCell ref="AW23:AX23"/>
    <mergeCell ref="I19:N19"/>
    <mergeCell ref="AW22:AX22"/>
    <mergeCell ref="BI12:BW13"/>
    <mergeCell ref="AA19:AD19"/>
    <mergeCell ref="AI19:AL19"/>
    <mergeCell ref="AE19:AH19"/>
    <mergeCell ref="AE16:AH18"/>
    <mergeCell ref="AI16:AL18"/>
    <mergeCell ref="AM16:AO18"/>
    <mergeCell ref="C16:H18"/>
    <mergeCell ref="A1:H1"/>
    <mergeCell ref="I7:K7"/>
    <mergeCell ref="I8:K9"/>
    <mergeCell ref="A6:A12"/>
    <mergeCell ref="C6:F6"/>
    <mergeCell ref="C7:F7"/>
    <mergeCell ref="I6:K6"/>
    <mergeCell ref="BE5:BZ5"/>
    <mergeCell ref="C8:F9"/>
    <mergeCell ref="P7:Q7"/>
    <mergeCell ref="R8:AZ9"/>
    <mergeCell ref="G6:H7"/>
    <mergeCell ref="G8:H9"/>
    <mergeCell ref="P8:Q9"/>
    <mergeCell ref="BR1:BX1"/>
    <mergeCell ref="BZ1:CB1"/>
    <mergeCell ref="BU2:BV2"/>
    <mergeCell ref="CA2:CB2"/>
    <mergeCell ref="BX2:BY2"/>
    <mergeCell ref="AC1:BC2"/>
    <mergeCell ref="P6:Q6"/>
    <mergeCell ref="BC5:BD5"/>
    <mergeCell ref="BC7:BD7"/>
    <mergeCell ref="BN19:BR19"/>
    <mergeCell ref="C19:H19"/>
    <mergeCell ref="AU22:AV22"/>
    <mergeCell ref="C14:D14"/>
    <mergeCell ref="I16:N18"/>
    <mergeCell ref="C20:AP22"/>
    <mergeCell ref="C23:AP23"/>
    <mergeCell ref="CJ3:CL3"/>
    <mergeCell ref="BX9:BY9"/>
    <mergeCell ref="CG3:CI3"/>
    <mergeCell ref="CI13:CK14"/>
    <mergeCell ref="BE9:BV9"/>
    <mergeCell ref="G14:AP14"/>
    <mergeCell ref="AQ21:AT21"/>
    <mergeCell ref="O19:T19"/>
    <mergeCell ref="U19:Z19"/>
    <mergeCell ref="O17:T18"/>
    <mergeCell ref="U17:Z18"/>
    <mergeCell ref="AQ20:AX20"/>
    <mergeCell ref="AU21:AX21"/>
    <mergeCell ref="E15:AP15"/>
    <mergeCell ref="E14:F14"/>
    <mergeCell ref="AQ12:AX13"/>
    <mergeCell ref="AW14:AX14"/>
    <mergeCell ref="AQ22:AR22"/>
    <mergeCell ref="BS19:BW19"/>
    <mergeCell ref="AA16:AD18"/>
    <mergeCell ref="BI20:BM20"/>
    <mergeCell ref="BN20:BR20"/>
    <mergeCell ref="BS20:BW20"/>
    <mergeCell ref="BX20:CA20"/>
    <mergeCell ref="BI21:BM21"/>
    <mergeCell ref="BN21:BR21"/>
    <mergeCell ref="BS21:BW21"/>
    <mergeCell ref="BX21:CA21"/>
    <mergeCell ref="BX18:CA18"/>
    <mergeCell ref="BX19:CA19"/>
    <mergeCell ref="BX17:CA17"/>
    <mergeCell ref="AS16:AU18"/>
    <mergeCell ref="AS19:AU19"/>
    <mergeCell ref="AV16:AX18"/>
    <mergeCell ref="AV19:AX19"/>
    <mergeCell ref="AP19:AR19"/>
    <mergeCell ref="AM19:AO19"/>
    <mergeCell ref="BI18:BM18"/>
    <mergeCell ref="BN18:BR18"/>
    <mergeCell ref="BS18:BW18"/>
    <mergeCell ref="BI19:BM19"/>
    <mergeCell ref="BS14:BW15"/>
    <mergeCell ref="BN14:BR15"/>
    <mergeCell ref="BI14:BM15"/>
    <mergeCell ref="BS17:BW17"/>
    <mergeCell ref="BN17:BR17"/>
    <mergeCell ref="BI17:BM17"/>
    <mergeCell ref="BS16:BW16"/>
    <mergeCell ref="BN16:BR16"/>
    <mergeCell ref="BI16:BM16"/>
    <mergeCell ref="BS29:BW29"/>
    <mergeCell ref="BX29:CA29"/>
    <mergeCell ref="BI22:BM22"/>
    <mergeCell ref="BN22:BR22"/>
    <mergeCell ref="BS22:BW22"/>
    <mergeCell ref="BX22:CA22"/>
    <mergeCell ref="BI23:BM23"/>
    <mergeCell ref="BN23:BR23"/>
    <mergeCell ref="BS23:BW23"/>
    <mergeCell ref="BX23:CA23"/>
    <mergeCell ref="BI25:BM25"/>
    <mergeCell ref="BN25:BR25"/>
    <mergeCell ref="BS25:BW25"/>
    <mergeCell ref="BX25:CA25"/>
    <mergeCell ref="BI26:BM26"/>
    <mergeCell ref="BN26:BR26"/>
    <mergeCell ref="BS26:BW26"/>
    <mergeCell ref="BX26:CA26"/>
    <mergeCell ref="BI30:BM30"/>
    <mergeCell ref="BN30:BR30"/>
    <mergeCell ref="BS30:BW30"/>
    <mergeCell ref="BX30:CA30"/>
    <mergeCell ref="U29:Y30"/>
    <mergeCell ref="AB29:AF30"/>
    <mergeCell ref="AY23:BH23"/>
    <mergeCell ref="AY24:BH24"/>
    <mergeCell ref="AY25:BH25"/>
    <mergeCell ref="AY26:BH26"/>
    <mergeCell ref="AY27:BH27"/>
    <mergeCell ref="AY28:BH28"/>
    <mergeCell ref="AY29:BH29"/>
    <mergeCell ref="AY30:BH30"/>
    <mergeCell ref="BI27:BM27"/>
    <mergeCell ref="BN27:BR27"/>
    <mergeCell ref="BS27:BW27"/>
    <mergeCell ref="BX27:CA27"/>
    <mergeCell ref="BI28:BM28"/>
    <mergeCell ref="BN28:BR28"/>
    <mergeCell ref="BS28:BW28"/>
    <mergeCell ref="BX28:CA28"/>
    <mergeCell ref="BI29:BM29"/>
    <mergeCell ref="BN29:BR29"/>
    <mergeCell ref="AY12:BH14"/>
    <mergeCell ref="AY16:BH16"/>
    <mergeCell ref="AY17:BH17"/>
    <mergeCell ref="AY18:BH18"/>
    <mergeCell ref="AY19:BH19"/>
    <mergeCell ref="AY20:BH20"/>
    <mergeCell ref="AY21:BH21"/>
    <mergeCell ref="AY22:BH22"/>
    <mergeCell ref="C28:J30"/>
    <mergeCell ref="N27:R27"/>
    <mergeCell ref="N28:R28"/>
    <mergeCell ref="N29:R30"/>
    <mergeCell ref="U27:Y27"/>
    <mergeCell ref="U28:Y28"/>
    <mergeCell ref="AB27:AF27"/>
    <mergeCell ref="AB28:AF28"/>
    <mergeCell ref="AY15:BH15"/>
    <mergeCell ref="AS22:AT22"/>
    <mergeCell ref="AQ23:AR23"/>
    <mergeCell ref="C12:AP13"/>
    <mergeCell ref="AU14:AV14"/>
    <mergeCell ref="AQ14:AT14"/>
    <mergeCell ref="C15:D15"/>
    <mergeCell ref="O16:Z16"/>
  </mergeCells>
  <phoneticPr fontId="2"/>
  <dataValidations count="8">
    <dataValidation type="list" errorStyle="warning" allowBlank="1" showInputMessage="1" showErrorMessage="1" sqref="G8:H9" xr:uid="{00000000-0002-0000-0000-000000000000}">
      <formula1>"01　さいたま,02　川越,03　東松山,04　秩父,05　本庄,06　大里,07　加須,08　春日部"</formula1>
    </dataValidation>
    <dataValidation type="list" errorStyle="warning" allowBlank="1" showInputMessage="1" showErrorMessage="1" sqref="P8:Q9" xr:uid="{00000000-0002-0000-0000-000001000000}">
      <formula1>"５,７,９,１１,１,３"</formula1>
    </dataValidation>
    <dataValidation type="list" allowBlank="1" showInputMessage="1" showErrorMessage="1" sqref="AQ23:AR23 AU23:AV23" xr:uid="{00000000-0002-0000-0000-000003000000}">
      <formula1>"1,3,5,7,9,11"</formula1>
    </dataValidation>
    <dataValidation allowBlank="1" showInputMessage="1" showErrorMessage="1" prompt="コード表シートを参考に入力してください。" sqref="C8:F9 AS19:AU19 AP19 AM19" xr:uid="{00000000-0002-0000-0000-000004000000}"/>
    <dataValidation type="whole" errorStyle="warning" allowBlank="1" showInputMessage="1" showErrorMessage="1" prompt="西暦で入力してください。_x000a_また、年ではなく年度です。誤りにご注意ください。_x000a_例：2021年3月　→　2020年度のため2020と入力。" sqref="L8" xr:uid="{00000000-0002-0000-0000-000005000000}">
      <formula1>2020</formula1>
      <formula2>2050</formula2>
    </dataValidation>
    <dataValidation allowBlank="1" showInputMessage="1" showErrorMessage="1" prompt="「基準金利ー利子補給率」の数値が入る" sqref="BX15" xr:uid="{009EB7B6-2FC5-4D5E-B2E4-97C21D4886AA}"/>
    <dataValidation type="list" allowBlank="1" showInputMessage="1" showErrorMessage="1" sqref="AI19:AL19" xr:uid="{DF9C5E8B-DD58-441F-920A-C2AC3439BAE2}">
      <formula1>"　　１ 　　 年賦,　　２  　　半年賦"</formula1>
    </dataValidation>
    <dataValidation type="list" allowBlank="1" showInputMessage="1" showErrorMessage="1" sqref="AV19:AX19" xr:uid="{5FEA1896-5CE4-4169-8754-51FE5CB49393}">
      <formula1>"　１　　　あり,　２　　　なし"</formula1>
    </dataValidation>
  </dataValidations>
  <printOptions horizontalCentered="1" verticalCentered="1"/>
  <pageMargins left="0.25" right="0.25" top="0.75" bottom="0.75" header="0.3" footer="0.3"/>
  <pageSetup paperSize="9" scale="7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8000000}">
          <x14:formula1>
            <xm:f>ｺｰﾄﾞ表!$J$2:$J$15</xm:f>
          </x14:formula1>
          <xm:sqref>E14:F14</xm:sqref>
        </x14:dataValidation>
        <x14:dataValidation type="list" errorStyle="warning" showInputMessage="1" showErrorMessage="1" xr:uid="{00000000-0002-0000-0000-000009000000}">
          <x14:formula1>
            <xm:f>ｺｰﾄﾞ表!$H$2:$H$65</xm:f>
          </x14:formula1>
          <xm:sqref>I8:K9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77D0-05F7-440C-9135-BD19FCC24E20}">
  <sheetPr>
    <pageSetUpPr fitToPage="1"/>
  </sheetPr>
  <dimension ref="A1:CS38"/>
  <sheetViews>
    <sheetView view="pageBreakPreview" zoomScale="80" zoomScaleNormal="80" zoomScaleSheetLayoutView="80" workbookViewId="0">
      <selection activeCell="AC34" sqref="AC34"/>
    </sheetView>
  </sheetViews>
  <sheetFormatPr defaultColWidth="1.6328125" defaultRowHeight="20.149999999999999" customHeight="1" x14ac:dyDescent="0.15"/>
  <cols>
    <col min="1" max="1" width="2.453125" style="44" customWidth="1"/>
    <col min="2" max="2" width="1.6328125" style="44"/>
    <col min="3" max="91" width="2.26953125" style="44" customWidth="1"/>
    <col min="92" max="92" width="1.6328125" style="44"/>
    <col min="93" max="93" width="10.1796875" style="46" bestFit="1" customWidth="1"/>
    <col min="94" max="16384" width="1.6328125" style="44"/>
  </cols>
  <sheetData>
    <row r="1" spans="1:97" ht="12.75" customHeight="1" x14ac:dyDescent="0.25">
      <c r="A1" s="233"/>
      <c r="B1" s="233"/>
      <c r="C1" s="233"/>
      <c r="D1" s="233"/>
      <c r="E1" s="233"/>
      <c r="F1" s="233"/>
      <c r="G1" s="233"/>
      <c r="H1" s="23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229" t="s">
        <v>11</v>
      </c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43"/>
      <c r="BF1" s="43"/>
      <c r="BG1" s="43"/>
      <c r="BH1" s="42"/>
      <c r="BI1" s="42"/>
      <c r="BJ1" s="42"/>
      <c r="BK1" s="42"/>
      <c r="BL1" s="42"/>
      <c r="BM1" s="42"/>
      <c r="BR1" s="323">
        <f>【入力ｼｰﾄ】支援課提出用!BR1:BX1</f>
        <v>0</v>
      </c>
      <c r="BS1" s="324"/>
      <c r="BT1" s="324"/>
      <c r="BU1" s="324"/>
      <c r="BV1" s="324"/>
      <c r="BW1" s="324"/>
      <c r="BX1" s="324"/>
      <c r="BY1" s="106" t="s">
        <v>15</v>
      </c>
      <c r="BZ1" s="325">
        <f>【入力ｼｰﾄ】支援課提出用!BZ1:CB1</f>
        <v>0</v>
      </c>
      <c r="CA1" s="326"/>
      <c r="CB1" s="326"/>
      <c r="CC1" s="107" t="s">
        <v>16</v>
      </c>
      <c r="CD1" s="45"/>
      <c r="CE1" s="45"/>
    </row>
    <row r="2" spans="1:97" ht="12.75" customHeight="1" x14ac:dyDescent="0.2">
      <c r="A2" s="47"/>
      <c r="B2" s="47"/>
      <c r="C2" s="91" t="s">
        <v>666</v>
      </c>
      <c r="D2" s="47"/>
      <c r="E2" s="47"/>
      <c r="F2" s="47"/>
      <c r="G2" s="47"/>
      <c r="H2" s="47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H2" s="42"/>
      <c r="BI2" s="42"/>
      <c r="BJ2" s="42"/>
      <c r="BK2" s="42"/>
      <c r="BL2" s="42"/>
      <c r="BM2" s="42"/>
      <c r="BR2" s="108"/>
      <c r="BS2" s="109"/>
      <c r="BT2" s="109"/>
      <c r="BU2" s="325">
        <f>【入力ｼｰﾄ】支援課提出用!BU2:BV2</f>
        <v>0</v>
      </c>
      <c r="BV2" s="326"/>
      <c r="BW2" s="109" t="s">
        <v>13</v>
      </c>
      <c r="BX2" s="325">
        <f>【入力ｼｰﾄ】支援課提出用!BX2:BY2</f>
        <v>0</v>
      </c>
      <c r="BY2" s="326"/>
      <c r="BZ2" s="109" t="s">
        <v>17</v>
      </c>
      <c r="CA2" s="325">
        <f>【入力ｼｰﾄ】支援課提出用!CA2:CB2</f>
        <v>0</v>
      </c>
      <c r="CB2" s="326"/>
      <c r="CC2" s="110" t="s">
        <v>18</v>
      </c>
      <c r="CD2" s="48"/>
      <c r="CE2" s="48"/>
    </row>
    <row r="3" spans="1:97" ht="12.75" customHeight="1" x14ac:dyDescent="0.2">
      <c r="Z3" s="49"/>
      <c r="BP3" s="50"/>
      <c r="BQ3" s="50"/>
      <c r="BR3" s="50"/>
      <c r="BS3" s="50"/>
      <c r="BT3" s="50"/>
      <c r="BU3" s="50"/>
      <c r="BV3" s="50"/>
      <c r="BW3" s="50"/>
      <c r="BX3" s="50"/>
      <c r="CG3" s="322"/>
      <c r="CH3" s="322"/>
      <c r="CI3" s="322"/>
      <c r="CJ3" s="322"/>
      <c r="CK3" s="322"/>
      <c r="CL3" s="322"/>
    </row>
    <row r="4" spans="1:97" ht="33.5" customHeight="1" x14ac:dyDescent="0.2">
      <c r="CG4" s="50"/>
      <c r="CH4" s="49"/>
      <c r="CI4" s="48"/>
      <c r="CJ4" s="50"/>
      <c r="CK4" s="49"/>
      <c r="CL4" s="48"/>
    </row>
    <row r="5" spans="1:97" ht="15.75" customHeight="1" x14ac:dyDescent="0.15">
      <c r="AV5" s="54"/>
      <c r="AW5" s="54"/>
      <c r="AX5" s="54" t="s">
        <v>5</v>
      </c>
      <c r="AY5" s="54"/>
      <c r="AZ5" s="55"/>
      <c r="BA5" s="55"/>
      <c r="BC5" s="232" t="s">
        <v>14</v>
      </c>
      <c r="BD5" s="232"/>
      <c r="BE5" s="296">
        <f>【入力ｼｰﾄ】支援課提出用!BE5:BZ5</f>
        <v>0</v>
      </c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111"/>
    </row>
    <row r="6" spans="1:97" ht="15.75" customHeight="1" x14ac:dyDescent="0.2">
      <c r="A6" s="243"/>
      <c r="C6" s="230" t="s">
        <v>5</v>
      </c>
      <c r="D6" s="244"/>
      <c r="E6" s="244"/>
      <c r="F6" s="244"/>
      <c r="G6" s="213" t="s">
        <v>29</v>
      </c>
      <c r="H6" s="214"/>
      <c r="I6" s="246" t="s">
        <v>7</v>
      </c>
      <c r="J6" s="247"/>
      <c r="K6" s="248"/>
      <c r="L6" s="230" t="s">
        <v>9</v>
      </c>
      <c r="M6" s="249"/>
      <c r="N6" s="249"/>
      <c r="O6" s="250"/>
      <c r="P6" s="230" t="s">
        <v>9</v>
      </c>
      <c r="Q6" s="231"/>
      <c r="R6" s="57"/>
      <c r="S6" s="57" t="s">
        <v>660</v>
      </c>
      <c r="T6" s="57"/>
      <c r="U6" s="57"/>
      <c r="V6" s="58"/>
      <c r="W6" s="58"/>
      <c r="AB6" s="60"/>
      <c r="AC6" s="60"/>
      <c r="AD6" s="60"/>
      <c r="AE6" s="60"/>
      <c r="AF6" s="60"/>
      <c r="AG6" s="60"/>
      <c r="BC6" s="58"/>
      <c r="BD6" s="58"/>
      <c r="BE6" s="112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1"/>
      <c r="BZ6" s="111"/>
      <c r="CA6" s="111"/>
    </row>
    <row r="7" spans="1:97" ht="15.75" customHeight="1" x14ac:dyDescent="0.2">
      <c r="A7" s="243"/>
      <c r="C7" s="209" t="s">
        <v>23</v>
      </c>
      <c r="D7" s="245"/>
      <c r="E7" s="245"/>
      <c r="F7" s="245"/>
      <c r="G7" s="215"/>
      <c r="H7" s="216"/>
      <c r="I7" s="234" t="s">
        <v>8</v>
      </c>
      <c r="J7" s="235"/>
      <c r="K7" s="236"/>
      <c r="L7" s="209" t="s">
        <v>10</v>
      </c>
      <c r="M7" s="245"/>
      <c r="N7" s="245"/>
      <c r="O7" s="210"/>
      <c r="P7" s="209" t="s">
        <v>0</v>
      </c>
      <c r="Q7" s="210"/>
      <c r="R7" s="57"/>
      <c r="S7" s="57" t="s">
        <v>682</v>
      </c>
      <c r="T7" s="57"/>
      <c r="U7" s="57"/>
      <c r="V7" s="58"/>
      <c r="W7" s="58"/>
      <c r="X7" s="60"/>
      <c r="Y7" s="60"/>
      <c r="Z7" s="60"/>
      <c r="AA7" s="60"/>
      <c r="AB7" s="60"/>
      <c r="AC7" s="60"/>
      <c r="AD7" s="60"/>
      <c r="AE7" s="60"/>
      <c r="AF7" s="60"/>
      <c r="AG7" s="60"/>
      <c r="BC7" s="232" t="s">
        <v>12</v>
      </c>
      <c r="BD7" s="232"/>
      <c r="BE7" s="296">
        <f>【入力ｼｰﾄ】支援課提出用!BE7:CA7</f>
        <v>0</v>
      </c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296"/>
      <c r="BW7" s="296"/>
      <c r="BX7" s="296"/>
      <c r="BY7" s="296"/>
      <c r="BZ7" s="296"/>
      <c r="CA7" s="296"/>
    </row>
    <row r="8" spans="1:97" ht="15.75" customHeight="1" x14ac:dyDescent="0.15">
      <c r="A8" s="243"/>
      <c r="C8" s="299">
        <f>【入力ｼｰﾄ】支援課提出用!C8</f>
        <v>0</v>
      </c>
      <c r="D8" s="300"/>
      <c r="E8" s="300"/>
      <c r="F8" s="301"/>
      <c r="G8" s="305">
        <f>【入力ｼｰﾄ】支援課提出用!G8</f>
        <v>0</v>
      </c>
      <c r="H8" s="306"/>
      <c r="I8" s="309">
        <f>【入力ｼｰﾄ】支援課提出用!I8</f>
        <v>0</v>
      </c>
      <c r="J8" s="310"/>
      <c r="K8" s="311"/>
      <c r="L8" s="315">
        <f>【入力ｼｰﾄ】支援課提出用!L8</f>
        <v>0</v>
      </c>
      <c r="M8" s="316"/>
      <c r="N8" s="316"/>
      <c r="O8" s="317"/>
      <c r="P8" s="315">
        <f>【入力ｼｰﾄ】支援課提出用!P8</f>
        <v>0</v>
      </c>
      <c r="Q8" s="321"/>
      <c r="R8" s="211" t="s">
        <v>687</v>
      </c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57"/>
      <c r="BC8" s="64"/>
      <c r="BD8" s="64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1"/>
      <c r="BZ8" s="111"/>
      <c r="CA8" s="111"/>
    </row>
    <row r="9" spans="1:97" ht="15.75" customHeight="1" x14ac:dyDescent="0.15">
      <c r="A9" s="243"/>
      <c r="C9" s="302"/>
      <c r="D9" s="303"/>
      <c r="E9" s="303"/>
      <c r="F9" s="304"/>
      <c r="G9" s="307"/>
      <c r="H9" s="308"/>
      <c r="I9" s="312"/>
      <c r="J9" s="313"/>
      <c r="K9" s="314"/>
      <c r="L9" s="318"/>
      <c r="M9" s="319"/>
      <c r="N9" s="319"/>
      <c r="O9" s="320"/>
      <c r="P9" s="318"/>
      <c r="Q9" s="320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57"/>
      <c r="BC9" s="260" t="s">
        <v>20</v>
      </c>
      <c r="BD9" s="260"/>
      <c r="BE9" s="296">
        <f>【入力ｼｰﾄ】支援課提出用!BE9:BV9</f>
        <v>0</v>
      </c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113"/>
      <c r="BX9" s="297"/>
      <c r="BY9" s="298"/>
      <c r="BZ9" s="111"/>
      <c r="CA9" s="111"/>
    </row>
    <row r="10" spans="1:97" ht="39" customHeight="1" x14ac:dyDescent="0.3">
      <c r="A10" s="243"/>
      <c r="C10" s="67"/>
      <c r="D10" s="67"/>
      <c r="E10" s="67"/>
      <c r="F10" s="67"/>
      <c r="G10" s="67"/>
      <c r="H10" s="67"/>
      <c r="I10" s="114"/>
      <c r="J10" s="114"/>
      <c r="K10" s="114"/>
      <c r="L10" s="115"/>
      <c r="M10" s="115"/>
      <c r="N10" s="115"/>
      <c r="O10" s="116"/>
      <c r="P10" s="116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C10" s="71"/>
      <c r="BD10" s="71"/>
      <c r="BE10" s="71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8"/>
      <c r="BX10" s="118"/>
      <c r="BY10" s="119"/>
    </row>
    <row r="11" spans="1:97" ht="6.75" customHeight="1" x14ac:dyDescent="0.3">
      <c r="A11" s="243"/>
      <c r="C11" s="67"/>
      <c r="D11" s="67"/>
      <c r="E11" s="67"/>
      <c r="F11" s="67"/>
      <c r="G11" s="67"/>
      <c r="H11" s="67"/>
      <c r="I11" s="120"/>
      <c r="J11" s="120"/>
      <c r="K11" s="121"/>
      <c r="L11" s="121"/>
      <c r="M11" s="116"/>
      <c r="N11" s="116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C11" s="71"/>
      <c r="BD11" s="71"/>
      <c r="BE11" s="71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8"/>
      <c r="BX11" s="118"/>
      <c r="BY11" s="119"/>
      <c r="CC11" s="50"/>
      <c r="CD11" s="50"/>
      <c r="CE11" s="50"/>
      <c r="CG11" s="50"/>
      <c r="CH11" s="50"/>
      <c r="CI11" s="50"/>
      <c r="CK11" s="50"/>
      <c r="CL11" s="50"/>
      <c r="CM11" s="50"/>
    </row>
    <row r="12" spans="1:97" ht="12.75" customHeight="1" x14ac:dyDescent="0.15">
      <c r="A12" s="243"/>
      <c r="C12" s="161" t="s">
        <v>27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 t="s">
        <v>3</v>
      </c>
      <c r="AR12" s="161"/>
      <c r="AS12" s="161"/>
      <c r="AT12" s="161"/>
      <c r="AU12" s="161"/>
      <c r="AV12" s="161"/>
      <c r="AW12" s="161"/>
      <c r="AX12" s="163"/>
      <c r="AY12" s="125" t="s">
        <v>775</v>
      </c>
      <c r="AZ12" s="126"/>
      <c r="BA12" s="126"/>
      <c r="BB12" s="126"/>
      <c r="BC12" s="126"/>
      <c r="BD12" s="126"/>
      <c r="BE12" s="126"/>
      <c r="BF12" s="126"/>
      <c r="BG12" s="126"/>
      <c r="BH12" s="127"/>
      <c r="BI12" s="172" t="s">
        <v>799</v>
      </c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8"/>
      <c r="BX12" s="254" t="s">
        <v>772</v>
      </c>
      <c r="BY12" s="255"/>
      <c r="BZ12" s="255"/>
      <c r="CA12" s="256"/>
    </row>
    <row r="13" spans="1:97" ht="12.75" customHeight="1" x14ac:dyDescent="0.15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3"/>
      <c r="AY13" s="128"/>
      <c r="AZ13" s="129"/>
      <c r="BA13" s="129"/>
      <c r="BB13" s="129"/>
      <c r="BC13" s="129"/>
      <c r="BD13" s="129"/>
      <c r="BE13" s="129"/>
      <c r="BF13" s="129"/>
      <c r="BG13" s="129"/>
      <c r="BH13" s="130"/>
      <c r="BI13" s="169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1"/>
      <c r="BX13" s="257"/>
      <c r="BY13" s="258"/>
      <c r="BZ13" s="258"/>
      <c r="CA13" s="259"/>
      <c r="CI13" s="290"/>
      <c r="CJ13" s="291"/>
      <c r="CK13" s="291"/>
      <c r="CP13" s="75"/>
    </row>
    <row r="14" spans="1:97" ht="18" customHeight="1" x14ac:dyDescent="0.2">
      <c r="C14" s="165" t="s">
        <v>24</v>
      </c>
      <c r="D14" s="165"/>
      <c r="E14" s="292">
        <f>【入力ｼｰﾄ】支援課提出用!E14</f>
        <v>0</v>
      </c>
      <c r="F14" s="293"/>
      <c r="G14" s="294">
        <f>【入力ｼｰﾄ】支援課提出用!G14</f>
        <v>0</v>
      </c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5"/>
      <c r="AQ14" s="163" t="s">
        <v>28</v>
      </c>
      <c r="AR14" s="162"/>
      <c r="AS14" s="162"/>
      <c r="AT14" s="164"/>
      <c r="AU14" s="162" t="s">
        <v>0</v>
      </c>
      <c r="AV14" s="162"/>
      <c r="AW14" s="163" t="s">
        <v>2</v>
      </c>
      <c r="AX14" s="164"/>
      <c r="AY14" s="131"/>
      <c r="AZ14" s="132"/>
      <c r="BA14" s="132"/>
      <c r="BB14" s="132"/>
      <c r="BC14" s="132"/>
      <c r="BD14" s="132"/>
      <c r="BE14" s="132"/>
      <c r="BF14" s="132"/>
      <c r="BG14" s="132"/>
      <c r="BH14" s="133"/>
      <c r="BI14" s="172" t="s">
        <v>773</v>
      </c>
      <c r="BJ14" s="167"/>
      <c r="BK14" s="167"/>
      <c r="BL14" s="167"/>
      <c r="BM14" s="168"/>
      <c r="BN14" s="172" t="s">
        <v>7</v>
      </c>
      <c r="BO14" s="167"/>
      <c r="BP14" s="167"/>
      <c r="BQ14" s="167"/>
      <c r="BR14" s="168"/>
      <c r="BS14" s="125" t="s">
        <v>790</v>
      </c>
      <c r="BT14" s="167"/>
      <c r="BU14" s="167"/>
      <c r="BV14" s="167"/>
      <c r="BW14" s="168"/>
      <c r="BX14" s="257"/>
      <c r="BY14" s="258"/>
      <c r="BZ14" s="258"/>
      <c r="CA14" s="259"/>
      <c r="CI14" s="291"/>
      <c r="CJ14" s="291"/>
      <c r="CK14" s="291"/>
      <c r="CP14" s="75"/>
    </row>
    <row r="15" spans="1:97" s="79" customFormat="1" ht="27" customHeight="1" x14ac:dyDescent="0.25">
      <c r="C15" s="165" t="s">
        <v>25</v>
      </c>
      <c r="D15" s="165"/>
      <c r="E15" s="287">
        <f>【入力ｼｰﾄ】支援課提出用!E15</f>
        <v>0</v>
      </c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9"/>
      <c r="AQ15" s="122">
        <f>【入力ｼｰﾄ】支援課提出用!AQ15</f>
        <v>0</v>
      </c>
      <c r="AR15" s="123">
        <f>【入力ｼｰﾄ】支援課提出用!AR15</f>
        <v>0</v>
      </c>
      <c r="AS15" s="123">
        <f>【入力ｼｰﾄ】支援課提出用!AS15</f>
        <v>0</v>
      </c>
      <c r="AT15" s="124">
        <f>【入力ｼｰﾄ】支援課提出用!AT15</f>
        <v>0</v>
      </c>
      <c r="AU15" s="122">
        <f>【入力ｼｰﾄ】支援課提出用!AU15</f>
        <v>0</v>
      </c>
      <c r="AV15" s="124">
        <f>【入力ｼｰﾄ】支援課提出用!AV15</f>
        <v>0</v>
      </c>
      <c r="AW15" s="122">
        <f>【入力ｼｰﾄ】支援課提出用!AW15</f>
        <v>0</v>
      </c>
      <c r="AX15" s="124">
        <f>【入力ｼｰﾄ】支援課提出用!AX15</f>
        <v>0</v>
      </c>
      <c r="AY15" s="266">
        <f>【入力ｼｰﾄ】支援課提出用!AY15</f>
        <v>0</v>
      </c>
      <c r="AZ15" s="267"/>
      <c r="BA15" s="267"/>
      <c r="BB15" s="267"/>
      <c r="BC15" s="267"/>
      <c r="BD15" s="267"/>
      <c r="BE15" s="267"/>
      <c r="BF15" s="267"/>
      <c r="BG15" s="267"/>
      <c r="BH15" s="268"/>
      <c r="BI15" s="169"/>
      <c r="BJ15" s="170"/>
      <c r="BK15" s="170"/>
      <c r="BL15" s="170"/>
      <c r="BM15" s="171"/>
      <c r="BN15" s="169"/>
      <c r="BO15" s="170"/>
      <c r="BP15" s="170"/>
      <c r="BQ15" s="170"/>
      <c r="BR15" s="171"/>
      <c r="BS15" s="169"/>
      <c r="BT15" s="170"/>
      <c r="BU15" s="170"/>
      <c r="BV15" s="170"/>
      <c r="BW15" s="171"/>
      <c r="BX15" s="169" t="s">
        <v>4</v>
      </c>
      <c r="BY15" s="170"/>
      <c r="BZ15" s="170"/>
      <c r="CA15" s="171"/>
      <c r="CO15" s="82" t="e">
        <f>VALUE(IF(AI19="　　１ 　　 年賦",1,IF(AI19="　　２  　　半年賦",2,"")))</f>
        <v>#VALUE!</v>
      </c>
      <c r="CP15" s="80"/>
      <c r="CQ15" s="80"/>
      <c r="CR15" s="80"/>
      <c r="CS15" s="80"/>
    </row>
    <row r="16" spans="1:97" ht="25" customHeight="1" x14ac:dyDescent="0.2">
      <c r="C16" s="125" t="s">
        <v>794</v>
      </c>
      <c r="D16" s="126"/>
      <c r="E16" s="126"/>
      <c r="F16" s="126"/>
      <c r="G16" s="126"/>
      <c r="H16" s="127"/>
      <c r="I16" s="125" t="s">
        <v>795</v>
      </c>
      <c r="J16" s="126"/>
      <c r="K16" s="126"/>
      <c r="L16" s="126"/>
      <c r="M16" s="126"/>
      <c r="N16" s="127"/>
      <c r="O16" s="163" t="s">
        <v>19</v>
      </c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4"/>
      <c r="AA16" s="173" t="s">
        <v>793</v>
      </c>
      <c r="AB16" s="174"/>
      <c r="AC16" s="174"/>
      <c r="AD16" s="174"/>
      <c r="AE16" s="173" t="s">
        <v>796</v>
      </c>
      <c r="AF16" s="174"/>
      <c r="AG16" s="174"/>
      <c r="AH16" s="174"/>
      <c r="AI16" s="265" t="s">
        <v>791</v>
      </c>
      <c r="AJ16" s="265"/>
      <c r="AK16" s="265"/>
      <c r="AL16" s="265"/>
      <c r="AM16" s="175" t="s">
        <v>26</v>
      </c>
      <c r="AN16" s="175"/>
      <c r="AO16" s="175"/>
      <c r="AP16" s="175" t="s">
        <v>663</v>
      </c>
      <c r="AQ16" s="175"/>
      <c r="AR16" s="175"/>
      <c r="AS16" s="175" t="s">
        <v>792</v>
      </c>
      <c r="AT16" s="175"/>
      <c r="AU16" s="175"/>
      <c r="AV16" s="177" t="s">
        <v>679</v>
      </c>
      <c r="AW16" s="177"/>
      <c r="AX16" s="177"/>
      <c r="AY16" s="134" t="s">
        <v>774</v>
      </c>
      <c r="AZ16" s="134"/>
      <c r="BA16" s="134"/>
      <c r="BB16" s="134"/>
      <c r="BC16" s="134"/>
      <c r="BD16" s="134"/>
      <c r="BE16" s="134"/>
      <c r="BF16" s="134"/>
      <c r="BG16" s="134"/>
      <c r="BH16" s="134"/>
      <c r="BI16" s="266">
        <f>【入力ｼｰﾄ】支援課提出用!BI16</f>
        <v>0</v>
      </c>
      <c r="BJ16" s="267"/>
      <c r="BK16" s="267"/>
      <c r="BL16" s="267"/>
      <c r="BM16" s="268"/>
      <c r="BN16" s="266">
        <f>【入力ｼｰﾄ】支援課提出用!BN16</f>
        <v>0</v>
      </c>
      <c r="BO16" s="267"/>
      <c r="BP16" s="267"/>
      <c r="BQ16" s="267"/>
      <c r="BR16" s="268"/>
      <c r="BS16" s="266">
        <f>【入力ｼｰﾄ】支援課提出用!BS16</f>
        <v>0</v>
      </c>
      <c r="BT16" s="267"/>
      <c r="BU16" s="267"/>
      <c r="BV16" s="267"/>
      <c r="BW16" s="268"/>
      <c r="BX16" s="269">
        <f>【入力ｼｰﾄ】支援課提出用!BX16</f>
        <v>0</v>
      </c>
      <c r="BY16" s="269"/>
      <c r="BZ16" s="269"/>
      <c r="CA16" s="269"/>
    </row>
    <row r="17" spans="3:93" ht="25" customHeight="1" x14ac:dyDescent="0.2">
      <c r="C17" s="128"/>
      <c r="D17" s="129"/>
      <c r="E17" s="129"/>
      <c r="F17" s="129"/>
      <c r="G17" s="129"/>
      <c r="H17" s="130"/>
      <c r="I17" s="128"/>
      <c r="J17" s="129"/>
      <c r="K17" s="129"/>
      <c r="L17" s="129"/>
      <c r="M17" s="129"/>
      <c r="N17" s="130"/>
      <c r="O17" s="191" t="s">
        <v>680</v>
      </c>
      <c r="P17" s="192"/>
      <c r="Q17" s="192"/>
      <c r="R17" s="192"/>
      <c r="S17" s="192"/>
      <c r="T17" s="193"/>
      <c r="U17" s="191" t="s">
        <v>681</v>
      </c>
      <c r="V17" s="192"/>
      <c r="W17" s="192"/>
      <c r="X17" s="192"/>
      <c r="Y17" s="192"/>
      <c r="Z17" s="193"/>
      <c r="AA17" s="174"/>
      <c r="AB17" s="174"/>
      <c r="AC17" s="174"/>
      <c r="AD17" s="174"/>
      <c r="AE17" s="174"/>
      <c r="AF17" s="174"/>
      <c r="AG17" s="174"/>
      <c r="AH17" s="174"/>
      <c r="AI17" s="265"/>
      <c r="AJ17" s="265"/>
      <c r="AK17" s="265"/>
      <c r="AL17" s="26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7"/>
      <c r="AW17" s="177"/>
      <c r="AX17" s="177"/>
      <c r="AY17" s="134" t="s">
        <v>776</v>
      </c>
      <c r="AZ17" s="134"/>
      <c r="BA17" s="134"/>
      <c r="BB17" s="134"/>
      <c r="BC17" s="134"/>
      <c r="BD17" s="134"/>
      <c r="BE17" s="134"/>
      <c r="BF17" s="134"/>
      <c r="BG17" s="134"/>
      <c r="BH17" s="134"/>
      <c r="BI17" s="266">
        <f>【入力ｼｰﾄ】支援課提出用!BI17</f>
        <v>0</v>
      </c>
      <c r="BJ17" s="267"/>
      <c r="BK17" s="267"/>
      <c r="BL17" s="267"/>
      <c r="BM17" s="268"/>
      <c r="BN17" s="266">
        <f>【入力ｼｰﾄ】支援課提出用!BN17</f>
        <v>0</v>
      </c>
      <c r="BO17" s="267"/>
      <c r="BP17" s="267"/>
      <c r="BQ17" s="267"/>
      <c r="BR17" s="268"/>
      <c r="BS17" s="266">
        <f>【入力ｼｰﾄ】支援課提出用!BS17</f>
        <v>0</v>
      </c>
      <c r="BT17" s="267"/>
      <c r="BU17" s="267"/>
      <c r="BV17" s="267"/>
      <c r="BW17" s="268"/>
      <c r="BX17" s="269">
        <f>【入力ｼｰﾄ】支援課提出用!BX17</f>
        <v>0</v>
      </c>
      <c r="BY17" s="269"/>
      <c r="BZ17" s="269"/>
      <c r="CA17" s="269"/>
    </row>
    <row r="18" spans="3:93" ht="25" customHeight="1" x14ac:dyDescent="0.2">
      <c r="C18" s="131"/>
      <c r="D18" s="132"/>
      <c r="E18" s="132"/>
      <c r="F18" s="132"/>
      <c r="G18" s="132"/>
      <c r="H18" s="133"/>
      <c r="I18" s="131"/>
      <c r="J18" s="132"/>
      <c r="K18" s="132"/>
      <c r="L18" s="132"/>
      <c r="M18" s="132"/>
      <c r="N18" s="133"/>
      <c r="O18" s="194"/>
      <c r="P18" s="195"/>
      <c r="Q18" s="195"/>
      <c r="R18" s="195"/>
      <c r="S18" s="195"/>
      <c r="T18" s="196"/>
      <c r="U18" s="194"/>
      <c r="V18" s="195"/>
      <c r="W18" s="195"/>
      <c r="X18" s="195"/>
      <c r="Y18" s="195"/>
      <c r="Z18" s="196"/>
      <c r="AA18" s="174"/>
      <c r="AB18" s="174"/>
      <c r="AC18" s="174"/>
      <c r="AD18" s="174"/>
      <c r="AE18" s="174"/>
      <c r="AF18" s="174"/>
      <c r="AG18" s="174"/>
      <c r="AH18" s="174"/>
      <c r="AI18" s="265"/>
      <c r="AJ18" s="265"/>
      <c r="AK18" s="265"/>
      <c r="AL18" s="26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7"/>
      <c r="AW18" s="177"/>
      <c r="AX18" s="177"/>
      <c r="AY18" s="134" t="s">
        <v>777</v>
      </c>
      <c r="AZ18" s="134"/>
      <c r="BA18" s="134"/>
      <c r="BB18" s="134"/>
      <c r="BC18" s="134"/>
      <c r="BD18" s="134"/>
      <c r="BE18" s="134"/>
      <c r="BF18" s="134"/>
      <c r="BG18" s="134"/>
      <c r="BH18" s="134"/>
      <c r="BI18" s="266">
        <f>【入力ｼｰﾄ】支援課提出用!BI18</f>
        <v>0</v>
      </c>
      <c r="BJ18" s="267"/>
      <c r="BK18" s="267"/>
      <c r="BL18" s="267"/>
      <c r="BM18" s="268"/>
      <c r="BN18" s="266">
        <f>【入力ｼｰﾄ】支援課提出用!BN18</f>
        <v>0</v>
      </c>
      <c r="BO18" s="267"/>
      <c r="BP18" s="267"/>
      <c r="BQ18" s="267"/>
      <c r="BR18" s="268"/>
      <c r="BS18" s="266">
        <f>【入力ｼｰﾄ】支援課提出用!BS18</f>
        <v>0</v>
      </c>
      <c r="BT18" s="267"/>
      <c r="BU18" s="267"/>
      <c r="BV18" s="267"/>
      <c r="BW18" s="268"/>
      <c r="BX18" s="269">
        <f>【入力ｼｰﾄ】支援課提出用!BX18</f>
        <v>0</v>
      </c>
      <c r="BY18" s="269"/>
      <c r="BZ18" s="269"/>
      <c r="CA18" s="269"/>
    </row>
    <row r="19" spans="3:93" s="79" customFormat="1" ht="25" customHeight="1" x14ac:dyDescent="0.2">
      <c r="C19" s="282">
        <f>【入力ｼｰﾄ】支援課提出用!C19</f>
        <v>0</v>
      </c>
      <c r="D19" s="283"/>
      <c r="E19" s="283"/>
      <c r="F19" s="283"/>
      <c r="G19" s="283"/>
      <c r="H19" s="283"/>
      <c r="I19" s="284">
        <f>【入力ｼｰﾄ】支援課提出用!I19</f>
        <v>0</v>
      </c>
      <c r="J19" s="285"/>
      <c r="K19" s="285"/>
      <c r="L19" s="285"/>
      <c r="M19" s="285"/>
      <c r="N19" s="285"/>
      <c r="O19" s="190" t="str">
        <f>IFERROR(I19-U19*((AA19-AE19)*CO15-1),"")</f>
        <v/>
      </c>
      <c r="P19" s="190"/>
      <c r="Q19" s="190"/>
      <c r="R19" s="190"/>
      <c r="S19" s="190"/>
      <c r="T19" s="190"/>
      <c r="U19" s="190" t="str">
        <f>IFERROR(ROUNDDOWN(I19/((AA19-AE19)*CO15),0),"")</f>
        <v/>
      </c>
      <c r="V19" s="190"/>
      <c r="W19" s="190"/>
      <c r="X19" s="190"/>
      <c r="Y19" s="190"/>
      <c r="Z19" s="190"/>
      <c r="AA19" s="286">
        <f>【入力ｼｰﾄ】支援課提出用!AA19</f>
        <v>0</v>
      </c>
      <c r="AB19" s="286"/>
      <c r="AC19" s="286"/>
      <c r="AD19" s="286"/>
      <c r="AE19" s="286">
        <f>【入力ｼｰﾄ】支援課提出用!AE19</f>
        <v>0</v>
      </c>
      <c r="AF19" s="286"/>
      <c r="AG19" s="286"/>
      <c r="AH19" s="286"/>
      <c r="AI19" s="281">
        <f>【入力ｼｰﾄ】支援課提出用!AI19</f>
        <v>0</v>
      </c>
      <c r="AJ19" s="281"/>
      <c r="AK19" s="281"/>
      <c r="AL19" s="281"/>
      <c r="AM19" s="279">
        <f>【入力ｼｰﾄ】支援課提出用!AM19</f>
        <v>0</v>
      </c>
      <c r="AN19" s="280"/>
      <c r="AO19" s="280"/>
      <c r="AP19" s="279">
        <f>【入力ｼｰﾄ】支援課提出用!AP19</f>
        <v>0</v>
      </c>
      <c r="AQ19" s="280"/>
      <c r="AR19" s="280"/>
      <c r="AS19" s="279">
        <f>【入力ｼｰﾄ】支援課提出用!AS19</f>
        <v>0</v>
      </c>
      <c r="AT19" s="280"/>
      <c r="AU19" s="280"/>
      <c r="AV19" s="281">
        <f>【入力ｼｰﾄ】支援課提出用!AV19</f>
        <v>0</v>
      </c>
      <c r="AW19" s="281"/>
      <c r="AX19" s="281"/>
      <c r="AY19" s="134" t="s">
        <v>778</v>
      </c>
      <c r="AZ19" s="134"/>
      <c r="BA19" s="134"/>
      <c r="BB19" s="134"/>
      <c r="BC19" s="134"/>
      <c r="BD19" s="134"/>
      <c r="BE19" s="134"/>
      <c r="BF19" s="134"/>
      <c r="BG19" s="134"/>
      <c r="BH19" s="134"/>
      <c r="BI19" s="266">
        <f>【入力ｼｰﾄ】支援課提出用!BI19</f>
        <v>0</v>
      </c>
      <c r="BJ19" s="267"/>
      <c r="BK19" s="267"/>
      <c r="BL19" s="267"/>
      <c r="BM19" s="268"/>
      <c r="BN19" s="266">
        <f>【入力ｼｰﾄ】支援課提出用!BN19</f>
        <v>0</v>
      </c>
      <c r="BO19" s="267"/>
      <c r="BP19" s="267"/>
      <c r="BQ19" s="267"/>
      <c r="BR19" s="268"/>
      <c r="BS19" s="266">
        <f>【入力ｼｰﾄ】支援課提出用!BS19</f>
        <v>0</v>
      </c>
      <c r="BT19" s="267"/>
      <c r="BU19" s="267"/>
      <c r="BV19" s="267"/>
      <c r="BW19" s="268"/>
      <c r="BX19" s="269">
        <f>【入力ｼｰﾄ】支援課提出用!BX19</f>
        <v>0</v>
      </c>
      <c r="BY19" s="269"/>
      <c r="BZ19" s="269"/>
      <c r="CA19" s="269"/>
      <c r="CO19" s="82"/>
    </row>
    <row r="20" spans="3:93" ht="25" customHeight="1" x14ac:dyDescent="0.2">
      <c r="C20" s="175" t="s">
        <v>22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94" t="s">
        <v>797</v>
      </c>
      <c r="AR20" s="195"/>
      <c r="AS20" s="195"/>
      <c r="AT20" s="195"/>
      <c r="AU20" s="195"/>
      <c r="AV20" s="195"/>
      <c r="AW20" s="195"/>
      <c r="AX20" s="196"/>
      <c r="AY20" s="134" t="s">
        <v>779</v>
      </c>
      <c r="AZ20" s="134"/>
      <c r="BA20" s="134"/>
      <c r="BB20" s="134"/>
      <c r="BC20" s="134"/>
      <c r="BD20" s="134"/>
      <c r="BE20" s="134"/>
      <c r="BF20" s="134"/>
      <c r="BG20" s="134"/>
      <c r="BH20" s="134"/>
      <c r="BI20" s="266">
        <f>【入力ｼｰﾄ】支援課提出用!BI20</f>
        <v>0</v>
      </c>
      <c r="BJ20" s="267"/>
      <c r="BK20" s="267"/>
      <c r="BL20" s="267"/>
      <c r="BM20" s="268"/>
      <c r="BN20" s="266">
        <f>【入力ｼｰﾄ】支援課提出用!BN20</f>
        <v>0</v>
      </c>
      <c r="BO20" s="267"/>
      <c r="BP20" s="267"/>
      <c r="BQ20" s="267"/>
      <c r="BR20" s="268"/>
      <c r="BS20" s="266">
        <f>【入力ｼｰﾄ】支援課提出用!BS20</f>
        <v>0</v>
      </c>
      <c r="BT20" s="267"/>
      <c r="BU20" s="267"/>
      <c r="BV20" s="267"/>
      <c r="BW20" s="268"/>
      <c r="BX20" s="269">
        <f>【入力ｼｰﾄ】支援課提出用!BX20</f>
        <v>0</v>
      </c>
      <c r="BY20" s="269"/>
      <c r="BZ20" s="269"/>
      <c r="CA20" s="269"/>
    </row>
    <row r="21" spans="3:93" ht="25" customHeight="1" x14ac:dyDescent="0.2"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59" t="s">
        <v>685</v>
      </c>
      <c r="AR21" s="159"/>
      <c r="AS21" s="159"/>
      <c r="AT21" s="159"/>
      <c r="AU21" s="159" t="s">
        <v>686</v>
      </c>
      <c r="AV21" s="159"/>
      <c r="AW21" s="159"/>
      <c r="AX21" s="159"/>
      <c r="AY21" s="134" t="s">
        <v>780</v>
      </c>
      <c r="AZ21" s="134"/>
      <c r="BA21" s="134"/>
      <c r="BB21" s="134"/>
      <c r="BC21" s="134"/>
      <c r="BD21" s="134"/>
      <c r="BE21" s="134"/>
      <c r="BF21" s="134"/>
      <c r="BG21" s="134"/>
      <c r="BH21" s="134"/>
      <c r="BI21" s="266">
        <f>【入力ｼｰﾄ】支援課提出用!BI21</f>
        <v>0</v>
      </c>
      <c r="BJ21" s="267"/>
      <c r="BK21" s="267"/>
      <c r="BL21" s="267"/>
      <c r="BM21" s="268"/>
      <c r="BN21" s="266">
        <f>【入力ｼｰﾄ】支援課提出用!BN21</f>
        <v>0</v>
      </c>
      <c r="BO21" s="267"/>
      <c r="BP21" s="267"/>
      <c r="BQ21" s="267"/>
      <c r="BR21" s="268"/>
      <c r="BS21" s="266">
        <f>【入力ｼｰﾄ】支援課提出用!BS21</f>
        <v>0</v>
      </c>
      <c r="BT21" s="267"/>
      <c r="BU21" s="267"/>
      <c r="BV21" s="267"/>
      <c r="BW21" s="268"/>
      <c r="BX21" s="269">
        <f>【入力ｼｰﾄ】支援課提出用!BX21</f>
        <v>0</v>
      </c>
      <c r="BY21" s="269"/>
      <c r="BZ21" s="269"/>
      <c r="CA21" s="269"/>
    </row>
    <row r="22" spans="3:93" ht="25" customHeight="1" x14ac:dyDescent="0.2"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59" t="s">
        <v>0</v>
      </c>
      <c r="AR22" s="159"/>
      <c r="AS22" s="159" t="s">
        <v>2</v>
      </c>
      <c r="AT22" s="159"/>
      <c r="AU22" s="159" t="s">
        <v>0</v>
      </c>
      <c r="AV22" s="159"/>
      <c r="AW22" s="159" t="s">
        <v>2</v>
      </c>
      <c r="AX22" s="159"/>
      <c r="AY22" s="134" t="s">
        <v>781</v>
      </c>
      <c r="AZ22" s="134"/>
      <c r="BA22" s="134"/>
      <c r="BB22" s="134"/>
      <c r="BC22" s="134"/>
      <c r="BD22" s="134"/>
      <c r="BE22" s="134"/>
      <c r="BF22" s="134"/>
      <c r="BG22" s="134"/>
      <c r="BH22" s="134"/>
      <c r="BI22" s="266">
        <f>【入力ｼｰﾄ】支援課提出用!BI22</f>
        <v>0</v>
      </c>
      <c r="BJ22" s="267"/>
      <c r="BK22" s="267"/>
      <c r="BL22" s="267"/>
      <c r="BM22" s="268"/>
      <c r="BN22" s="266">
        <f>【入力ｼｰﾄ】支援課提出用!BN22</f>
        <v>0</v>
      </c>
      <c r="BO22" s="267"/>
      <c r="BP22" s="267"/>
      <c r="BQ22" s="267"/>
      <c r="BR22" s="268"/>
      <c r="BS22" s="266">
        <f>【入力ｼｰﾄ】支援課提出用!BS22</f>
        <v>0</v>
      </c>
      <c r="BT22" s="267"/>
      <c r="BU22" s="267"/>
      <c r="BV22" s="267"/>
      <c r="BW22" s="268"/>
      <c r="BX22" s="269">
        <f>【入力ｼｰﾄ】支援課提出用!BX22</f>
        <v>0</v>
      </c>
      <c r="BY22" s="269"/>
      <c r="BZ22" s="269"/>
      <c r="CA22" s="269"/>
    </row>
    <row r="23" spans="3:93" ht="25" customHeight="1" x14ac:dyDescent="0.2">
      <c r="C23" s="278">
        <f>【入力ｼｰﾄ】支援課提出用!C23</f>
        <v>0</v>
      </c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61">
        <f>【入力ｼｰﾄ】支援課提出用!AQ23</f>
        <v>0</v>
      </c>
      <c r="AR23" s="261"/>
      <c r="AS23" s="261">
        <v>20</v>
      </c>
      <c r="AT23" s="261"/>
      <c r="AU23" s="261">
        <f>【入力ｼｰﾄ】支援課提出用!AU23</f>
        <v>0</v>
      </c>
      <c r="AV23" s="261"/>
      <c r="AW23" s="261">
        <v>20</v>
      </c>
      <c r="AX23" s="261"/>
      <c r="AY23" s="134" t="s">
        <v>782</v>
      </c>
      <c r="AZ23" s="134"/>
      <c r="BA23" s="134"/>
      <c r="BB23" s="134"/>
      <c r="BC23" s="134"/>
      <c r="BD23" s="134"/>
      <c r="BE23" s="134"/>
      <c r="BF23" s="134"/>
      <c r="BG23" s="134"/>
      <c r="BH23" s="134"/>
      <c r="BI23" s="266">
        <f>【入力ｼｰﾄ】支援課提出用!BI23</f>
        <v>0</v>
      </c>
      <c r="BJ23" s="267"/>
      <c r="BK23" s="267"/>
      <c r="BL23" s="267"/>
      <c r="BM23" s="268"/>
      <c r="BN23" s="266">
        <f>【入力ｼｰﾄ】支援課提出用!BN23</f>
        <v>0</v>
      </c>
      <c r="BO23" s="267"/>
      <c r="BP23" s="267"/>
      <c r="BQ23" s="267"/>
      <c r="BR23" s="268"/>
      <c r="BS23" s="266">
        <f>【入力ｼｰﾄ】支援課提出用!BS23</f>
        <v>0</v>
      </c>
      <c r="BT23" s="267"/>
      <c r="BU23" s="267"/>
      <c r="BV23" s="267"/>
      <c r="BW23" s="268"/>
      <c r="BX23" s="269">
        <f>【入力ｼｰﾄ】支援課提出用!BX23</f>
        <v>0</v>
      </c>
      <c r="BY23" s="269"/>
      <c r="BZ23" s="269"/>
      <c r="CA23" s="269"/>
    </row>
    <row r="24" spans="3:93" ht="25" customHeight="1" x14ac:dyDescent="0.2">
      <c r="AY24" s="134" t="s">
        <v>783</v>
      </c>
      <c r="AZ24" s="134"/>
      <c r="BA24" s="134"/>
      <c r="BB24" s="134"/>
      <c r="BC24" s="134"/>
      <c r="BD24" s="134"/>
      <c r="BE24" s="134"/>
      <c r="BF24" s="134"/>
      <c r="BG24" s="134"/>
      <c r="BH24" s="134"/>
      <c r="BI24" s="266">
        <f>【入力ｼｰﾄ】支援課提出用!BI24</f>
        <v>0</v>
      </c>
      <c r="BJ24" s="267"/>
      <c r="BK24" s="267"/>
      <c r="BL24" s="267"/>
      <c r="BM24" s="268"/>
      <c r="BN24" s="266">
        <f>【入力ｼｰﾄ】支援課提出用!BN24</f>
        <v>0</v>
      </c>
      <c r="BO24" s="267"/>
      <c r="BP24" s="267"/>
      <c r="BQ24" s="267"/>
      <c r="BR24" s="268"/>
      <c r="BS24" s="266">
        <f>【入力ｼｰﾄ】支援課提出用!BS24</f>
        <v>0</v>
      </c>
      <c r="BT24" s="267"/>
      <c r="BU24" s="267"/>
      <c r="BV24" s="267"/>
      <c r="BW24" s="268"/>
      <c r="BX24" s="269">
        <f>【入力ｼｰﾄ】支援課提出用!BX24</f>
        <v>0</v>
      </c>
      <c r="BY24" s="269"/>
      <c r="BZ24" s="269"/>
      <c r="CA24" s="269"/>
    </row>
    <row r="25" spans="3:93" ht="25" customHeight="1" x14ac:dyDescent="0.2">
      <c r="AY25" s="134" t="s">
        <v>784</v>
      </c>
      <c r="AZ25" s="134"/>
      <c r="BA25" s="134"/>
      <c r="BB25" s="134"/>
      <c r="BC25" s="134"/>
      <c r="BD25" s="134"/>
      <c r="BE25" s="134"/>
      <c r="BF25" s="134"/>
      <c r="BG25" s="134"/>
      <c r="BH25" s="134"/>
      <c r="BI25" s="266">
        <f>【入力ｼｰﾄ】支援課提出用!BI25</f>
        <v>0</v>
      </c>
      <c r="BJ25" s="267"/>
      <c r="BK25" s="267"/>
      <c r="BL25" s="267"/>
      <c r="BM25" s="268"/>
      <c r="BN25" s="266">
        <f>【入力ｼｰﾄ】支援課提出用!BN25</f>
        <v>0</v>
      </c>
      <c r="BO25" s="267"/>
      <c r="BP25" s="267"/>
      <c r="BQ25" s="267"/>
      <c r="BR25" s="268"/>
      <c r="BS25" s="266">
        <f>【入力ｼｰﾄ】支援課提出用!BS25</f>
        <v>0</v>
      </c>
      <c r="BT25" s="267"/>
      <c r="BU25" s="267"/>
      <c r="BV25" s="267"/>
      <c r="BW25" s="268"/>
      <c r="BX25" s="269">
        <f>【入力ｼｰﾄ】支援課提出用!BX25</f>
        <v>0</v>
      </c>
      <c r="BY25" s="269"/>
      <c r="BZ25" s="269"/>
      <c r="CA25" s="269"/>
    </row>
    <row r="26" spans="3:93" ht="25" customHeight="1" x14ac:dyDescent="0.2">
      <c r="AY26" s="134" t="s">
        <v>785</v>
      </c>
      <c r="AZ26" s="134"/>
      <c r="BA26" s="134"/>
      <c r="BB26" s="134"/>
      <c r="BC26" s="134"/>
      <c r="BD26" s="134"/>
      <c r="BE26" s="134"/>
      <c r="BF26" s="134"/>
      <c r="BG26" s="134"/>
      <c r="BH26" s="134"/>
      <c r="BI26" s="266">
        <f>【入力ｼｰﾄ】支援課提出用!BI26</f>
        <v>0</v>
      </c>
      <c r="BJ26" s="267"/>
      <c r="BK26" s="267"/>
      <c r="BL26" s="267"/>
      <c r="BM26" s="268"/>
      <c r="BN26" s="266">
        <f>【入力ｼｰﾄ】支援課提出用!BN26</f>
        <v>0</v>
      </c>
      <c r="BO26" s="267"/>
      <c r="BP26" s="267"/>
      <c r="BQ26" s="267"/>
      <c r="BR26" s="268"/>
      <c r="BS26" s="266">
        <f>【入力ｼｰﾄ】支援課提出用!BS26</f>
        <v>0</v>
      </c>
      <c r="BT26" s="267"/>
      <c r="BU26" s="267"/>
      <c r="BV26" s="267"/>
      <c r="BW26" s="268"/>
      <c r="BX26" s="269">
        <f>【入力ｼｰﾄ】支援課提出用!BX26</f>
        <v>0</v>
      </c>
      <c r="BY26" s="269"/>
      <c r="BZ26" s="269"/>
      <c r="CA26" s="269"/>
    </row>
    <row r="27" spans="3:93" ht="25" customHeight="1" thickBot="1" x14ac:dyDescent="0.25">
      <c r="N27" s="144" t="s">
        <v>5</v>
      </c>
      <c r="O27" s="145"/>
      <c r="P27" s="145"/>
      <c r="Q27" s="145"/>
      <c r="R27" s="146"/>
      <c r="U27" s="144" t="s">
        <v>7</v>
      </c>
      <c r="V27" s="145"/>
      <c r="W27" s="145"/>
      <c r="X27" s="145"/>
      <c r="Y27" s="146"/>
      <c r="AB27" s="277"/>
      <c r="AC27" s="277"/>
      <c r="AD27" s="277"/>
      <c r="AE27" s="277"/>
      <c r="AF27" s="277"/>
      <c r="AY27" s="134" t="s">
        <v>786</v>
      </c>
      <c r="AZ27" s="134"/>
      <c r="BA27" s="134"/>
      <c r="BB27" s="134"/>
      <c r="BC27" s="134"/>
      <c r="BD27" s="134"/>
      <c r="BE27" s="134"/>
      <c r="BF27" s="134"/>
      <c r="BG27" s="134"/>
      <c r="BH27" s="134"/>
      <c r="BI27" s="266">
        <f>【入力ｼｰﾄ】支援課提出用!BI27</f>
        <v>0</v>
      </c>
      <c r="BJ27" s="267"/>
      <c r="BK27" s="267"/>
      <c r="BL27" s="267"/>
      <c r="BM27" s="268"/>
      <c r="BN27" s="266">
        <f>【入力ｼｰﾄ】支援課提出用!BN27</f>
        <v>0</v>
      </c>
      <c r="BO27" s="267"/>
      <c r="BP27" s="267"/>
      <c r="BQ27" s="267"/>
      <c r="BR27" s="268"/>
      <c r="BS27" s="266">
        <f>【入力ｼｰﾄ】支援課提出用!BS27</f>
        <v>0</v>
      </c>
      <c r="BT27" s="267"/>
      <c r="BU27" s="267"/>
      <c r="BV27" s="267"/>
      <c r="BW27" s="268"/>
      <c r="BX27" s="269">
        <f>【入力ｼｰﾄ】支援課提出用!BX27</f>
        <v>0</v>
      </c>
      <c r="BY27" s="269"/>
      <c r="BZ27" s="269"/>
      <c r="CA27" s="269"/>
    </row>
    <row r="28" spans="3:93" ht="25" customHeight="1" x14ac:dyDescent="0.2">
      <c r="C28" s="135" t="s">
        <v>661</v>
      </c>
      <c r="D28" s="136"/>
      <c r="E28" s="136"/>
      <c r="F28" s="136"/>
      <c r="G28" s="136"/>
      <c r="H28" s="136"/>
      <c r="I28" s="136"/>
      <c r="J28" s="137"/>
      <c r="N28" s="147" t="s">
        <v>684</v>
      </c>
      <c r="O28" s="148"/>
      <c r="P28" s="148"/>
      <c r="Q28" s="148"/>
      <c r="R28" s="149"/>
      <c r="U28" s="147" t="s">
        <v>684</v>
      </c>
      <c r="V28" s="148"/>
      <c r="W28" s="148"/>
      <c r="X28" s="148"/>
      <c r="Y28" s="149"/>
      <c r="AB28" s="276"/>
      <c r="AC28" s="276"/>
      <c r="AD28" s="276"/>
      <c r="AE28" s="276"/>
      <c r="AF28" s="276"/>
      <c r="AY28" s="134" t="s">
        <v>787</v>
      </c>
      <c r="AZ28" s="134"/>
      <c r="BA28" s="134"/>
      <c r="BB28" s="134"/>
      <c r="BC28" s="134"/>
      <c r="BD28" s="134"/>
      <c r="BE28" s="134"/>
      <c r="BF28" s="134"/>
      <c r="BG28" s="134"/>
      <c r="BH28" s="134"/>
      <c r="BI28" s="266">
        <f>【入力ｼｰﾄ】支援課提出用!BI28</f>
        <v>0</v>
      </c>
      <c r="BJ28" s="267"/>
      <c r="BK28" s="267"/>
      <c r="BL28" s="267"/>
      <c r="BM28" s="268"/>
      <c r="BN28" s="266">
        <f>【入力ｼｰﾄ】支援課提出用!BN28</f>
        <v>0</v>
      </c>
      <c r="BO28" s="267"/>
      <c r="BP28" s="267"/>
      <c r="BQ28" s="267"/>
      <c r="BR28" s="268"/>
      <c r="BS28" s="266">
        <f>【入力ｼｰﾄ】支援課提出用!BS28</f>
        <v>0</v>
      </c>
      <c r="BT28" s="267"/>
      <c r="BU28" s="267"/>
      <c r="BV28" s="267"/>
      <c r="BW28" s="268"/>
      <c r="BX28" s="269">
        <f>【入力ｼｰﾄ】支援課提出用!BX28</f>
        <v>0</v>
      </c>
      <c r="BY28" s="269"/>
      <c r="BZ28" s="269"/>
      <c r="CA28" s="269"/>
    </row>
    <row r="29" spans="3:93" ht="25" customHeight="1" x14ac:dyDescent="0.2">
      <c r="C29" s="138"/>
      <c r="D29" s="139"/>
      <c r="E29" s="139"/>
      <c r="F29" s="139"/>
      <c r="G29" s="139"/>
      <c r="H29" s="139"/>
      <c r="I29" s="139"/>
      <c r="J29" s="140"/>
      <c r="N29" s="270">
        <f>【入力ｼｰﾄ】支援課提出用!N29</f>
        <v>0</v>
      </c>
      <c r="O29" s="271"/>
      <c r="P29" s="271"/>
      <c r="Q29" s="271"/>
      <c r="R29" s="272"/>
      <c r="U29" s="270">
        <f>【入力ｼｰﾄ】支援課提出用!U29</f>
        <v>0</v>
      </c>
      <c r="V29" s="271"/>
      <c r="W29" s="271"/>
      <c r="X29" s="271"/>
      <c r="Y29" s="272"/>
      <c r="AB29" s="271"/>
      <c r="AC29" s="271"/>
      <c r="AD29" s="271"/>
      <c r="AE29" s="271"/>
      <c r="AF29" s="271"/>
      <c r="AY29" s="134" t="s">
        <v>788</v>
      </c>
      <c r="AZ29" s="134"/>
      <c r="BA29" s="134"/>
      <c r="BB29" s="134"/>
      <c r="BC29" s="134"/>
      <c r="BD29" s="134"/>
      <c r="BE29" s="134"/>
      <c r="BF29" s="134"/>
      <c r="BG29" s="134"/>
      <c r="BH29" s="134"/>
      <c r="BI29" s="266">
        <f>【入力ｼｰﾄ】支援課提出用!BI29</f>
        <v>0</v>
      </c>
      <c r="BJ29" s="267"/>
      <c r="BK29" s="267"/>
      <c r="BL29" s="267"/>
      <c r="BM29" s="268"/>
      <c r="BN29" s="266">
        <f>【入力ｼｰﾄ】支援課提出用!BN29</f>
        <v>0</v>
      </c>
      <c r="BO29" s="267"/>
      <c r="BP29" s="267"/>
      <c r="BQ29" s="267"/>
      <c r="BR29" s="268"/>
      <c r="BS29" s="266">
        <f>【入力ｼｰﾄ】支援課提出用!BS29</f>
        <v>0</v>
      </c>
      <c r="BT29" s="267"/>
      <c r="BU29" s="267"/>
      <c r="BV29" s="267"/>
      <c r="BW29" s="268"/>
      <c r="BX29" s="269">
        <f>【入力ｼｰﾄ】支援課提出用!BX29</f>
        <v>0</v>
      </c>
      <c r="BY29" s="269"/>
      <c r="BZ29" s="269"/>
      <c r="CA29" s="269"/>
    </row>
    <row r="30" spans="3:93" ht="25" customHeight="1" thickBot="1" x14ac:dyDescent="0.25">
      <c r="C30" s="141"/>
      <c r="D30" s="142"/>
      <c r="E30" s="142"/>
      <c r="F30" s="142"/>
      <c r="G30" s="142"/>
      <c r="H30" s="142"/>
      <c r="I30" s="142"/>
      <c r="J30" s="143"/>
      <c r="N30" s="273"/>
      <c r="O30" s="274"/>
      <c r="P30" s="274"/>
      <c r="Q30" s="274"/>
      <c r="R30" s="275"/>
      <c r="U30" s="273"/>
      <c r="V30" s="274"/>
      <c r="W30" s="274"/>
      <c r="X30" s="274"/>
      <c r="Y30" s="275"/>
      <c r="AB30" s="271"/>
      <c r="AC30" s="271"/>
      <c r="AD30" s="271"/>
      <c r="AE30" s="271"/>
      <c r="AF30" s="271"/>
      <c r="AY30" s="134" t="s">
        <v>789</v>
      </c>
      <c r="AZ30" s="134"/>
      <c r="BA30" s="134"/>
      <c r="BB30" s="134"/>
      <c r="BC30" s="134"/>
      <c r="BD30" s="134"/>
      <c r="BE30" s="134"/>
      <c r="BF30" s="134"/>
      <c r="BG30" s="134"/>
      <c r="BH30" s="134"/>
      <c r="BI30" s="266">
        <f>【入力ｼｰﾄ】支援課提出用!BI30</f>
        <v>0</v>
      </c>
      <c r="BJ30" s="267"/>
      <c r="BK30" s="267"/>
      <c r="BL30" s="267"/>
      <c r="BM30" s="268"/>
      <c r="BN30" s="266">
        <f>【入力ｼｰﾄ】支援課提出用!BN30</f>
        <v>0</v>
      </c>
      <c r="BO30" s="267"/>
      <c r="BP30" s="267"/>
      <c r="BQ30" s="267"/>
      <c r="BR30" s="268"/>
      <c r="BS30" s="266">
        <f>【入力ｼｰﾄ】支援課提出用!BS30</f>
        <v>0</v>
      </c>
      <c r="BT30" s="267"/>
      <c r="BU30" s="267"/>
      <c r="BV30" s="267"/>
      <c r="BW30" s="268"/>
      <c r="BX30" s="269">
        <f>【入力ｼｰﾄ】支援課提出用!BX30</f>
        <v>0</v>
      </c>
      <c r="BY30" s="269"/>
      <c r="BZ30" s="269"/>
      <c r="CA30" s="269"/>
    </row>
    <row r="31" spans="3:93" ht="25" customHeight="1" x14ac:dyDescent="0.2">
      <c r="C31" s="102"/>
      <c r="D31" s="102"/>
      <c r="E31" s="102"/>
      <c r="F31" s="102"/>
      <c r="G31" s="102"/>
      <c r="H31" s="102"/>
      <c r="I31" s="102"/>
      <c r="J31" s="102"/>
      <c r="AQ31" s="101"/>
      <c r="AR31" s="101"/>
      <c r="AS31" s="101"/>
      <c r="AT31" s="101"/>
    </row>
    <row r="32" spans="3:93" ht="25" customHeight="1" x14ac:dyDescent="0.15">
      <c r="AC32" s="103"/>
      <c r="AD32" s="103"/>
      <c r="AE32" s="103"/>
      <c r="AK32" s="103"/>
      <c r="AL32" s="103"/>
      <c r="AM32" s="103"/>
    </row>
    <row r="33" spans="7:39" ht="25" customHeight="1" x14ac:dyDescent="0.15">
      <c r="AC33" s="104"/>
      <c r="AD33" s="104"/>
      <c r="AE33" s="104"/>
      <c r="AK33" s="104"/>
      <c r="AL33" s="104"/>
      <c r="AM33" s="104"/>
    </row>
    <row r="34" spans="7:39" ht="25" customHeight="1" x14ac:dyDescent="0.15">
      <c r="AC34" s="105"/>
      <c r="AD34" s="105"/>
      <c r="AE34" s="105"/>
      <c r="AK34" s="105"/>
      <c r="AL34" s="105"/>
      <c r="AM34" s="105"/>
    </row>
    <row r="35" spans="7:39" ht="15" customHeight="1" x14ac:dyDescent="0.2"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AC35" s="105"/>
      <c r="AD35" s="105"/>
      <c r="AE35" s="105"/>
      <c r="AK35" s="105"/>
      <c r="AL35" s="105"/>
      <c r="AM35" s="105"/>
    </row>
    <row r="36" spans="7:39" ht="15" customHeight="1" x14ac:dyDescent="0.15">
      <c r="H36" s="49"/>
      <c r="N36" s="99"/>
    </row>
    <row r="37" spans="7:39" ht="15" customHeight="1" x14ac:dyDescent="0.15">
      <c r="H37" s="49"/>
      <c r="N37" s="99"/>
    </row>
    <row r="38" spans="7:39" ht="5.25" customHeight="1" x14ac:dyDescent="0.15"/>
  </sheetData>
  <sheetProtection sheet="1" selectLockedCells="1"/>
  <dataConsolidate/>
  <mergeCells count="172">
    <mergeCell ref="BX30:CA30"/>
    <mergeCell ref="BX28:CA28"/>
    <mergeCell ref="N29:R30"/>
    <mergeCell ref="U29:Y30"/>
    <mergeCell ref="AB29:AF30"/>
    <mergeCell ref="AY29:BH29"/>
    <mergeCell ref="BI29:BM29"/>
    <mergeCell ref="BN29:BR29"/>
    <mergeCell ref="BS29:BW29"/>
    <mergeCell ref="BX29:CA29"/>
    <mergeCell ref="AY30:BH30"/>
    <mergeCell ref="AY26:BH26"/>
    <mergeCell ref="BI26:BM26"/>
    <mergeCell ref="BN26:BR26"/>
    <mergeCell ref="BS26:BW26"/>
    <mergeCell ref="BX26:CA26"/>
    <mergeCell ref="BS27:BW27"/>
    <mergeCell ref="BX27:CA27"/>
    <mergeCell ref="C28:J30"/>
    <mergeCell ref="N28:R28"/>
    <mergeCell ref="U28:Y28"/>
    <mergeCell ref="AB28:AF28"/>
    <mergeCell ref="AY28:BH28"/>
    <mergeCell ref="BI28:BM28"/>
    <mergeCell ref="BN28:BR28"/>
    <mergeCell ref="BS28:BW28"/>
    <mergeCell ref="N27:R27"/>
    <mergeCell ref="U27:Y27"/>
    <mergeCell ref="AB27:AF27"/>
    <mergeCell ref="AY27:BH27"/>
    <mergeCell ref="BI27:BM27"/>
    <mergeCell ref="BN27:BR27"/>
    <mergeCell ref="BI30:BM30"/>
    <mergeCell ref="BN30:BR30"/>
    <mergeCell ref="BS30:BW30"/>
    <mergeCell ref="BS23:BW23"/>
    <mergeCell ref="BX23:CA23"/>
    <mergeCell ref="AY24:BH24"/>
    <mergeCell ref="BI24:BM24"/>
    <mergeCell ref="BN24:BR24"/>
    <mergeCell ref="BS24:BW24"/>
    <mergeCell ref="BX24:CA24"/>
    <mergeCell ref="AY25:BH25"/>
    <mergeCell ref="BI25:BM25"/>
    <mergeCell ref="BN25:BR25"/>
    <mergeCell ref="BS25:BW25"/>
    <mergeCell ref="BX25:CA25"/>
    <mergeCell ref="C23:AP23"/>
    <mergeCell ref="AQ23:AR23"/>
    <mergeCell ref="AS23:AT23"/>
    <mergeCell ref="AU23:AV23"/>
    <mergeCell ref="AW23:AX23"/>
    <mergeCell ref="AY23:BH23"/>
    <mergeCell ref="BX21:CA21"/>
    <mergeCell ref="AQ22:AR22"/>
    <mergeCell ref="AS22:AT22"/>
    <mergeCell ref="AU22:AV22"/>
    <mergeCell ref="AW22:AX22"/>
    <mergeCell ref="AY22:BH22"/>
    <mergeCell ref="BI22:BM22"/>
    <mergeCell ref="BN22:BR22"/>
    <mergeCell ref="BS22:BW22"/>
    <mergeCell ref="BX22:CA22"/>
    <mergeCell ref="AQ21:AT21"/>
    <mergeCell ref="AU21:AX21"/>
    <mergeCell ref="AY21:BH21"/>
    <mergeCell ref="BI21:BM21"/>
    <mergeCell ref="BN21:BR21"/>
    <mergeCell ref="BS21:BW21"/>
    <mergeCell ref="BI23:BM23"/>
    <mergeCell ref="BN23:BR23"/>
    <mergeCell ref="C20:AP22"/>
    <mergeCell ref="AQ20:AX20"/>
    <mergeCell ref="AY20:BH20"/>
    <mergeCell ref="BI20:BM20"/>
    <mergeCell ref="BN20:BR20"/>
    <mergeCell ref="BS20:BW20"/>
    <mergeCell ref="BX20:CA20"/>
    <mergeCell ref="AM19:AO19"/>
    <mergeCell ref="AP19:AR19"/>
    <mergeCell ref="AS19:AU19"/>
    <mergeCell ref="AV19:AX19"/>
    <mergeCell ref="AY19:BH19"/>
    <mergeCell ref="BI19:BM19"/>
    <mergeCell ref="BS18:BW18"/>
    <mergeCell ref="BX18:CA18"/>
    <mergeCell ref="C19:H19"/>
    <mergeCell ref="I19:N19"/>
    <mergeCell ref="O19:T19"/>
    <mergeCell ref="U19:Z19"/>
    <mergeCell ref="AA19:AD19"/>
    <mergeCell ref="AE19:AH19"/>
    <mergeCell ref="AI19:AL19"/>
    <mergeCell ref="BN19:BR19"/>
    <mergeCell ref="BS19:BW19"/>
    <mergeCell ref="BX19:CA19"/>
    <mergeCell ref="AM16:AO18"/>
    <mergeCell ref="AP16:AR18"/>
    <mergeCell ref="AS16:AU18"/>
    <mergeCell ref="AV16:AX18"/>
    <mergeCell ref="AY16:BH16"/>
    <mergeCell ref="BI16:BM16"/>
    <mergeCell ref="AY18:BH18"/>
    <mergeCell ref="BI18:BM18"/>
    <mergeCell ref="BN18:BR18"/>
    <mergeCell ref="AW14:AX14"/>
    <mergeCell ref="BI14:BM15"/>
    <mergeCell ref="BN14:BR15"/>
    <mergeCell ref="BS14:BW15"/>
    <mergeCell ref="C15:D15"/>
    <mergeCell ref="E15:AP15"/>
    <mergeCell ref="AY15:BH15"/>
    <mergeCell ref="BX15:CA15"/>
    <mergeCell ref="C16:H18"/>
    <mergeCell ref="I16:N18"/>
    <mergeCell ref="O16:Z16"/>
    <mergeCell ref="AA16:AD18"/>
    <mergeCell ref="AE16:AH18"/>
    <mergeCell ref="AI16:AL18"/>
    <mergeCell ref="BN16:BR16"/>
    <mergeCell ref="BS16:BW16"/>
    <mergeCell ref="BX16:CA16"/>
    <mergeCell ref="O17:T18"/>
    <mergeCell ref="U17:Z18"/>
    <mergeCell ref="AY17:BH17"/>
    <mergeCell ref="BI17:BM17"/>
    <mergeCell ref="BN17:BR17"/>
    <mergeCell ref="BS17:BW17"/>
    <mergeCell ref="BX17:CA17"/>
    <mergeCell ref="CG3:CI3"/>
    <mergeCell ref="CJ3:CL3"/>
    <mergeCell ref="BC5:BD5"/>
    <mergeCell ref="BE5:BZ5"/>
    <mergeCell ref="BC9:BD9"/>
    <mergeCell ref="BE9:BV9"/>
    <mergeCell ref="BX9:BY9"/>
    <mergeCell ref="C12:AP13"/>
    <mergeCell ref="AQ12:AX13"/>
    <mergeCell ref="AY12:BH14"/>
    <mergeCell ref="BI12:BW13"/>
    <mergeCell ref="BX12:CA14"/>
    <mergeCell ref="C8:F9"/>
    <mergeCell ref="G8:H9"/>
    <mergeCell ref="I8:K9"/>
    <mergeCell ref="L8:O9"/>
    <mergeCell ref="P8:Q9"/>
    <mergeCell ref="R8:AZ9"/>
    <mergeCell ref="CI13:CK14"/>
    <mergeCell ref="C14:D14"/>
    <mergeCell ref="E14:F14"/>
    <mergeCell ref="G14:AP14"/>
    <mergeCell ref="AQ14:AT14"/>
    <mergeCell ref="AU14:AV14"/>
    <mergeCell ref="BZ1:CB1"/>
    <mergeCell ref="BU2:BV2"/>
    <mergeCell ref="BX2:BY2"/>
    <mergeCell ref="CA2:CB2"/>
    <mergeCell ref="A6:A12"/>
    <mergeCell ref="C6:F6"/>
    <mergeCell ref="G6:H7"/>
    <mergeCell ref="I6:K6"/>
    <mergeCell ref="L6:O6"/>
    <mergeCell ref="P6:Q6"/>
    <mergeCell ref="A1:H1"/>
    <mergeCell ref="AC1:BC2"/>
    <mergeCell ref="BR1:BX1"/>
    <mergeCell ref="C7:F7"/>
    <mergeCell ref="I7:K7"/>
    <mergeCell ref="L7:O7"/>
    <mergeCell ref="P7:Q7"/>
    <mergeCell ref="BC7:BD7"/>
    <mergeCell ref="BE7:CA7"/>
  </mergeCells>
  <phoneticPr fontId="2"/>
  <conditionalFormatting sqref="E14:F14">
    <cfRule type="cellIs" dxfId="5" priority="2" operator="equal">
      <formula>0</formula>
    </cfRule>
  </conditionalFormatting>
  <conditionalFormatting sqref="AQ23:AR23 AU23:AV23">
    <cfRule type="cellIs" dxfId="4" priority="1" operator="equal">
      <formula>0</formula>
    </cfRule>
  </conditionalFormatting>
  <conditionalFormatting sqref="BI16:CA30">
    <cfRule type="cellIs" dxfId="3" priority="3" operator="equal">
      <formula>0</formula>
    </cfRule>
  </conditionalFormatting>
  <dataValidations count="5">
    <dataValidation allowBlank="1" showInputMessage="1" showErrorMessage="1" prompt="「基準金利ー利子補給率」の数値が入る" sqref="BX15" xr:uid="{10B792B2-2C95-4BB0-96BF-21EF5F1E65B8}"/>
    <dataValidation type="whole" errorStyle="warning" allowBlank="1" showInputMessage="1" showErrorMessage="1" prompt="西暦で入力してください。_x000a_また、年ではなく年度です。誤りにご注意ください。_x000a_例：2021年3月　→　2020年度のため2020と入力。" sqref="L8" xr:uid="{C85001C9-04F1-4637-9A16-9087790062C2}">
      <formula1>2020</formula1>
      <formula2>2050</formula2>
    </dataValidation>
    <dataValidation allowBlank="1" showInputMessage="1" showErrorMessage="1" prompt="コード表シートを参考に入力してください。" sqref="C8:F9 AM19 AP19 AS19" xr:uid="{3B40ABFA-D64B-4786-845C-ED8ACAA13C61}"/>
    <dataValidation type="list" errorStyle="warning" allowBlank="1" showInputMessage="1" showErrorMessage="1" sqref="P8:Q9" xr:uid="{4E61CA69-5ACD-4725-B658-707CD98CD89D}">
      <formula1>"５,７,９,１１,１,３"</formula1>
    </dataValidation>
    <dataValidation type="list" errorStyle="warning" allowBlank="1" showInputMessage="1" showErrorMessage="1" sqref="G8:H9" xr:uid="{4BF2CA81-1F33-45E6-B93C-4F869F1ECEDB}">
      <formula1>"01　さいたま,02　川越,03　東松山,04　秩父,05　本庄,06　大里,07　加須,08　春日部"</formula1>
    </dataValidation>
  </dataValidations>
  <printOptions horizontalCentered="1" verticalCentered="1"/>
  <pageMargins left="0.25" right="0.25" top="0.75" bottom="0.75" header="0.3" footer="0.3"/>
  <pageSetup paperSize="9" scale="7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xr:uid="{8F4EDA26-608F-448B-84E7-968C0BE3994E}">
          <x14:formula1>
            <xm:f>ｺｰﾄﾞ表!$H$2:$H$65</xm:f>
          </x14:formula1>
          <xm:sqref>I8:K9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44EAE-27D5-4344-B6F4-80A58823FD58}">
  <sheetPr>
    <pageSetUpPr fitToPage="1"/>
  </sheetPr>
  <dimension ref="A1:CS38"/>
  <sheetViews>
    <sheetView view="pageBreakPreview" zoomScale="80" zoomScaleNormal="80" zoomScaleSheetLayoutView="80" workbookViewId="0">
      <selection activeCell="CP13" sqref="CP13"/>
    </sheetView>
  </sheetViews>
  <sheetFormatPr defaultColWidth="1.6328125" defaultRowHeight="20.149999999999999" customHeight="1" x14ac:dyDescent="0.15"/>
  <cols>
    <col min="1" max="1" width="2.453125" style="44" customWidth="1"/>
    <col min="2" max="2" width="1.6328125" style="44"/>
    <col min="3" max="91" width="2.26953125" style="44" customWidth="1"/>
    <col min="92" max="92" width="1.6328125" style="44"/>
    <col min="93" max="93" width="10.1796875" style="46" bestFit="1" customWidth="1"/>
    <col min="94" max="16384" width="1.6328125" style="44"/>
  </cols>
  <sheetData>
    <row r="1" spans="1:97" ht="12.75" customHeight="1" x14ac:dyDescent="0.25">
      <c r="A1" s="233"/>
      <c r="B1" s="233"/>
      <c r="C1" s="233"/>
      <c r="D1" s="233"/>
      <c r="E1" s="233"/>
      <c r="F1" s="233"/>
      <c r="G1" s="233"/>
      <c r="H1" s="23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229" t="s">
        <v>11</v>
      </c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43"/>
      <c r="BF1" s="43"/>
      <c r="BG1" s="43"/>
      <c r="BH1" s="42"/>
      <c r="BI1" s="42"/>
      <c r="BJ1" s="42"/>
      <c r="BK1" s="42"/>
      <c r="BL1" s="42"/>
      <c r="BM1" s="42"/>
      <c r="BR1" s="323">
        <f>【入力ｼｰﾄ】支援課提出用!BR1:BX1</f>
        <v>0</v>
      </c>
      <c r="BS1" s="324"/>
      <c r="BT1" s="324"/>
      <c r="BU1" s="324"/>
      <c r="BV1" s="324"/>
      <c r="BW1" s="324"/>
      <c r="BX1" s="324"/>
      <c r="BY1" s="106" t="s">
        <v>15</v>
      </c>
      <c r="BZ1" s="325">
        <f>【入力ｼｰﾄ】支援課提出用!BZ1:CB1</f>
        <v>0</v>
      </c>
      <c r="CA1" s="326"/>
      <c r="CB1" s="326"/>
      <c r="CC1" s="107" t="s">
        <v>16</v>
      </c>
      <c r="CD1" s="45"/>
      <c r="CE1" s="45"/>
    </row>
    <row r="2" spans="1:97" ht="12.75" customHeight="1" x14ac:dyDescent="0.2">
      <c r="A2" s="47"/>
      <c r="B2" s="47"/>
      <c r="C2" s="91" t="s">
        <v>666</v>
      </c>
      <c r="D2" s="47"/>
      <c r="E2" s="47"/>
      <c r="F2" s="47"/>
      <c r="G2" s="47"/>
      <c r="H2" s="47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H2" s="42"/>
      <c r="BI2" s="42"/>
      <c r="BJ2" s="42"/>
      <c r="BK2" s="42"/>
      <c r="BL2" s="42"/>
      <c r="BM2" s="42"/>
      <c r="BR2" s="108"/>
      <c r="BS2" s="109"/>
      <c r="BT2" s="109"/>
      <c r="BU2" s="325">
        <f>【入力ｼｰﾄ】支援課提出用!BU2:BV2</f>
        <v>0</v>
      </c>
      <c r="BV2" s="326"/>
      <c r="BW2" s="109" t="s">
        <v>13</v>
      </c>
      <c r="BX2" s="325">
        <f>【入力ｼｰﾄ】支援課提出用!BX2:BY2</f>
        <v>0</v>
      </c>
      <c r="BY2" s="326"/>
      <c r="BZ2" s="109" t="s">
        <v>17</v>
      </c>
      <c r="CA2" s="325">
        <f>【入力ｼｰﾄ】支援課提出用!CA2:CB2</f>
        <v>0</v>
      </c>
      <c r="CB2" s="326"/>
      <c r="CC2" s="110" t="s">
        <v>18</v>
      </c>
      <c r="CD2" s="48"/>
      <c r="CE2" s="48"/>
    </row>
    <row r="3" spans="1:97" ht="12.75" customHeight="1" x14ac:dyDescent="0.2">
      <c r="Z3" s="49"/>
      <c r="BP3" s="50"/>
      <c r="BQ3" s="50"/>
      <c r="BR3" s="50"/>
      <c r="BS3" s="50"/>
      <c r="BT3" s="50"/>
      <c r="BU3" s="50"/>
      <c r="BV3" s="50"/>
      <c r="BW3" s="50"/>
      <c r="BX3" s="50"/>
      <c r="CG3" s="322"/>
      <c r="CH3" s="322"/>
      <c r="CI3" s="322"/>
      <c r="CJ3" s="322"/>
      <c r="CK3" s="322"/>
      <c r="CL3" s="322"/>
    </row>
    <row r="4" spans="1:97" ht="33.5" customHeight="1" x14ac:dyDescent="0.2">
      <c r="CG4" s="50"/>
      <c r="CH4" s="49"/>
      <c r="CI4" s="48"/>
      <c r="CJ4" s="50"/>
      <c r="CK4" s="49"/>
      <c r="CL4" s="48"/>
    </row>
    <row r="5" spans="1:97" ht="15.75" customHeight="1" x14ac:dyDescent="0.15">
      <c r="AV5" s="54"/>
      <c r="AW5" s="54"/>
      <c r="AX5" s="54" t="s">
        <v>5</v>
      </c>
      <c r="AY5" s="54"/>
      <c r="AZ5" s="55"/>
      <c r="BA5" s="55"/>
      <c r="BC5" s="232" t="s">
        <v>14</v>
      </c>
      <c r="BD5" s="232"/>
      <c r="BE5" s="296">
        <f>【入力ｼｰﾄ】支援課提出用!BE5:BZ5</f>
        <v>0</v>
      </c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111"/>
    </row>
    <row r="6" spans="1:97" ht="15.75" customHeight="1" x14ac:dyDescent="0.2">
      <c r="A6" s="243"/>
      <c r="C6" s="230" t="s">
        <v>5</v>
      </c>
      <c r="D6" s="244"/>
      <c r="E6" s="244"/>
      <c r="F6" s="244"/>
      <c r="G6" s="213" t="s">
        <v>29</v>
      </c>
      <c r="H6" s="214"/>
      <c r="I6" s="246" t="s">
        <v>7</v>
      </c>
      <c r="J6" s="247"/>
      <c r="K6" s="248"/>
      <c r="L6" s="230" t="s">
        <v>9</v>
      </c>
      <c r="M6" s="249"/>
      <c r="N6" s="249"/>
      <c r="O6" s="250"/>
      <c r="P6" s="230" t="s">
        <v>9</v>
      </c>
      <c r="Q6" s="231"/>
      <c r="R6" s="57"/>
      <c r="S6" s="57" t="s">
        <v>660</v>
      </c>
      <c r="T6" s="57"/>
      <c r="U6" s="57"/>
      <c r="V6" s="58"/>
      <c r="W6" s="58"/>
      <c r="AB6" s="60"/>
      <c r="AC6" s="60"/>
      <c r="AD6" s="60"/>
      <c r="AE6" s="60"/>
      <c r="AF6" s="60"/>
      <c r="AG6" s="60"/>
      <c r="BC6" s="58"/>
      <c r="BD6" s="58"/>
      <c r="BE6" s="112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1"/>
      <c r="BZ6" s="111"/>
      <c r="CA6" s="111"/>
    </row>
    <row r="7" spans="1:97" ht="15.75" customHeight="1" x14ac:dyDescent="0.2">
      <c r="A7" s="243"/>
      <c r="C7" s="209" t="s">
        <v>23</v>
      </c>
      <c r="D7" s="245"/>
      <c r="E7" s="245"/>
      <c r="F7" s="245"/>
      <c r="G7" s="215"/>
      <c r="H7" s="216"/>
      <c r="I7" s="234" t="s">
        <v>8</v>
      </c>
      <c r="J7" s="235"/>
      <c r="K7" s="236"/>
      <c r="L7" s="209" t="s">
        <v>10</v>
      </c>
      <c r="M7" s="245"/>
      <c r="N7" s="245"/>
      <c r="O7" s="210"/>
      <c r="P7" s="209" t="s">
        <v>0</v>
      </c>
      <c r="Q7" s="210"/>
      <c r="R7" s="57"/>
      <c r="S7" s="57" t="s">
        <v>682</v>
      </c>
      <c r="T7" s="57"/>
      <c r="U7" s="57"/>
      <c r="V7" s="58"/>
      <c r="W7" s="58"/>
      <c r="X7" s="60"/>
      <c r="Y7" s="60"/>
      <c r="Z7" s="60"/>
      <c r="AA7" s="60"/>
      <c r="AB7" s="60"/>
      <c r="AC7" s="60"/>
      <c r="AD7" s="60"/>
      <c r="AE7" s="60"/>
      <c r="AF7" s="60"/>
      <c r="AG7" s="60"/>
      <c r="BC7" s="232" t="s">
        <v>12</v>
      </c>
      <c r="BD7" s="232"/>
      <c r="BE7" s="296">
        <f>【入力ｼｰﾄ】支援課提出用!BE7:CA7</f>
        <v>0</v>
      </c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296"/>
      <c r="BW7" s="296"/>
      <c r="BX7" s="296"/>
      <c r="BY7" s="296"/>
      <c r="BZ7" s="296"/>
      <c r="CA7" s="296"/>
    </row>
    <row r="8" spans="1:97" ht="15.75" customHeight="1" x14ac:dyDescent="0.15">
      <c r="A8" s="243"/>
      <c r="C8" s="299">
        <f>【入力ｼｰﾄ】支援課提出用!C8</f>
        <v>0</v>
      </c>
      <c r="D8" s="300"/>
      <c r="E8" s="300"/>
      <c r="F8" s="301"/>
      <c r="G8" s="305">
        <f>【入力ｼｰﾄ】支援課提出用!G8</f>
        <v>0</v>
      </c>
      <c r="H8" s="306"/>
      <c r="I8" s="309">
        <f>【入力ｼｰﾄ】支援課提出用!I8</f>
        <v>0</v>
      </c>
      <c r="J8" s="310"/>
      <c r="K8" s="311"/>
      <c r="L8" s="315">
        <f>【入力ｼｰﾄ】支援課提出用!L8</f>
        <v>0</v>
      </c>
      <c r="M8" s="316"/>
      <c r="N8" s="316"/>
      <c r="O8" s="317"/>
      <c r="P8" s="315">
        <f>【入力ｼｰﾄ】支援課提出用!P8</f>
        <v>0</v>
      </c>
      <c r="Q8" s="321"/>
      <c r="R8" s="211" t="s">
        <v>687</v>
      </c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57"/>
      <c r="BC8" s="64"/>
      <c r="BD8" s="64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1"/>
      <c r="BZ8" s="111"/>
      <c r="CA8" s="111"/>
    </row>
    <row r="9" spans="1:97" ht="15.75" customHeight="1" x14ac:dyDescent="0.15">
      <c r="A9" s="243"/>
      <c r="C9" s="302"/>
      <c r="D9" s="303"/>
      <c r="E9" s="303"/>
      <c r="F9" s="304"/>
      <c r="G9" s="307"/>
      <c r="H9" s="308"/>
      <c r="I9" s="312"/>
      <c r="J9" s="313"/>
      <c r="K9" s="314"/>
      <c r="L9" s="318"/>
      <c r="M9" s="319"/>
      <c r="N9" s="319"/>
      <c r="O9" s="320"/>
      <c r="P9" s="318"/>
      <c r="Q9" s="320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57"/>
      <c r="BC9" s="260" t="s">
        <v>20</v>
      </c>
      <c r="BD9" s="260"/>
      <c r="BE9" s="296">
        <f>【入力ｼｰﾄ】支援課提出用!BE9:BV9</f>
        <v>0</v>
      </c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113"/>
      <c r="BX9" s="297"/>
      <c r="BY9" s="298"/>
      <c r="BZ9" s="111"/>
      <c r="CA9" s="111"/>
    </row>
    <row r="10" spans="1:97" ht="39" customHeight="1" x14ac:dyDescent="0.3">
      <c r="A10" s="243"/>
      <c r="C10" s="67"/>
      <c r="D10" s="67"/>
      <c r="E10" s="67"/>
      <c r="F10" s="67"/>
      <c r="G10" s="67"/>
      <c r="H10" s="67"/>
      <c r="I10" s="114"/>
      <c r="J10" s="114"/>
      <c r="K10" s="114"/>
      <c r="L10" s="115"/>
      <c r="M10" s="115"/>
      <c r="N10" s="115"/>
      <c r="O10" s="116"/>
      <c r="P10" s="116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C10" s="71"/>
      <c r="BD10" s="71"/>
      <c r="BE10" s="71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8"/>
      <c r="BX10" s="118"/>
      <c r="BY10" s="119"/>
    </row>
    <row r="11" spans="1:97" ht="6.75" customHeight="1" x14ac:dyDescent="0.3">
      <c r="A11" s="243"/>
      <c r="C11" s="67"/>
      <c r="D11" s="67"/>
      <c r="E11" s="67"/>
      <c r="F11" s="67"/>
      <c r="G11" s="67"/>
      <c r="H11" s="67"/>
      <c r="I11" s="120"/>
      <c r="J11" s="120"/>
      <c r="K11" s="121"/>
      <c r="L11" s="121"/>
      <c r="M11" s="116"/>
      <c r="N11" s="116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C11" s="71"/>
      <c r="BD11" s="71"/>
      <c r="BE11" s="71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8"/>
      <c r="BX11" s="118"/>
      <c r="BY11" s="119"/>
      <c r="CC11" s="50"/>
      <c r="CD11" s="50"/>
      <c r="CE11" s="50"/>
      <c r="CG11" s="50"/>
      <c r="CH11" s="50"/>
      <c r="CI11" s="50"/>
      <c r="CK11" s="50"/>
      <c r="CL11" s="50"/>
      <c r="CM11" s="50"/>
    </row>
    <row r="12" spans="1:97" ht="12.75" customHeight="1" x14ac:dyDescent="0.15">
      <c r="A12" s="243"/>
      <c r="C12" s="161" t="s">
        <v>27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 t="s">
        <v>3</v>
      </c>
      <c r="AR12" s="161"/>
      <c r="AS12" s="161"/>
      <c r="AT12" s="161"/>
      <c r="AU12" s="161"/>
      <c r="AV12" s="161"/>
      <c r="AW12" s="161"/>
      <c r="AX12" s="163"/>
      <c r="AY12" s="125" t="s">
        <v>775</v>
      </c>
      <c r="AZ12" s="126"/>
      <c r="BA12" s="126"/>
      <c r="BB12" s="126"/>
      <c r="BC12" s="126"/>
      <c r="BD12" s="126"/>
      <c r="BE12" s="126"/>
      <c r="BF12" s="126"/>
      <c r="BG12" s="126"/>
      <c r="BH12" s="127"/>
      <c r="BI12" s="172" t="s">
        <v>799</v>
      </c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8"/>
      <c r="BX12" s="254" t="s">
        <v>772</v>
      </c>
      <c r="BY12" s="255"/>
      <c r="BZ12" s="255"/>
      <c r="CA12" s="256"/>
    </row>
    <row r="13" spans="1:97" ht="12.75" customHeight="1" x14ac:dyDescent="0.15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3"/>
      <c r="AY13" s="128"/>
      <c r="AZ13" s="129"/>
      <c r="BA13" s="129"/>
      <c r="BB13" s="129"/>
      <c r="BC13" s="129"/>
      <c r="BD13" s="129"/>
      <c r="BE13" s="129"/>
      <c r="BF13" s="129"/>
      <c r="BG13" s="129"/>
      <c r="BH13" s="130"/>
      <c r="BI13" s="169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1"/>
      <c r="BX13" s="257"/>
      <c r="BY13" s="258"/>
      <c r="BZ13" s="258"/>
      <c r="CA13" s="259"/>
      <c r="CI13" s="290"/>
      <c r="CJ13" s="291"/>
      <c r="CK13" s="291"/>
      <c r="CP13" s="75"/>
    </row>
    <row r="14" spans="1:97" ht="18" customHeight="1" x14ac:dyDescent="0.2">
      <c r="C14" s="165" t="s">
        <v>24</v>
      </c>
      <c r="D14" s="165"/>
      <c r="E14" s="292">
        <f>【入力ｼｰﾄ】支援課提出用!E14</f>
        <v>0</v>
      </c>
      <c r="F14" s="293"/>
      <c r="G14" s="294">
        <f>【入力ｼｰﾄ】支援課提出用!G14</f>
        <v>0</v>
      </c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5"/>
      <c r="AQ14" s="163" t="s">
        <v>28</v>
      </c>
      <c r="AR14" s="162"/>
      <c r="AS14" s="162"/>
      <c r="AT14" s="164"/>
      <c r="AU14" s="162" t="s">
        <v>0</v>
      </c>
      <c r="AV14" s="162"/>
      <c r="AW14" s="163" t="s">
        <v>2</v>
      </c>
      <c r="AX14" s="164"/>
      <c r="AY14" s="131"/>
      <c r="AZ14" s="132"/>
      <c r="BA14" s="132"/>
      <c r="BB14" s="132"/>
      <c r="BC14" s="132"/>
      <c r="BD14" s="132"/>
      <c r="BE14" s="132"/>
      <c r="BF14" s="132"/>
      <c r="BG14" s="132"/>
      <c r="BH14" s="133"/>
      <c r="BI14" s="172" t="s">
        <v>773</v>
      </c>
      <c r="BJ14" s="167"/>
      <c r="BK14" s="167"/>
      <c r="BL14" s="167"/>
      <c r="BM14" s="168"/>
      <c r="BN14" s="172" t="s">
        <v>7</v>
      </c>
      <c r="BO14" s="167"/>
      <c r="BP14" s="167"/>
      <c r="BQ14" s="167"/>
      <c r="BR14" s="168"/>
      <c r="BS14" s="125" t="s">
        <v>790</v>
      </c>
      <c r="BT14" s="167"/>
      <c r="BU14" s="167"/>
      <c r="BV14" s="167"/>
      <c r="BW14" s="168"/>
      <c r="BX14" s="257"/>
      <c r="BY14" s="258"/>
      <c r="BZ14" s="258"/>
      <c r="CA14" s="259"/>
      <c r="CI14" s="291"/>
      <c r="CJ14" s="291"/>
      <c r="CK14" s="291"/>
      <c r="CP14" s="75"/>
    </row>
    <row r="15" spans="1:97" s="79" customFormat="1" ht="27" customHeight="1" x14ac:dyDescent="0.25">
      <c r="C15" s="165" t="s">
        <v>25</v>
      </c>
      <c r="D15" s="165"/>
      <c r="E15" s="287">
        <f>【入力ｼｰﾄ】支援課提出用!E15</f>
        <v>0</v>
      </c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9"/>
      <c r="AQ15" s="122">
        <f>【入力ｼｰﾄ】支援課提出用!AQ15</f>
        <v>0</v>
      </c>
      <c r="AR15" s="123">
        <f>【入力ｼｰﾄ】支援課提出用!AR15</f>
        <v>0</v>
      </c>
      <c r="AS15" s="123">
        <f>【入力ｼｰﾄ】支援課提出用!AS15</f>
        <v>0</v>
      </c>
      <c r="AT15" s="124">
        <f>【入力ｼｰﾄ】支援課提出用!AT15</f>
        <v>0</v>
      </c>
      <c r="AU15" s="122">
        <f>【入力ｼｰﾄ】支援課提出用!AU15</f>
        <v>0</v>
      </c>
      <c r="AV15" s="124">
        <f>【入力ｼｰﾄ】支援課提出用!AV15</f>
        <v>0</v>
      </c>
      <c r="AW15" s="122">
        <f>【入力ｼｰﾄ】支援課提出用!AW15</f>
        <v>0</v>
      </c>
      <c r="AX15" s="124">
        <f>【入力ｼｰﾄ】支援課提出用!AX15</f>
        <v>0</v>
      </c>
      <c r="AY15" s="266">
        <f>【入力ｼｰﾄ】支援課提出用!AY15</f>
        <v>0</v>
      </c>
      <c r="AZ15" s="267"/>
      <c r="BA15" s="267"/>
      <c r="BB15" s="267"/>
      <c r="BC15" s="267"/>
      <c r="BD15" s="267"/>
      <c r="BE15" s="267"/>
      <c r="BF15" s="267"/>
      <c r="BG15" s="267"/>
      <c r="BH15" s="268"/>
      <c r="BI15" s="169"/>
      <c r="BJ15" s="170"/>
      <c r="BK15" s="170"/>
      <c r="BL15" s="170"/>
      <c r="BM15" s="171"/>
      <c r="BN15" s="169"/>
      <c r="BO15" s="170"/>
      <c r="BP15" s="170"/>
      <c r="BQ15" s="170"/>
      <c r="BR15" s="171"/>
      <c r="BS15" s="169"/>
      <c r="BT15" s="170"/>
      <c r="BU15" s="170"/>
      <c r="BV15" s="170"/>
      <c r="BW15" s="171"/>
      <c r="BX15" s="169" t="s">
        <v>4</v>
      </c>
      <c r="BY15" s="170"/>
      <c r="BZ15" s="170"/>
      <c r="CA15" s="171"/>
      <c r="CO15" s="82" t="e">
        <f>VALUE(IF(AI19="　　１ 　　 年賦",1,IF(AI19="　　２  　　半年賦",2,"")))</f>
        <v>#VALUE!</v>
      </c>
      <c r="CP15" s="80"/>
      <c r="CQ15" s="80"/>
      <c r="CR15" s="80"/>
      <c r="CS15" s="80"/>
    </row>
    <row r="16" spans="1:97" ht="25" customHeight="1" x14ac:dyDescent="0.2">
      <c r="C16" s="125" t="s">
        <v>794</v>
      </c>
      <c r="D16" s="126"/>
      <c r="E16" s="126"/>
      <c r="F16" s="126"/>
      <c r="G16" s="126"/>
      <c r="H16" s="127"/>
      <c r="I16" s="125" t="s">
        <v>795</v>
      </c>
      <c r="J16" s="126"/>
      <c r="K16" s="126"/>
      <c r="L16" s="126"/>
      <c r="M16" s="126"/>
      <c r="N16" s="127"/>
      <c r="O16" s="163" t="s">
        <v>19</v>
      </c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4"/>
      <c r="AA16" s="173" t="s">
        <v>793</v>
      </c>
      <c r="AB16" s="174"/>
      <c r="AC16" s="174"/>
      <c r="AD16" s="174"/>
      <c r="AE16" s="173" t="s">
        <v>796</v>
      </c>
      <c r="AF16" s="174"/>
      <c r="AG16" s="174"/>
      <c r="AH16" s="174"/>
      <c r="AI16" s="265" t="s">
        <v>791</v>
      </c>
      <c r="AJ16" s="265"/>
      <c r="AK16" s="265"/>
      <c r="AL16" s="265"/>
      <c r="AM16" s="175" t="s">
        <v>26</v>
      </c>
      <c r="AN16" s="175"/>
      <c r="AO16" s="175"/>
      <c r="AP16" s="175" t="s">
        <v>663</v>
      </c>
      <c r="AQ16" s="175"/>
      <c r="AR16" s="175"/>
      <c r="AS16" s="175" t="s">
        <v>792</v>
      </c>
      <c r="AT16" s="175"/>
      <c r="AU16" s="175"/>
      <c r="AV16" s="177" t="s">
        <v>679</v>
      </c>
      <c r="AW16" s="177"/>
      <c r="AX16" s="177"/>
      <c r="AY16" s="134" t="s">
        <v>774</v>
      </c>
      <c r="AZ16" s="134"/>
      <c r="BA16" s="134"/>
      <c r="BB16" s="134"/>
      <c r="BC16" s="134"/>
      <c r="BD16" s="134"/>
      <c r="BE16" s="134"/>
      <c r="BF16" s="134"/>
      <c r="BG16" s="134"/>
      <c r="BH16" s="134"/>
      <c r="BI16" s="266">
        <f>【入力ｼｰﾄ】支援課提出用!BI16</f>
        <v>0</v>
      </c>
      <c r="BJ16" s="267"/>
      <c r="BK16" s="267"/>
      <c r="BL16" s="267"/>
      <c r="BM16" s="268"/>
      <c r="BN16" s="266">
        <f>【入力ｼｰﾄ】支援課提出用!BN16</f>
        <v>0</v>
      </c>
      <c r="BO16" s="267"/>
      <c r="BP16" s="267"/>
      <c r="BQ16" s="267"/>
      <c r="BR16" s="268"/>
      <c r="BS16" s="266">
        <f>【入力ｼｰﾄ】支援課提出用!BS16</f>
        <v>0</v>
      </c>
      <c r="BT16" s="267"/>
      <c r="BU16" s="267"/>
      <c r="BV16" s="267"/>
      <c r="BW16" s="268"/>
      <c r="BX16" s="269">
        <f>【入力ｼｰﾄ】支援課提出用!BX16</f>
        <v>0</v>
      </c>
      <c r="BY16" s="269"/>
      <c r="BZ16" s="269"/>
      <c r="CA16" s="269"/>
    </row>
    <row r="17" spans="3:93" ht="25" customHeight="1" x14ac:dyDescent="0.2">
      <c r="C17" s="128"/>
      <c r="D17" s="129"/>
      <c r="E17" s="129"/>
      <c r="F17" s="129"/>
      <c r="G17" s="129"/>
      <c r="H17" s="130"/>
      <c r="I17" s="128"/>
      <c r="J17" s="129"/>
      <c r="K17" s="129"/>
      <c r="L17" s="129"/>
      <c r="M17" s="129"/>
      <c r="N17" s="130"/>
      <c r="O17" s="191" t="s">
        <v>680</v>
      </c>
      <c r="P17" s="192"/>
      <c r="Q17" s="192"/>
      <c r="R17" s="192"/>
      <c r="S17" s="192"/>
      <c r="T17" s="193"/>
      <c r="U17" s="191" t="s">
        <v>681</v>
      </c>
      <c r="V17" s="192"/>
      <c r="W17" s="192"/>
      <c r="X17" s="192"/>
      <c r="Y17" s="192"/>
      <c r="Z17" s="193"/>
      <c r="AA17" s="174"/>
      <c r="AB17" s="174"/>
      <c r="AC17" s="174"/>
      <c r="AD17" s="174"/>
      <c r="AE17" s="174"/>
      <c r="AF17" s="174"/>
      <c r="AG17" s="174"/>
      <c r="AH17" s="174"/>
      <c r="AI17" s="265"/>
      <c r="AJ17" s="265"/>
      <c r="AK17" s="265"/>
      <c r="AL17" s="26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7"/>
      <c r="AW17" s="177"/>
      <c r="AX17" s="177"/>
      <c r="AY17" s="134" t="s">
        <v>776</v>
      </c>
      <c r="AZ17" s="134"/>
      <c r="BA17" s="134"/>
      <c r="BB17" s="134"/>
      <c r="BC17" s="134"/>
      <c r="BD17" s="134"/>
      <c r="BE17" s="134"/>
      <c r="BF17" s="134"/>
      <c r="BG17" s="134"/>
      <c r="BH17" s="134"/>
      <c r="BI17" s="266">
        <f>【入力ｼｰﾄ】支援課提出用!BI17</f>
        <v>0</v>
      </c>
      <c r="BJ17" s="267"/>
      <c r="BK17" s="267"/>
      <c r="BL17" s="267"/>
      <c r="BM17" s="268"/>
      <c r="BN17" s="266">
        <f>【入力ｼｰﾄ】支援課提出用!BN17</f>
        <v>0</v>
      </c>
      <c r="BO17" s="267"/>
      <c r="BP17" s="267"/>
      <c r="BQ17" s="267"/>
      <c r="BR17" s="268"/>
      <c r="BS17" s="266">
        <f>【入力ｼｰﾄ】支援課提出用!BS17</f>
        <v>0</v>
      </c>
      <c r="BT17" s="267"/>
      <c r="BU17" s="267"/>
      <c r="BV17" s="267"/>
      <c r="BW17" s="268"/>
      <c r="BX17" s="269">
        <f>【入力ｼｰﾄ】支援課提出用!BX17</f>
        <v>0</v>
      </c>
      <c r="BY17" s="269"/>
      <c r="BZ17" s="269"/>
      <c r="CA17" s="269"/>
    </row>
    <row r="18" spans="3:93" ht="25" customHeight="1" x14ac:dyDescent="0.2">
      <c r="C18" s="131"/>
      <c r="D18" s="132"/>
      <c r="E18" s="132"/>
      <c r="F18" s="132"/>
      <c r="G18" s="132"/>
      <c r="H18" s="133"/>
      <c r="I18" s="131"/>
      <c r="J18" s="132"/>
      <c r="K18" s="132"/>
      <c r="L18" s="132"/>
      <c r="M18" s="132"/>
      <c r="N18" s="133"/>
      <c r="O18" s="194"/>
      <c r="P18" s="195"/>
      <c r="Q18" s="195"/>
      <c r="R18" s="195"/>
      <c r="S18" s="195"/>
      <c r="T18" s="196"/>
      <c r="U18" s="194"/>
      <c r="V18" s="195"/>
      <c r="W18" s="195"/>
      <c r="X18" s="195"/>
      <c r="Y18" s="195"/>
      <c r="Z18" s="196"/>
      <c r="AA18" s="174"/>
      <c r="AB18" s="174"/>
      <c r="AC18" s="174"/>
      <c r="AD18" s="174"/>
      <c r="AE18" s="174"/>
      <c r="AF18" s="174"/>
      <c r="AG18" s="174"/>
      <c r="AH18" s="174"/>
      <c r="AI18" s="265"/>
      <c r="AJ18" s="265"/>
      <c r="AK18" s="265"/>
      <c r="AL18" s="26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7"/>
      <c r="AW18" s="177"/>
      <c r="AX18" s="177"/>
      <c r="AY18" s="134" t="s">
        <v>777</v>
      </c>
      <c r="AZ18" s="134"/>
      <c r="BA18" s="134"/>
      <c r="BB18" s="134"/>
      <c r="BC18" s="134"/>
      <c r="BD18" s="134"/>
      <c r="BE18" s="134"/>
      <c r="BF18" s="134"/>
      <c r="BG18" s="134"/>
      <c r="BH18" s="134"/>
      <c r="BI18" s="266">
        <f>【入力ｼｰﾄ】支援課提出用!BI18</f>
        <v>0</v>
      </c>
      <c r="BJ18" s="267"/>
      <c r="BK18" s="267"/>
      <c r="BL18" s="267"/>
      <c r="BM18" s="268"/>
      <c r="BN18" s="266">
        <f>【入力ｼｰﾄ】支援課提出用!BN18</f>
        <v>0</v>
      </c>
      <c r="BO18" s="267"/>
      <c r="BP18" s="267"/>
      <c r="BQ18" s="267"/>
      <c r="BR18" s="268"/>
      <c r="BS18" s="266">
        <f>【入力ｼｰﾄ】支援課提出用!BS18</f>
        <v>0</v>
      </c>
      <c r="BT18" s="267"/>
      <c r="BU18" s="267"/>
      <c r="BV18" s="267"/>
      <c r="BW18" s="268"/>
      <c r="BX18" s="269">
        <f>【入力ｼｰﾄ】支援課提出用!BX18</f>
        <v>0</v>
      </c>
      <c r="BY18" s="269"/>
      <c r="BZ18" s="269"/>
      <c r="CA18" s="269"/>
    </row>
    <row r="19" spans="3:93" s="79" customFormat="1" ht="25" customHeight="1" x14ac:dyDescent="0.2">
      <c r="C19" s="282">
        <f>【入力ｼｰﾄ】支援課提出用!C19</f>
        <v>0</v>
      </c>
      <c r="D19" s="283"/>
      <c r="E19" s="283"/>
      <c r="F19" s="283"/>
      <c r="G19" s="283"/>
      <c r="H19" s="283"/>
      <c r="I19" s="284">
        <f>【入力ｼｰﾄ】支援課提出用!I19</f>
        <v>0</v>
      </c>
      <c r="J19" s="285"/>
      <c r="K19" s="285"/>
      <c r="L19" s="285"/>
      <c r="M19" s="285"/>
      <c r="N19" s="285"/>
      <c r="O19" s="190" t="str">
        <f>IFERROR(I19-U19*((AA19-AE19)*CO15-1),"")</f>
        <v/>
      </c>
      <c r="P19" s="190"/>
      <c r="Q19" s="190"/>
      <c r="R19" s="190"/>
      <c r="S19" s="190"/>
      <c r="T19" s="190"/>
      <c r="U19" s="190" t="str">
        <f>IFERROR(ROUNDDOWN(I19/((AA19-AE19)*CO15),0),"")</f>
        <v/>
      </c>
      <c r="V19" s="190"/>
      <c r="W19" s="190"/>
      <c r="X19" s="190"/>
      <c r="Y19" s="190"/>
      <c r="Z19" s="190"/>
      <c r="AA19" s="286">
        <f>【入力ｼｰﾄ】支援課提出用!AA19</f>
        <v>0</v>
      </c>
      <c r="AB19" s="286"/>
      <c r="AC19" s="286"/>
      <c r="AD19" s="286"/>
      <c r="AE19" s="286">
        <f>【入力ｼｰﾄ】支援課提出用!AE19</f>
        <v>0</v>
      </c>
      <c r="AF19" s="286"/>
      <c r="AG19" s="286"/>
      <c r="AH19" s="286"/>
      <c r="AI19" s="281">
        <f>【入力ｼｰﾄ】支援課提出用!AI19</f>
        <v>0</v>
      </c>
      <c r="AJ19" s="281"/>
      <c r="AK19" s="281"/>
      <c r="AL19" s="281"/>
      <c r="AM19" s="279">
        <f>【入力ｼｰﾄ】支援課提出用!AM19</f>
        <v>0</v>
      </c>
      <c r="AN19" s="280"/>
      <c r="AO19" s="280"/>
      <c r="AP19" s="279">
        <f>【入力ｼｰﾄ】支援課提出用!AP19</f>
        <v>0</v>
      </c>
      <c r="AQ19" s="280"/>
      <c r="AR19" s="280"/>
      <c r="AS19" s="279">
        <f>【入力ｼｰﾄ】支援課提出用!AS19</f>
        <v>0</v>
      </c>
      <c r="AT19" s="280"/>
      <c r="AU19" s="280"/>
      <c r="AV19" s="281">
        <f>【入力ｼｰﾄ】支援課提出用!AV19</f>
        <v>0</v>
      </c>
      <c r="AW19" s="281"/>
      <c r="AX19" s="281"/>
      <c r="AY19" s="134" t="s">
        <v>778</v>
      </c>
      <c r="AZ19" s="134"/>
      <c r="BA19" s="134"/>
      <c r="BB19" s="134"/>
      <c r="BC19" s="134"/>
      <c r="BD19" s="134"/>
      <c r="BE19" s="134"/>
      <c r="BF19" s="134"/>
      <c r="BG19" s="134"/>
      <c r="BH19" s="134"/>
      <c r="BI19" s="266">
        <f>【入力ｼｰﾄ】支援課提出用!BI19</f>
        <v>0</v>
      </c>
      <c r="BJ19" s="267"/>
      <c r="BK19" s="267"/>
      <c r="BL19" s="267"/>
      <c r="BM19" s="268"/>
      <c r="BN19" s="266">
        <f>【入力ｼｰﾄ】支援課提出用!BN19</f>
        <v>0</v>
      </c>
      <c r="BO19" s="267"/>
      <c r="BP19" s="267"/>
      <c r="BQ19" s="267"/>
      <c r="BR19" s="268"/>
      <c r="BS19" s="266">
        <f>【入力ｼｰﾄ】支援課提出用!BS19</f>
        <v>0</v>
      </c>
      <c r="BT19" s="267"/>
      <c r="BU19" s="267"/>
      <c r="BV19" s="267"/>
      <c r="BW19" s="268"/>
      <c r="BX19" s="269">
        <f>【入力ｼｰﾄ】支援課提出用!BX19</f>
        <v>0</v>
      </c>
      <c r="BY19" s="269"/>
      <c r="BZ19" s="269"/>
      <c r="CA19" s="269"/>
      <c r="CO19" s="82"/>
    </row>
    <row r="20" spans="3:93" ht="25" customHeight="1" x14ac:dyDescent="0.2">
      <c r="C20" s="175" t="s">
        <v>22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94" t="s">
        <v>797</v>
      </c>
      <c r="AR20" s="195"/>
      <c r="AS20" s="195"/>
      <c r="AT20" s="195"/>
      <c r="AU20" s="195"/>
      <c r="AV20" s="195"/>
      <c r="AW20" s="195"/>
      <c r="AX20" s="196"/>
      <c r="AY20" s="134" t="s">
        <v>779</v>
      </c>
      <c r="AZ20" s="134"/>
      <c r="BA20" s="134"/>
      <c r="BB20" s="134"/>
      <c r="BC20" s="134"/>
      <c r="BD20" s="134"/>
      <c r="BE20" s="134"/>
      <c r="BF20" s="134"/>
      <c r="BG20" s="134"/>
      <c r="BH20" s="134"/>
      <c r="BI20" s="266">
        <f>【入力ｼｰﾄ】支援課提出用!BI20</f>
        <v>0</v>
      </c>
      <c r="BJ20" s="267"/>
      <c r="BK20" s="267"/>
      <c r="BL20" s="267"/>
      <c r="BM20" s="268"/>
      <c r="BN20" s="266">
        <f>【入力ｼｰﾄ】支援課提出用!BN20</f>
        <v>0</v>
      </c>
      <c r="BO20" s="267"/>
      <c r="BP20" s="267"/>
      <c r="BQ20" s="267"/>
      <c r="BR20" s="268"/>
      <c r="BS20" s="266">
        <f>【入力ｼｰﾄ】支援課提出用!BS20</f>
        <v>0</v>
      </c>
      <c r="BT20" s="267"/>
      <c r="BU20" s="267"/>
      <c r="BV20" s="267"/>
      <c r="BW20" s="268"/>
      <c r="BX20" s="269">
        <f>【入力ｼｰﾄ】支援課提出用!BX20</f>
        <v>0</v>
      </c>
      <c r="BY20" s="269"/>
      <c r="BZ20" s="269"/>
      <c r="CA20" s="269"/>
    </row>
    <row r="21" spans="3:93" ht="25" customHeight="1" x14ac:dyDescent="0.2"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59" t="s">
        <v>685</v>
      </c>
      <c r="AR21" s="159"/>
      <c r="AS21" s="159"/>
      <c r="AT21" s="159"/>
      <c r="AU21" s="159" t="s">
        <v>686</v>
      </c>
      <c r="AV21" s="159"/>
      <c r="AW21" s="159"/>
      <c r="AX21" s="159"/>
      <c r="AY21" s="134" t="s">
        <v>780</v>
      </c>
      <c r="AZ21" s="134"/>
      <c r="BA21" s="134"/>
      <c r="BB21" s="134"/>
      <c r="BC21" s="134"/>
      <c r="BD21" s="134"/>
      <c r="BE21" s="134"/>
      <c r="BF21" s="134"/>
      <c r="BG21" s="134"/>
      <c r="BH21" s="134"/>
      <c r="BI21" s="266">
        <f>【入力ｼｰﾄ】支援課提出用!BI21</f>
        <v>0</v>
      </c>
      <c r="BJ21" s="267"/>
      <c r="BK21" s="267"/>
      <c r="BL21" s="267"/>
      <c r="BM21" s="268"/>
      <c r="BN21" s="266">
        <f>【入力ｼｰﾄ】支援課提出用!BN21</f>
        <v>0</v>
      </c>
      <c r="BO21" s="267"/>
      <c r="BP21" s="267"/>
      <c r="BQ21" s="267"/>
      <c r="BR21" s="268"/>
      <c r="BS21" s="266">
        <f>【入力ｼｰﾄ】支援課提出用!BS21</f>
        <v>0</v>
      </c>
      <c r="BT21" s="267"/>
      <c r="BU21" s="267"/>
      <c r="BV21" s="267"/>
      <c r="BW21" s="268"/>
      <c r="BX21" s="269">
        <f>【入力ｼｰﾄ】支援課提出用!BX21</f>
        <v>0</v>
      </c>
      <c r="BY21" s="269"/>
      <c r="BZ21" s="269"/>
      <c r="CA21" s="269"/>
    </row>
    <row r="22" spans="3:93" ht="25" customHeight="1" x14ac:dyDescent="0.2"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59" t="s">
        <v>0</v>
      </c>
      <c r="AR22" s="159"/>
      <c r="AS22" s="159" t="s">
        <v>2</v>
      </c>
      <c r="AT22" s="159"/>
      <c r="AU22" s="159" t="s">
        <v>0</v>
      </c>
      <c r="AV22" s="159"/>
      <c r="AW22" s="159" t="s">
        <v>2</v>
      </c>
      <c r="AX22" s="159"/>
      <c r="AY22" s="134" t="s">
        <v>781</v>
      </c>
      <c r="AZ22" s="134"/>
      <c r="BA22" s="134"/>
      <c r="BB22" s="134"/>
      <c r="BC22" s="134"/>
      <c r="BD22" s="134"/>
      <c r="BE22" s="134"/>
      <c r="BF22" s="134"/>
      <c r="BG22" s="134"/>
      <c r="BH22" s="134"/>
      <c r="BI22" s="266">
        <f>【入力ｼｰﾄ】支援課提出用!BI22</f>
        <v>0</v>
      </c>
      <c r="BJ22" s="267"/>
      <c r="BK22" s="267"/>
      <c r="BL22" s="267"/>
      <c r="BM22" s="268"/>
      <c r="BN22" s="266">
        <f>【入力ｼｰﾄ】支援課提出用!BN22</f>
        <v>0</v>
      </c>
      <c r="BO22" s="267"/>
      <c r="BP22" s="267"/>
      <c r="BQ22" s="267"/>
      <c r="BR22" s="268"/>
      <c r="BS22" s="266">
        <f>【入力ｼｰﾄ】支援課提出用!BS22</f>
        <v>0</v>
      </c>
      <c r="BT22" s="267"/>
      <c r="BU22" s="267"/>
      <c r="BV22" s="267"/>
      <c r="BW22" s="268"/>
      <c r="BX22" s="269">
        <f>【入力ｼｰﾄ】支援課提出用!BX22</f>
        <v>0</v>
      </c>
      <c r="BY22" s="269"/>
      <c r="BZ22" s="269"/>
      <c r="CA22" s="269"/>
    </row>
    <row r="23" spans="3:93" ht="25" customHeight="1" x14ac:dyDescent="0.2">
      <c r="C23" s="278">
        <f>【入力ｼｰﾄ】支援課提出用!C23</f>
        <v>0</v>
      </c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61">
        <f>【入力ｼｰﾄ】支援課提出用!AQ23</f>
        <v>0</v>
      </c>
      <c r="AR23" s="261"/>
      <c r="AS23" s="261">
        <v>20</v>
      </c>
      <c r="AT23" s="261"/>
      <c r="AU23" s="261">
        <f>【入力ｼｰﾄ】支援課提出用!AU23</f>
        <v>0</v>
      </c>
      <c r="AV23" s="261"/>
      <c r="AW23" s="261">
        <v>20</v>
      </c>
      <c r="AX23" s="261"/>
      <c r="AY23" s="134" t="s">
        <v>782</v>
      </c>
      <c r="AZ23" s="134"/>
      <c r="BA23" s="134"/>
      <c r="BB23" s="134"/>
      <c r="BC23" s="134"/>
      <c r="BD23" s="134"/>
      <c r="BE23" s="134"/>
      <c r="BF23" s="134"/>
      <c r="BG23" s="134"/>
      <c r="BH23" s="134"/>
      <c r="BI23" s="266">
        <f>【入力ｼｰﾄ】支援課提出用!BI23</f>
        <v>0</v>
      </c>
      <c r="BJ23" s="267"/>
      <c r="BK23" s="267"/>
      <c r="BL23" s="267"/>
      <c r="BM23" s="268"/>
      <c r="BN23" s="266">
        <f>【入力ｼｰﾄ】支援課提出用!BN23</f>
        <v>0</v>
      </c>
      <c r="BO23" s="267"/>
      <c r="BP23" s="267"/>
      <c r="BQ23" s="267"/>
      <c r="BR23" s="268"/>
      <c r="BS23" s="266">
        <f>【入力ｼｰﾄ】支援課提出用!BS23</f>
        <v>0</v>
      </c>
      <c r="BT23" s="267"/>
      <c r="BU23" s="267"/>
      <c r="BV23" s="267"/>
      <c r="BW23" s="268"/>
      <c r="BX23" s="269">
        <f>【入力ｼｰﾄ】支援課提出用!BX23</f>
        <v>0</v>
      </c>
      <c r="BY23" s="269"/>
      <c r="BZ23" s="269"/>
      <c r="CA23" s="269"/>
    </row>
    <row r="24" spans="3:93" ht="25" customHeight="1" x14ac:dyDescent="0.2">
      <c r="AY24" s="134" t="s">
        <v>783</v>
      </c>
      <c r="AZ24" s="134"/>
      <c r="BA24" s="134"/>
      <c r="BB24" s="134"/>
      <c r="BC24" s="134"/>
      <c r="BD24" s="134"/>
      <c r="BE24" s="134"/>
      <c r="BF24" s="134"/>
      <c r="BG24" s="134"/>
      <c r="BH24" s="134"/>
      <c r="BI24" s="266">
        <f>【入力ｼｰﾄ】支援課提出用!BI24</f>
        <v>0</v>
      </c>
      <c r="BJ24" s="267"/>
      <c r="BK24" s="267"/>
      <c r="BL24" s="267"/>
      <c r="BM24" s="268"/>
      <c r="BN24" s="266">
        <f>【入力ｼｰﾄ】支援課提出用!BN24</f>
        <v>0</v>
      </c>
      <c r="BO24" s="267"/>
      <c r="BP24" s="267"/>
      <c r="BQ24" s="267"/>
      <c r="BR24" s="268"/>
      <c r="BS24" s="266">
        <f>【入力ｼｰﾄ】支援課提出用!BS24</f>
        <v>0</v>
      </c>
      <c r="BT24" s="267"/>
      <c r="BU24" s="267"/>
      <c r="BV24" s="267"/>
      <c r="BW24" s="268"/>
      <c r="BX24" s="269">
        <f>【入力ｼｰﾄ】支援課提出用!BX24</f>
        <v>0</v>
      </c>
      <c r="BY24" s="269"/>
      <c r="BZ24" s="269"/>
      <c r="CA24" s="269"/>
    </row>
    <row r="25" spans="3:93" ht="25" customHeight="1" x14ac:dyDescent="0.2">
      <c r="AY25" s="134" t="s">
        <v>784</v>
      </c>
      <c r="AZ25" s="134"/>
      <c r="BA25" s="134"/>
      <c r="BB25" s="134"/>
      <c r="BC25" s="134"/>
      <c r="BD25" s="134"/>
      <c r="BE25" s="134"/>
      <c r="BF25" s="134"/>
      <c r="BG25" s="134"/>
      <c r="BH25" s="134"/>
      <c r="BI25" s="266">
        <f>【入力ｼｰﾄ】支援課提出用!BI25</f>
        <v>0</v>
      </c>
      <c r="BJ25" s="267"/>
      <c r="BK25" s="267"/>
      <c r="BL25" s="267"/>
      <c r="BM25" s="268"/>
      <c r="BN25" s="266">
        <f>【入力ｼｰﾄ】支援課提出用!BN25</f>
        <v>0</v>
      </c>
      <c r="BO25" s="267"/>
      <c r="BP25" s="267"/>
      <c r="BQ25" s="267"/>
      <c r="BR25" s="268"/>
      <c r="BS25" s="266">
        <f>【入力ｼｰﾄ】支援課提出用!BS25</f>
        <v>0</v>
      </c>
      <c r="BT25" s="267"/>
      <c r="BU25" s="267"/>
      <c r="BV25" s="267"/>
      <c r="BW25" s="268"/>
      <c r="BX25" s="269">
        <f>【入力ｼｰﾄ】支援課提出用!BX25</f>
        <v>0</v>
      </c>
      <c r="BY25" s="269"/>
      <c r="BZ25" s="269"/>
      <c r="CA25" s="269"/>
    </row>
    <row r="26" spans="3:93" ht="25" customHeight="1" x14ac:dyDescent="0.2">
      <c r="AY26" s="134" t="s">
        <v>785</v>
      </c>
      <c r="AZ26" s="134"/>
      <c r="BA26" s="134"/>
      <c r="BB26" s="134"/>
      <c r="BC26" s="134"/>
      <c r="BD26" s="134"/>
      <c r="BE26" s="134"/>
      <c r="BF26" s="134"/>
      <c r="BG26" s="134"/>
      <c r="BH26" s="134"/>
      <c r="BI26" s="266">
        <f>【入力ｼｰﾄ】支援課提出用!BI26</f>
        <v>0</v>
      </c>
      <c r="BJ26" s="267"/>
      <c r="BK26" s="267"/>
      <c r="BL26" s="267"/>
      <c r="BM26" s="268"/>
      <c r="BN26" s="266">
        <f>【入力ｼｰﾄ】支援課提出用!BN26</f>
        <v>0</v>
      </c>
      <c r="BO26" s="267"/>
      <c r="BP26" s="267"/>
      <c r="BQ26" s="267"/>
      <c r="BR26" s="268"/>
      <c r="BS26" s="266">
        <f>【入力ｼｰﾄ】支援課提出用!BS26</f>
        <v>0</v>
      </c>
      <c r="BT26" s="267"/>
      <c r="BU26" s="267"/>
      <c r="BV26" s="267"/>
      <c r="BW26" s="268"/>
      <c r="BX26" s="269">
        <f>【入力ｼｰﾄ】支援課提出用!BX26</f>
        <v>0</v>
      </c>
      <c r="BY26" s="269"/>
      <c r="BZ26" s="269"/>
      <c r="CA26" s="269"/>
    </row>
    <row r="27" spans="3:93" ht="25" customHeight="1" thickBot="1" x14ac:dyDescent="0.25">
      <c r="N27" s="144" t="s">
        <v>5</v>
      </c>
      <c r="O27" s="145"/>
      <c r="P27" s="145"/>
      <c r="Q27" s="145"/>
      <c r="R27" s="146"/>
      <c r="U27" s="277"/>
      <c r="V27" s="277"/>
      <c r="W27" s="277"/>
      <c r="X27" s="277"/>
      <c r="Y27" s="277"/>
      <c r="AB27" s="277"/>
      <c r="AC27" s="277"/>
      <c r="AD27" s="277"/>
      <c r="AE27" s="277"/>
      <c r="AF27" s="277"/>
      <c r="AY27" s="134" t="s">
        <v>786</v>
      </c>
      <c r="AZ27" s="134"/>
      <c r="BA27" s="134"/>
      <c r="BB27" s="134"/>
      <c r="BC27" s="134"/>
      <c r="BD27" s="134"/>
      <c r="BE27" s="134"/>
      <c r="BF27" s="134"/>
      <c r="BG27" s="134"/>
      <c r="BH27" s="134"/>
      <c r="BI27" s="266">
        <f>【入力ｼｰﾄ】支援課提出用!BI27</f>
        <v>0</v>
      </c>
      <c r="BJ27" s="267"/>
      <c r="BK27" s="267"/>
      <c r="BL27" s="267"/>
      <c r="BM27" s="268"/>
      <c r="BN27" s="266">
        <f>【入力ｼｰﾄ】支援課提出用!BN27</f>
        <v>0</v>
      </c>
      <c r="BO27" s="267"/>
      <c r="BP27" s="267"/>
      <c r="BQ27" s="267"/>
      <c r="BR27" s="268"/>
      <c r="BS27" s="266">
        <f>【入力ｼｰﾄ】支援課提出用!BS27</f>
        <v>0</v>
      </c>
      <c r="BT27" s="267"/>
      <c r="BU27" s="267"/>
      <c r="BV27" s="267"/>
      <c r="BW27" s="268"/>
      <c r="BX27" s="269">
        <f>【入力ｼｰﾄ】支援課提出用!BX27</f>
        <v>0</v>
      </c>
      <c r="BY27" s="269"/>
      <c r="BZ27" s="269"/>
      <c r="CA27" s="269"/>
    </row>
    <row r="28" spans="3:93" ht="25" customHeight="1" x14ac:dyDescent="0.2">
      <c r="C28" s="135" t="s">
        <v>662</v>
      </c>
      <c r="D28" s="136"/>
      <c r="E28" s="136"/>
      <c r="F28" s="136"/>
      <c r="G28" s="136"/>
      <c r="H28" s="136"/>
      <c r="I28" s="136"/>
      <c r="J28" s="137"/>
      <c r="N28" s="147" t="s">
        <v>684</v>
      </c>
      <c r="O28" s="148"/>
      <c r="P28" s="148"/>
      <c r="Q28" s="148"/>
      <c r="R28" s="149"/>
      <c r="U28" s="276"/>
      <c r="V28" s="276"/>
      <c r="W28" s="276"/>
      <c r="X28" s="276"/>
      <c r="Y28" s="276"/>
      <c r="AB28" s="276"/>
      <c r="AC28" s="276"/>
      <c r="AD28" s="276"/>
      <c r="AE28" s="276"/>
      <c r="AF28" s="276"/>
      <c r="AY28" s="134" t="s">
        <v>787</v>
      </c>
      <c r="AZ28" s="134"/>
      <c r="BA28" s="134"/>
      <c r="BB28" s="134"/>
      <c r="BC28" s="134"/>
      <c r="BD28" s="134"/>
      <c r="BE28" s="134"/>
      <c r="BF28" s="134"/>
      <c r="BG28" s="134"/>
      <c r="BH28" s="134"/>
      <c r="BI28" s="266">
        <f>【入力ｼｰﾄ】支援課提出用!BI28</f>
        <v>0</v>
      </c>
      <c r="BJ28" s="267"/>
      <c r="BK28" s="267"/>
      <c r="BL28" s="267"/>
      <c r="BM28" s="268"/>
      <c r="BN28" s="266">
        <f>【入力ｼｰﾄ】支援課提出用!BN28</f>
        <v>0</v>
      </c>
      <c r="BO28" s="267"/>
      <c r="BP28" s="267"/>
      <c r="BQ28" s="267"/>
      <c r="BR28" s="268"/>
      <c r="BS28" s="266">
        <f>【入力ｼｰﾄ】支援課提出用!BS28</f>
        <v>0</v>
      </c>
      <c r="BT28" s="267"/>
      <c r="BU28" s="267"/>
      <c r="BV28" s="267"/>
      <c r="BW28" s="268"/>
      <c r="BX28" s="269">
        <f>【入力ｼｰﾄ】支援課提出用!BX28</f>
        <v>0</v>
      </c>
      <c r="BY28" s="269"/>
      <c r="BZ28" s="269"/>
      <c r="CA28" s="269"/>
    </row>
    <row r="29" spans="3:93" ht="25" customHeight="1" x14ac:dyDescent="0.2">
      <c r="C29" s="138"/>
      <c r="D29" s="139"/>
      <c r="E29" s="139"/>
      <c r="F29" s="139"/>
      <c r="G29" s="139"/>
      <c r="H29" s="139"/>
      <c r="I29" s="139"/>
      <c r="J29" s="140"/>
      <c r="N29" s="270">
        <f>【入力ｼｰﾄ】支援課提出用!N29</f>
        <v>0</v>
      </c>
      <c r="O29" s="271"/>
      <c r="P29" s="271"/>
      <c r="Q29" s="271"/>
      <c r="R29" s="272"/>
      <c r="U29" s="271"/>
      <c r="V29" s="271"/>
      <c r="W29" s="271"/>
      <c r="X29" s="271"/>
      <c r="Y29" s="271"/>
      <c r="AB29" s="271"/>
      <c r="AC29" s="271"/>
      <c r="AD29" s="271"/>
      <c r="AE29" s="271"/>
      <c r="AF29" s="271"/>
      <c r="AY29" s="134" t="s">
        <v>788</v>
      </c>
      <c r="AZ29" s="134"/>
      <c r="BA29" s="134"/>
      <c r="BB29" s="134"/>
      <c r="BC29" s="134"/>
      <c r="BD29" s="134"/>
      <c r="BE29" s="134"/>
      <c r="BF29" s="134"/>
      <c r="BG29" s="134"/>
      <c r="BH29" s="134"/>
      <c r="BI29" s="266">
        <f>【入力ｼｰﾄ】支援課提出用!BI29</f>
        <v>0</v>
      </c>
      <c r="BJ29" s="267"/>
      <c r="BK29" s="267"/>
      <c r="BL29" s="267"/>
      <c r="BM29" s="268"/>
      <c r="BN29" s="266">
        <f>【入力ｼｰﾄ】支援課提出用!BN29</f>
        <v>0</v>
      </c>
      <c r="BO29" s="267"/>
      <c r="BP29" s="267"/>
      <c r="BQ29" s="267"/>
      <c r="BR29" s="268"/>
      <c r="BS29" s="266">
        <f>【入力ｼｰﾄ】支援課提出用!BS29</f>
        <v>0</v>
      </c>
      <c r="BT29" s="267"/>
      <c r="BU29" s="267"/>
      <c r="BV29" s="267"/>
      <c r="BW29" s="268"/>
      <c r="BX29" s="269">
        <f>【入力ｼｰﾄ】支援課提出用!BX29</f>
        <v>0</v>
      </c>
      <c r="BY29" s="269"/>
      <c r="BZ29" s="269"/>
      <c r="CA29" s="269"/>
    </row>
    <row r="30" spans="3:93" ht="25" customHeight="1" thickBot="1" x14ac:dyDescent="0.25">
      <c r="C30" s="141"/>
      <c r="D30" s="142"/>
      <c r="E30" s="142"/>
      <c r="F30" s="142"/>
      <c r="G30" s="142"/>
      <c r="H30" s="142"/>
      <c r="I30" s="142"/>
      <c r="J30" s="143"/>
      <c r="N30" s="273"/>
      <c r="O30" s="274"/>
      <c r="P30" s="274"/>
      <c r="Q30" s="274"/>
      <c r="R30" s="275"/>
      <c r="U30" s="271"/>
      <c r="V30" s="271"/>
      <c r="W30" s="271"/>
      <c r="X30" s="271"/>
      <c r="Y30" s="271"/>
      <c r="AB30" s="271"/>
      <c r="AC30" s="271"/>
      <c r="AD30" s="271"/>
      <c r="AE30" s="271"/>
      <c r="AF30" s="271"/>
      <c r="AY30" s="134" t="s">
        <v>789</v>
      </c>
      <c r="AZ30" s="134"/>
      <c r="BA30" s="134"/>
      <c r="BB30" s="134"/>
      <c r="BC30" s="134"/>
      <c r="BD30" s="134"/>
      <c r="BE30" s="134"/>
      <c r="BF30" s="134"/>
      <c r="BG30" s="134"/>
      <c r="BH30" s="134"/>
      <c r="BI30" s="266">
        <f>【入力ｼｰﾄ】支援課提出用!BI30</f>
        <v>0</v>
      </c>
      <c r="BJ30" s="267"/>
      <c r="BK30" s="267"/>
      <c r="BL30" s="267"/>
      <c r="BM30" s="268"/>
      <c r="BN30" s="266">
        <f>【入力ｼｰﾄ】支援課提出用!BN30</f>
        <v>0</v>
      </c>
      <c r="BO30" s="267"/>
      <c r="BP30" s="267"/>
      <c r="BQ30" s="267"/>
      <c r="BR30" s="268"/>
      <c r="BS30" s="266">
        <f>【入力ｼｰﾄ】支援課提出用!BS30</f>
        <v>0</v>
      </c>
      <c r="BT30" s="267"/>
      <c r="BU30" s="267"/>
      <c r="BV30" s="267"/>
      <c r="BW30" s="268"/>
      <c r="BX30" s="269">
        <f>【入力ｼｰﾄ】支援課提出用!BX30</f>
        <v>0</v>
      </c>
      <c r="BY30" s="269"/>
      <c r="BZ30" s="269"/>
      <c r="CA30" s="269"/>
    </row>
    <row r="31" spans="3:93" ht="25" customHeight="1" x14ac:dyDescent="0.2">
      <c r="C31" s="102"/>
      <c r="D31" s="102"/>
      <c r="E31" s="102"/>
      <c r="F31" s="102"/>
      <c r="G31" s="102"/>
      <c r="H31" s="102"/>
      <c r="I31" s="102"/>
      <c r="J31" s="102"/>
      <c r="AQ31" s="101"/>
      <c r="AR31" s="101"/>
      <c r="AS31" s="101"/>
      <c r="AT31" s="101"/>
    </row>
    <row r="32" spans="3:93" ht="25" customHeight="1" x14ac:dyDescent="0.15">
      <c r="AC32" s="103"/>
      <c r="AD32" s="103"/>
      <c r="AE32" s="103"/>
      <c r="AK32" s="103"/>
      <c r="AL32" s="103"/>
      <c r="AM32" s="103"/>
    </row>
    <row r="33" spans="7:39" ht="25" customHeight="1" x14ac:dyDescent="0.15">
      <c r="AC33" s="104"/>
      <c r="AD33" s="104"/>
      <c r="AE33" s="104"/>
      <c r="AK33" s="104"/>
      <c r="AL33" s="104"/>
      <c r="AM33" s="104"/>
    </row>
    <row r="34" spans="7:39" ht="25" customHeight="1" x14ac:dyDescent="0.15">
      <c r="AC34" s="105"/>
      <c r="AD34" s="105"/>
      <c r="AE34" s="105"/>
      <c r="AK34" s="105"/>
      <c r="AL34" s="105"/>
      <c r="AM34" s="105"/>
    </row>
    <row r="35" spans="7:39" ht="15" customHeight="1" x14ac:dyDescent="0.2"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AC35" s="105"/>
      <c r="AD35" s="105"/>
      <c r="AE35" s="105"/>
      <c r="AK35" s="105"/>
      <c r="AL35" s="105"/>
      <c r="AM35" s="105"/>
    </row>
    <row r="36" spans="7:39" ht="15" customHeight="1" x14ac:dyDescent="0.15">
      <c r="H36" s="49"/>
      <c r="N36" s="99"/>
    </row>
    <row r="37" spans="7:39" ht="15" customHeight="1" x14ac:dyDescent="0.15">
      <c r="H37" s="49"/>
      <c r="N37" s="99"/>
    </row>
    <row r="38" spans="7:39" ht="5.25" customHeight="1" x14ac:dyDescent="0.15"/>
  </sheetData>
  <sheetProtection sheet="1" selectLockedCells="1"/>
  <dataConsolidate/>
  <mergeCells count="172">
    <mergeCell ref="BZ1:CB1"/>
    <mergeCell ref="BU2:BV2"/>
    <mergeCell ref="BX2:BY2"/>
    <mergeCell ref="CA2:CB2"/>
    <mergeCell ref="A6:A12"/>
    <mergeCell ref="C6:F6"/>
    <mergeCell ref="G6:H7"/>
    <mergeCell ref="I6:K6"/>
    <mergeCell ref="L6:O6"/>
    <mergeCell ref="P6:Q6"/>
    <mergeCell ref="A1:H1"/>
    <mergeCell ref="AC1:BC2"/>
    <mergeCell ref="BR1:BX1"/>
    <mergeCell ref="C7:F7"/>
    <mergeCell ref="I7:K7"/>
    <mergeCell ref="L7:O7"/>
    <mergeCell ref="P7:Q7"/>
    <mergeCell ref="BC7:BD7"/>
    <mergeCell ref="BE7:CA7"/>
    <mergeCell ref="CG3:CI3"/>
    <mergeCell ref="CJ3:CL3"/>
    <mergeCell ref="BC5:BD5"/>
    <mergeCell ref="BE5:BZ5"/>
    <mergeCell ref="BC9:BD9"/>
    <mergeCell ref="BE9:BV9"/>
    <mergeCell ref="BX9:BY9"/>
    <mergeCell ref="C12:AP13"/>
    <mergeCell ref="AQ12:AX13"/>
    <mergeCell ref="AY12:BH14"/>
    <mergeCell ref="BI12:BW13"/>
    <mergeCell ref="BX12:CA14"/>
    <mergeCell ref="C8:F9"/>
    <mergeCell ref="G8:H9"/>
    <mergeCell ref="I8:K9"/>
    <mergeCell ref="L8:O9"/>
    <mergeCell ref="P8:Q9"/>
    <mergeCell ref="R8:AZ9"/>
    <mergeCell ref="CI13:CK14"/>
    <mergeCell ref="C14:D14"/>
    <mergeCell ref="E14:F14"/>
    <mergeCell ref="G14:AP14"/>
    <mergeCell ref="AQ14:AT14"/>
    <mergeCell ref="AU14:AV14"/>
    <mergeCell ref="AW14:AX14"/>
    <mergeCell ref="BI14:BM15"/>
    <mergeCell ref="BN14:BR15"/>
    <mergeCell ref="BS14:BW15"/>
    <mergeCell ref="C15:D15"/>
    <mergeCell ref="E15:AP15"/>
    <mergeCell ref="AY15:BH15"/>
    <mergeCell ref="BX15:CA15"/>
    <mergeCell ref="C16:H18"/>
    <mergeCell ref="I16:N18"/>
    <mergeCell ref="O16:Z16"/>
    <mergeCell ref="AA16:AD18"/>
    <mergeCell ref="AE16:AH18"/>
    <mergeCell ref="AI16:AL18"/>
    <mergeCell ref="BN16:BR16"/>
    <mergeCell ref="BS16:BW16"/>
    <mergeCell ref="BX16:CA16"/>
    <mergeCell ref="O17:T18"/>
    <mergeCell ref="U17:Z18"/>
    <mergeCell ref="AY17:BH17"/>
    <mergeCell ref="BI17:BM17"/>
    <mergeCell ref="BN17:BR17"/>
    <mergeCell ref="BS17:BW17"/>
    <mergeCell ref="BX17:CA17"/>
    <mergeCell ref="AM16:AO18"/>
    <mergeCell ref="AP16:AR18"/>
    <mergeCell ref="AS16:AU18"/>
    <mergeCell ref="AV16:AX18"/>
    <mergeCell ref="AY16:BH16"/>
    <mergeCell ref="BI16:BM16"/>
    <mergeCell ref="AY18:BH18"/>
    <mergeCell ref="BI18:BM18"/>
    <mergeCell ref="BN18:BR18"/>
    <mergeCell ref="BS18:BW18"/>
    <mergeCell ref="BX18:CA18"/>
    <mergeCell ref="C19:H19"/>
    <mergeCell ref="I19:N19"/>
    <mergeCell ref="O19:T19"/>
    <mergeCell ref="U19:Z19"/>
    <mergeCell ref="AA19:AD19"/>
    <mergeCell ref="AE19:AH19"/>
    <mergeCell ref="AI19:AL19"/>
    <mergeCell ref="BN19:BR19"/>
    <mergeCell ref="BS19:BW19"/>
    <mergeCell ref="BX19:CA19"/>
    <mergeCell ref="C20:AP22"/>
    <mergeCell ref="AQ20:AX20"/>
    <mergeCell ref="AY20:BH20"/>
    <mergeCell ref="BI20:BM20"/>
    <mergeCell ref="BN20:BR20"/>
    <mergeCell ref="BS20:BW20"/>
    <mergeCell ref="BX20:CA20"/>
    <mergeCell ref="AM19:AO19"/>
    <mergeCell ref="AP19:AR19"/>
    <mergeCell ref="AS19:AU19"/>
    <mergeCell ref="AV19:AX19"/>
    <mergeCell ref="AY19:BH19"/>
    <mergeCell ref="BI19:BM19"/>
    <mergeCell ref="C23:AP23"/>
    <mergeCell ref="AQ23:AR23"/>
    <mergeCell ref="AS23:AT23"/>
    <mergeCell ref="AU23:AV23"/>
    <mergeCell ref="AW23:AX23"/>
    <mergeCell ref="AY23:BH23"/>
    <mergeCell ref="BX21:CA21"/>
    <mergeCell ref="AQ22:AR22"/>
    <mergeCell ref="AS22:AT22"/>
    <mergeCell ref="AU22:AV22"/>
    <mergeCell ref="AW22:AX22"/>
    <mergeCell ref="AY22:BH22"/>
    <mergeCell ref="BI22:BM22"/>
    <mergeCell ref="BN22:BR22"/>
    <mergeCell ref="BS22:BW22"/>
    <mergeCell ref="BX22:CA22"/>
    <mergeCell ref="AQ21:AT21"/>
    <mergeCell ref="AU21:AX21"/>
    <mergeCell ref="AY21:BH21"/>
    <mergeCell ref="BI21:BM21"/>
    <mergeCell ref="BN21:BR21"/>
    <mergeCell ref="BS21:BW21"/>
    <mergeCell ref="BI23:BM23"/>
    <mergeCell ref="BN23:BR23"/>
    <mergeCell ref="BS23:BW23"/>
    <mergeCell ref="BX23:CA23"/>
    <mergeCell ref="AY24:BH24"/>
    <mergeCell ref="BI24:BM24"/>
    <mergeCell ref="BN24:BR24"/>
    <mergeCell ref="BS24:BW24"/>
    <mergeCell ref="BX24:CA24"/>
    <mergeCell ref="AY25:BH25"/>
    <mergeCell ref="BI25:BM25"/>
    <mergeCell ref="BN25:BR25"/>
    <mergeCell ref="BS25:BW25"/>
    <mergeCell ref="BX25:CA25"/>
    <mergeCell ref="AY26:BH26"/>
    <mergeCell ref="BI26:BM26"/>
    <mergeCell ref="BN26:BR26"/>
    <mergeCell ref="BS26:BW26"/>
    <mergeCell ref="BX26:CA26"/>
    <mergeCell ref="BS27:BW27"/>
    <mergeCell ref="BX27:CA27"/>
    <mergeCell ref="C28:J30"/>
    <mergeCell ref="N28:R28"/>
    <mergeCell ref="U28:Y28"/>
    <mergeCell ref="AB28:AF28"/>
    <mergeCell ref="AY28:BH28"/>
    <mergeCell ref="BI28:BM28"/>
    <mergeCell ref="BN28:BR28"/>
    <mergeCell ref="BS28:BW28"/>
    <mergeCell ref="N27:R27"/>
    <mergeCell ref="U27:Y27"/>
    <mergeCell ref="AB27:AF27"/>
    <mergeCell ref="AY27:BH27"/>
    <mergeCell ref="BI27:BM27"/>
    <mergeCell ref="BN27:BR27"/>
    <mergeCell ref="BI30:BM30"/>
    <mergeCell ref="BN30:BR30"/>
    <mergeCell ref="BS30:BW30"/>
    <mergeCell ref="BX30:CA30"/>
    <mergeCell ref="BX28:CA28"/>
    <mergeCell ref="N29:R30"/>
    <mergeCell ref="U29:Y30"/>
    <mergeCell ref="AB29:AF30"/>
    <mergeCell ref="AY29:BH29"/>
    <mergeCell ref="BI29:BM29"/>
    <mergeCell ref="BN29:BR29"/>
    <mergeCell ref="BS29:BW29"/>
    <mergeCell ref="BX29:CA29"/>
    <mergeCell ref="AY30:BH30"/>
  </mergeCells>
  <phoneticPr fontId="2"/>
  <conditionalFormatting sqref="E14:F14">
    <cfRule type="cellIs" dxfId="8" priority="2" operator="equal">
      <formula>0</formula>
    </cfRule>
  </conditionalFormatting>
  <conditionalFormatting sqref="AQ23:AR23 AU23:AV23">
    <cfRule type="cellIs" dxfId="7" priority="1" operator="equal">
      <formula>0</formula>
    </cfRule>
  </conditionalFormatting>
  <conditionalFormatting sqref="BI16:CA30">
    <cfRule type="cellIs" dxfId="6" priority="3" operator="equal">
      <formula>0</formula>
    </cfRule>
  </conditionalFormatting>
  <dataValidations count="5">
    <dataValidation type="list" errorStyle="warning" allowBlank="1" showInputMessage="1" showErrorMessage="1" sqref="G8:H9" xr:uid="{0B6D1611-27CD-440B-AB9F-70F1EC55E008}">
      <formula1>"01　さいたま,02　川越,03　東松山,04　秩父,05　本庄,06　大里,07　加須,08　春日部"</formula1>
    </dataValidation>
    <dataValidation type="list" errorStyle="warning" allowBlank="1" showInputMessage="1" showErrorMessage="1" sqref="P8:Q9" xr:uid="{D5CF89EB-0314-4B55-B040-A02A37E94F20}">
      <formula1>"５,７,９,１１,１,３"</formula1>
    </dataValidation>
    <dataValidation allowBlank="1" showInputMessage="1" showErrorMessage="1" prompt="コード表シートを参考に入力してください。" sqref="C8:F9 AM19 AP19 AS19" xr:uid="{6AD7D108-A03D-48E1-8A7A-B4BF44706C4E}"/>
    <dataValidation type="whole" errorStyle="warning" allowBlank="1" showInputMessage="1" showErrorMessage="1" prompt="西暦で入力してください。_x000a_また、年ではなく年度です。誤りにご注意ください。_x000a_例：2021年3月　→　2020年度のため2020と入力。" sqref="L8" xr:uid="{F05DE89D-B1DE-43EC-83F5-A33742029B13}">
      <formula1>2020</formula1>
      <formula2>2050</formula2>
    </dataValidation>
    <dataValidation allowBlank="1" showInputMessage="1" showErrorMessage="1" prompt="「基準金利ー利子補給率」の数値が入る" sqref="BX15" xr:uid="{92E0F1AA-5BE2-4C0B-B54E-6CD34586D0D7}"/>
  </dataValidations>
  <printOptions horizontalCentered="1" verticalCentered="1"/>
  <pageMargins left="0.25" right="0.25" top="0.75" bottom="0.75" header="0.3" footer="0.3"/>
  <pageSetup paperSize="9" scale="7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xr:uid="{422BECF0-742D-4071-87C7-1AB8407EDCEE}">
          <x14:formula1>
            <xm:f>ｺｰﾄﾞ表!$H$2:$H$65</xm:f>
          </x14:formula1>
          <xm:sqref>I8:K9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3261-ABBF-4D7E-8B9D-9939244210EF}">
  <sheetPr>
    <pageSetUpPr fitToPage="1"/>
  </sheetPr>
  <dimension ref="A1:CS38"/>
  <sheetViews>
    <sheetView view="pageBreakPreview" zoomScale="80" zoomScaleNormal="80" zoomScaleSheetLayoutView="80" workbookViewId="0">
      <selection activeCell="AC34" sqref="AC34"/>
    </sheetView>
  </sheetViews>
  <sheetFormatPr defaultColWidth="1.6328125" defaultRowHeight="20.149999999999999" customHeight="1" x14ac:dyDescent="0.15"/>
  <cols>
    <col min="1" max="1" width="2.453125" style="44" customWidth="1"/>
    <col min="2" max="2" width="1.6328125" style="44"/>
    <col min="3" max="91" width="2.26953125" style="44" customWidth="1"/>
    <col min="92" max="92" width="1.6328125" style="44"/>
    <col min="93" max="93" width="10.1796875" style="46" bestFit="1" customWidth="1"/>
    <col min="94" max="16384" width="1.6328125" style="44"/>
  </cols>
  <sheetData>
    <row r="1" spans="1:97" ht="12.75" customHeight="1" x14ac:dyDescent="0.25">
      <c r="A1" s="233"/>
      <c r="B1" s="233"/>
      <c r="C1" s="233"/>
      <c r="D1" s="233"/>
      <c r="E1" s="233"/>
      <c r="F1" s="233"/>
      <c r="G1" s="233"/>
      <c r="H1" s="23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229" t="s">
        <v>11</v>
      </c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43"/>
      <c r="BF1" s="43"/>
      <c r="BG1" s="43"/>
      <c r="BH1" s="42"/>
      <c r="BI1" s="42"/>
      <c r="BJ1" s="42"/>
      <c r="BK1" s="42"/>
      <c r="BL1" s="42"/>
      <c r="BM1" s="42"/>
      <c r="BR1" s="323">
        <f>【入力ｼｰﾄ】支援課提出用!BR1:BX1</f>
        <v>0</v>
      </c>
      <c r="BS1" s="324"/>
      <c r="BT1" s="324"/>
      <c r="BU1" s="324"/>
      <c r="BV1" s="324"/>
      <c r="BW1" s="324"/>
      <c r="BX1" s="324"/>
      <c r="BY1" s="106" t="s">
        <v>15</v>
      </c>
      <c r="BZ1" s="325">
        <f>【入力ｼｰﾄ】支援課提出用!BZ1:CB1</f>
        <v>0</v>
      </c>
      <c r="CA1" s="326"/>
      <c r="CB1" s="326"/>
      <c r="CC1" s="107" t="s">
        <v>16</v>
      </c>
      <c r="CD1" s="45"/>
      <c r="CE1" s="45"/>
    </row>
    <row r="2" spans="1:97" ht="12.75" customHeight="1" x14ac:dyDescent="0.2">
      <c r="A2" s="47"/>
      <c r="B2" s="47"/>
      <c r="C2" s="91" t="s">
        <v>666</v>
      </c>
      <c r="D2" s="47"/>
      <c r="E2" s="47"/>
      <c r="F2" s="47"/>
      <c r="G2" s="47"/>
      <c r="H2" s="47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H2" s="42"/>
      <c r="BI2" s="42"/>
      <c r="BJ2" s="42"/>
      <c r="BK2" s="42"/>
      <c r="BL2" s="42"/>
      <c r="BM2" s="42"/>
      <c r="BR2" s="108"/>
      <c r="BS2" s="109"/>
      <c r="BT2" s="109"/>
      <c r="BU2" s="325">
        <f>【入力ｼｰﾄ】支援課提出用!BU2:BV2</f>
        <v>0</v>
      </c>
      <c r="BV2" s="326"/>
      <c r="BW2" s="109" t="s">
        <v>13</v>
      </c>
      <c r="BX2" s="325">
        <f>【入力ｼｰﾄ】支援課提出用!BX2:BY2</f>
        <v>0</v>
      </c>
      <c r="BY2" s="326"/>
      <c r="BZ2" s="109" t="s">
        <v>17</v>
      </c>
      <c r="CA2" s="325">
        <f>【入力ｼｰﾄ】支援課提出用!CA2:CB2</f>
        <v>0</v>
      </c>
      <c r="CB2" s="326"/>
      <c r="CC2" s="110" t="s">
        <v>18</v>
      </c>
      <c r="CD2" s="48"/>
      <c r="CE2" s="48"/>
    </row>
    <row r="3" spans="1:97" ht="12.75" customHeight="1" x14ac:dyDescent="0.2">
      <c r="Z3" s="49"/>
      <c r="BP3" s="50"/>
      <c r="BQ3" s="50"/>
      <c r="BR3" s="50"/>
      <c r="BS3" s="50"/>
      <c r="BT3" s="50"/>
      <c r="BU3" s="50"/>
      <c r="BV3" s="50"/>
      <c r="BW3" s="50"/>
      <c r="BX3" s="50"/>
      <c r="CG3" s="322"/>
      <c r="CH3" s="322"/>
      <c r="CI3" s="322"/>
      <c r="CJ3" s="322"/>
      <c r="CK3" s="322"/>
      <c r="CL3" s="322"/>
    </row>
    <row r="4" spans="1:97" ht="33.5" customHeight="1" x14ac:dyDescent="0.2">
      <c r="CG4" s="50"/>
      <c r="CH4" s="49"/>
      <c r="CI4" s="48"/>
      <c r="CJ4" s="50"/>
      <c r="CK4" s="49"/>
      <c r="CL4" s="48"/>
    </row>
    <row r="5" spans="1:97" ht="15.75" customHeight="1" x14ac:dyDescent="0.15">
      <c r="AV5" s="54"/>
      <c r="AW5" s="54"/>
      <c r="AX5" s="54" t="s">
        <v>5</v>
      </c>
      <c r="AY5" s="54"/>
      <c r="AZ5" s="55"/>
      <c r="BA5" s="55"/>
      <c r="BC5" s="232" t="s">
        <v>14</v>
      </c>
      <c r="BD5" s="232"/>
      <c r="BE5" s="296">
        <f>【入力ｼｰﾄ】支援課提出用!BE5:BZ5</f>
        <v>0</v>
      </c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111"/>
    </row>
    <row r="6" spans="1:97" ht="15.75" customHeight="1" x14ac:dyDescent="0.2">
      <c r="A6" s="243"/>
      <c r="C6" s="230" t="s">
        <v>5</v>
      </c>
      <c r="D6" s="244"/>
      <c r="E6" s="244"/>
      <c r="F6" s="244"/>
      <c r="G6" s="213" t="s">
        <v>29</v>
      </c>
      <c r="H6" s="214"/>
      <c r="I6" s="246" t="s">
        <v>7</v>
      </c>
      <c r="J6" s="247"/>
      <c r="K6" s="248"/>
      <c r="L6" s="230" t="s">
        <v>9</v>
      </c>
      <c r="M6" s="249"/>
      <c r="N6" s="249"/>
      <c r="O6" s="250"/>
      <c r="P6" s="230" t="s">
        <v>9</v>
      </c>
      <c r="Q6" s="231"/>
      <c r="R6" s="57"/>
      <c r="S6" s="57" t="s">
        <v>660</v>
      </c>
      <c r="T6" s="57"/>
      <c r="U6" s="57"/>
      <c r="V6" s="58"/>
      <c r="W6" s="58"/>
      <c r="AB6" s="60"/>
      <c r="AC6" s="60"/>
      <c r="AD6" s="60"/>
      <c r="AE6" s="60"/>
      <c r="AF6" s="60"/>
      <c r="AG6" s="60"/>
      <c r="BC6" s="58"/>
      <c r="BD6" s="58"/>
      <c r="BE6" s="112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1"/>
      <c r="BZ6" s="111"/>
      <c r="CA6" s="111"/>
    </row>
    <row r="7" spans="1:97" ht="15.75" customHeight="1" x14ac:dyDescent="0.2">
      <c r="A7" s="243"/>
      <c r="C7" s="209" t="s">
        <v>23</v>
      </c>
      <c r="D7" s="245"/>
      <c r="E7" s="245"/>
      <c r="F7" s="245"/>
      <c r="G7" s="215"/>
      <c r="H7" s="216"/>
      <c r="I7" s="234" t="s">
        <v>8</v>
      </c>
      <c r="J7" s="235"/>
      <c r="K7" s="236"/>
      <c r="L7" s="209" t="s">
        <v>10</v>
      </c>
      <c r="M7" s="245"/>
      <c r="N7" s="245"/>
      <c r="O7" s="210"/>
      <c r="P7" s="209" t="s">
        <v>0</v>
      </c>
      <c r="Q7" s="210"/>
      <c r="R7" s="57"/>
      <c r="S7" s="57" t="s">
        <v>682</v>
      </c>
      <c r="T7" s="57"/>
      <c r="U7" s="57"/>
      <c r="V7" s="58"/>
      <c r="W7" s="58"/>
      <c r="X7" s="60"/>
      <c r="Y7" s="60"/>
      <c r="Z7" s="60"/>
      <c r="AA7" s="60"/>
      <c r="AB7" s="60"/>
      <c r="AC7" s="60"/>
      <c r="AD7" s="60"/>
      <c r="AE7" s="60"/>
      <c r="AF7" s="60"/>
      <c r="AG7" s="60"/>
      <c r="BC7" s="232" t="s">
        <v>12</v>
      </c>
      <c r="BD7" s="232"/>
      <c r="BE7" s="296">
        <f>【入力ｼｰﾄ】支援課提出用!BE7:CA7</f>
        <v>0</v>
      </c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296"/>
      <c r="BW7" s="296"/>
      <c r="BX7" s="296"/>
      <c r="BY7" s="296"/>
      <c r="BZ7" s="296"/>
      <c r="CA7" s="296"/>
    </row>
    <row r="8" spans="1:97" ht="15.75" customHeight="1" x14ac:dyDescent="0.15">
      <c r="A8" s="243"/>
      <c r="C8" s="299">
        <f>【入力ｼｰﾄ】支援課提出用!C8</f>
        <v>0</v>
      </c>
      <c r="D8" s="300"/>
      <c r="E8" s="300"/>
      <c r="F8" s="301"/>
      <c r="G8" s="305">
        <f>【入力ｼｰﾄ】支援課提出用!G8</f>
        <v>0</v>
      </c>
      <c r="H8" s="306"/>
      <c r="I8" s="309">
        <f>【入力ｼｰﾄ】支援課提出用!I8</f>
        <v>0</v>
      </c>
      <c r="J8" s="310"/>
      <c r="K8" s="311"/>
      <c r="L8" s="315">
        <f>【入力ｼｰﾄ】支援課提出用!L8</f>
        <v>0</v>
      </c>
      <c r="M8" s="316"/>
      <c r="N8" s="316"/>
      <c r="O8" s="317"/>
      <c r="P8" s="315">
        <f>【入力ｼｰﾄ】支援課提出用!P8</f>
        <v>0</v>
      </c>
      <c r="Q8" s="321"/>
      <c r="R8" s="211" t="s">
        <v>687</v>
      </c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57"/>
      <c r="BC8" s="64"/>
      <c r="BD8" s="64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1"/>
      <c r="BZ8" s="111"/>
      <c r="CA8" s="111"/>
    </row>
    <row r="9" spans="1:97" ht="15.75" customHeight="1" x14ac:dyDescent="0.15">
      <c r="A9" s="243"/>
      <c r="C9" s="302"/>
      <c r="D9" s="303"/>
      <c r="E9" s="303"/>
      <c r="F9" s="304"/>
      <c r="G9" s="307"/>
      <c r="H9" s="308"/>
      <c r="I9" s="312"/>
      <c r="J9" s="313"/>
      <c r="K9" s="314"/>
      <c r="L9" s="318"/>
      <c r="M9" s="319"/>
      <c r="N9" s="319"/>
      <c r="O9" s="320"/>
      <c r="P9" s="318"/>
      <c r="Q9" s="320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57"/>
      <c r="BC9" s="260" t="s">
        <v>20</v>
      </c>
      <c r="BD9" s="260"/>
      <c r="BE9" s="296">
        <f>【入力ｼｰﾄ】支援課提出用!BE9:BV9</f>
        <v>0</v>
      </c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113"/>
      <c r="BX9" s="297"/>
      <c r="BY9" s="298"/>
      <c r="BZ9" s="111"/>
      <c r="CA9" s="111"/>
    </row>
    <row r="10" spans="1:97" ht="39" customHeight="1" x14ac:dyDescent="0.3">
      <c r="A10" s="243"/>
      <c r="C10" s="67"/>
      <c r="D10" s="67"/>
      <c r="E10" s="67"/>
      <c r="F10" s="67"/>
      <c r="G10" s="67"/>
      <c r="H10" s="67"/>
      <c r="I10" s="114"/>
      <c r="J10" s="114"/>
      <c r="K10" s="114"/>
      <c r="L10" s="115"/>
      <c r="M10" s="115"/>
      <c r="N10" s="115"/>
      <c r="O10" s="116"/>
      <c r="P10" s="116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C10" s="71"/>
      <c r="BD10" s="71"/>
      <c r="BE10" s="71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8"/>
      <c r="BX10" s="118"/>
      <c r="BY10" s="119"/>
    </row>
    <row r="11" spans="1:97" ht="6.75" customHeight="1" x14ac:dyDescent="0.3">
      <c r="A11" s="243"/>
      <c r="C11" s="67"/>
      <c r="D11" s="67"/>
      <c r="E11" s="67"/>
      <c r="F11" s="67"/>
      <c r="G11" s="67"/>
      <c r="H11" s="67"/>
      <c r="I11" s="120"/>
      <c r="J11" s="120"/>
      <c r="K11" s="121"/>
      <c r="L11" s="121"/>
      <c r="M11" s="116"/>
      <c r="N11" s="116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C11" s="71"/>
      <c r="BD11" s="71"/>
      <c r="BE11" s="71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8"/>
      <c r="BX11" s="118"/>
      <c r="BY11" s="119"/>
      <c r="CC11" s="50"/>
      <c r="CD11" s="50"/>
      <c r="CE11" s="50"/>
      <c r="CG11" s="50"/>
      <c r="CH11" s="50"/>
      <c r="CI11" s="50"/>
      <c r="CK11" s="50"/>
      <c r="CL11" s="50"/>
      <c r="CM11" s="50"/>
    </row>
    <row r="12" spans="1:97" ht="12.75" customHeight="1" x14ac:dyDescent="0.15">
      <c r="A12" s="243"/>
      <c r="C12" s="161" t="s">
        <v>27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 t="s">
        <v>3</v>
      </c>
      <c r="AR12" s="161"/>
      <c r="AS12" s="161"/>
      <c r="AT12" s="161"/>
      <c r="AU12" s="161"/>
      <c r="AV12" s="161"/>
      <c r="AW12" s="161"/>
      <c r="AX12" s="163"/>
      <c r="AY12" s="125" t="s">
        <v>775</v>
      </c>
      <c r="AZ12" s="126"/>
      <c r="BA12" s="126"/>
      <c r="BB12" s="126"/>
      <c r="BC12" s="126"/>
      <c r="BD12" s="126"/>
      <c r="BE12" s="126"/>
      <c r="BF12" s="126"/>
      <c r="BG12" s="126"/>
      <c r="BH12" s="127"/>
      <c r="BI12" s="172" t="s">
        <v>799</v>
      </c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8"/>
      <c r="BX12" s="254" t="s">
        <v>772</v>
      </c>
      <c r="BY12" s="255"/>
      <c r="BZ12" s="255"/>
      <c r="CA12" s="256"/>
    </row>
    <row r="13" spans="1:97" ht="12.75" customHeight="1" x14ac:dyDescent="0.15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3"/>
      <c r="AY13" s="128"/>
      <c r="AZ13" s="129"/>
      <c r="BA13" s="129"/>
      <c r="BB13" s="129"/>
      <c r="BC13" s="129"/>
      <c r="BD13" s="129"/>
      <c r="BE13" s="129"/>
      <c r="BF13" s="129"/>
      <c r="BG13" s="129"/>
      <c r="BH13" s="130"/>
      <c r="BI13" s="169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1"/>
      <c r="BX13" s="257"/>
      <c r="BY13" s="258"/>
      <c r="BZ13" s="258"/>
      <c r="CA13" s="259"/>
      <c r="CI13" s="290"/>
      <c r="CJ13" s="291"/>
      <c r="CK13" s="291"/>
      <c r="CP13" s="75"/>
    </row>
    <row r="14" spans="1:97" ht="18" customHeight="1" x14ac:dyDescent="0.2">
      <c r="C14" s="165" t="s">
        <v>24</v>
      </c>
      <c r="D14" s="165"/>
      <c r="E14" s="292">
        <f>【入力ｼｰﾄ】支援課提出用!E14</f>
        <v>0</v>
      </c>
      <c r="F14" s="293"/>
      <c r="G14" s="294">
        <f>【入力ｼｰﾄ】支援課提出用!G14</f>
        <v>0</v>
      </c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5"/>
      <c r="AQ14" s="163" t="s">
        <v>28</v>
      </c>
      <c r="AR14" s="162"/>
      <c r="AS14" s="162"/>
      <c r="AT14" s="164"/>
      <c r="AU14" s="162" t="s">
        <v>0</v>
      </c>
      <c r="AV14" s="162"/>
      <c r="AW14" s="163" t="s">
        <v>2</v>
      </c>
      <c r="AX14" s="164"/>
      <c r="AY14" s="131"/>
      <c r="AZ14" s="132"/>
      <c r="BA14" s="132"/>
      <c r="BB14" s="132"/>
      <c r="BC14" s="132"/>
      <c r="BD14" s="132"/>
      <c r="BE14" s="132"/>
      <c r="BF14" s="132"/>
      <c r="BG14" s="132"/>
      <c r="BH14" s="133"/>
      <c r="BI14" s="172" t="s">
        <v>773</v>
      </c>
      <c r="BJ14" s="167"/>
      <c r="BK14" s="167"/>
      <c r="BL14" s="167"/>
      <c r="BM14" s="168"/>
      <c r="BN14" s="172" t="s">
        <v>7</v>
      </c>
      <c r="BO14" s="167"/>
      <c r="BP14" s="167"/>
      <c r="BQ14" s="167"/>
      <c r="BR14" s="168"/>
      <c r="BS14" s="125" t="s">
        <v>790</v>
      </c>
      <c r="BT14" s="167"/>
      <c r="BU14" s="167"/>
      <c r="BV14" s="167"/>
      <c r="BW14" s="168"/>
      <c r="BX14" s="257"/>
      <c r="BY14" s="258"/>
      <c r="BZ14" s="258"/>
      <c r="CA14" s="259"/>
      <c r="CI14" s="291"/>
      <c r="CJ14" s="291"/>
      <c r="CK14" s="291"/>
      <c r="CP14" s="75"/>
    </row>
    <row r="15" spans="1:97" s="79" customFormat="1" ht="27" customHeight="1" x14ac:dyDescent="0.25">
      <c r="C15" s="165" t="s">
        <v>25</v>
      </c>
      <c r="D15" s="165"/>
      <c r="E15" s="287">
        <f>【入力ｼｰﾄ】支援課提出用!E15</f>
        <v>0</v>
      </c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9"/>
      <c r="AQ15" s="122">
        <f>【入力ｼｰﾄ】支援課提出用!AQ15</f>
        <v>0</v>
      </c>
      <c r="AR15" s="123">
        <f>【入力ｼｰﾄ】支援課提出用!AR15</f>
        <v>0</v>
      </c>
      <c r="AS15" s="123">
        <f>【入力ｼｰﾄ】支援課提出用!AS15</f>
        <v>0</v>
      </c>
      <c r="AT15" s="124">
        <f>【入力ｼｰﾄ】支援課提出用!AT15</f>
        <v>0</v>
      </c>
      <c r="AU15" s="122">
        <f>【入力ｼｰﾄ】支援課提出用!AU15</f>
        <v>0</v>
      </c>
      <c r="AV15" s="124">
        <f>【入力ｼｰﾄ】支援課提出用!AV15</f>
        <v>0</v>
      </c>
      <c r="AW15" s="122">
        <f>【入力ｼｰﾄ】支援課提出用!AW15</f>
        <v>0</v>
      </c>
      <c r="AX15" s="124">
        <f>【入力ｼｰﾄ】支援課提出用!AX15</f>
        <v>0</v>
      </c>
      <c r="AY15" s="266">
        <f>【入力ｼｰﾄ】支援課提出用!AY15</f>
        <v>0</v>
      </c>
      <c r="AZ15" s="267"/>
      <c r="BA15" s="267"/>
      <c r="BB15" s="267"/>
      <c r="BC15" s="267"/>
      <c r="BD15" s="267"/>
      <c r="BE15" s="267"/>
      <c r="BF15" s="267"/>
      <c r="BG15" s="267"/>
      <c r="BH15" s="268"/>
      <c r="BI15" s="169"/>
      <c r="BJ15" s="170"/>
      <c r="BK15" s="170"/>
      <c r="BL15" s="170"/>
      <c r="BM15" s="171"/>
      <c r="BN15" s="169"/>
      <c r="BO15" s="170"/>
      <c r="BP15" s="170"/>
      <c r="BQ15" s="170"/>
      <c r="BR15" s="171"/>
      <c r="BS15" s="169"/>
      <c r="BT15" s="170"/>
      <c r="BU15" s="170"/>
      <c r="BV15" s="170"/>
      <c r="BW15" s="171"/>
      <c r="BX15" s="169" t="s">
        <v>4</v>
      </c>
      <c r="BY15" s="170"/>
      <c r="BZ15" s="170"/>
      <c r="CA15" s="171"/>
      <c r="CO15" s="82" t="e">
        <f>VALUE(IF(AI19="　　１ 　　 年賦",1,IF(AI19="　　２  　　半年賦",2,"")))</f>
        <v>#VALUE!</v>
      </c>
      <c r="CP15" s="80"/>
      <c r="CQ15" s="80"/>
      <c r="CR15" s="80"/>
      <c r="CS15" s="80"/>
    </row>
    <row r="16" spans="1:97" ht="25" customHeight="1" x14ac:dyDescent="0.2">
      <c r="C16" s="125" t="s">
        <v>794</v>
      </c>
      <c r="D16" s="126"/>
      <c r="E16" s="126"/>
      <c r="F16" s="126"/>
      <c r="G16" s="126"/>
      <c r="H16" s="127"/>
      <c r="I16" s="125" t="s">
        <v>795</v>
      </c>
      <c r="J16" s="126"/>
      <c r="K16" s="126"/>
      <c r="L16" s="126"/>
      <c r="M16" s="126"/>
      <c r="N16" s="127"/>
      <c r="O16" s="163" t="s">
        <v>19</v>
      </c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4"/>
      <c r="AA16" s="173" t="s">
        <v>793</v>
      </c>
      <c r="AB16" s="174"/>
      <c r="AC16" s="174"/>
      <c r="AD16" s="174"/>
      <c r="AE16" s="173" t="s">
        <v>796</v>
      </c>
      <c r="AF16" s="174"/>
      <c r="AG16" s="174"/>
      <c r="AH16" s="174"/>
      <c r="AI16" s="265" t="s">
        <v>791</v>
      </c>
      <c r="AJ16" s="265"/>
      <c r="AK16" s="265"/>
      <c r="AL16" s="265"/>
      <c r="AM16" s="175" t="s">
        <v>26</v>
      </c>
      <c r="AN16" s="175"/>
      <c r="AO16" s="175"/>
      <c r="AP16" s="175" t="s">
        <v>663</v>
      </c>
      <c r="AQ16" s="175"/>
      <c r="AR16" s="175"/>
      <c r="AS16" s="175" t="s">
        <v>792</v>
      </c>
      <c r="AT16" s="175"/>
      <c r="AU16" s="175"/>
      <c r="AV16" s="177" t="s">
        <v>679</v>
      </c>
      <c r="AW16" s="177"/>
      <c r="AX16" s="177"/>
      <c r="AY16" s="134" t="s">
        <v>774</v>
      </c>
      <c r="AZ16" s="134"/>
      <c r="BA16" s="134"/>
      <c r="BB16" s="134"/>
      <c r="BC16" s="134"/>
      <c r="BD16" s="134"/>
      <c r="BE16" s="134"/>
      <c r="BF16" s="134"/>
      <c r="BG16" s="134"/>
      <c r="BH16" s="134"/>
      <c r="BI16" s="266">
        <f>【入力ｼｰﾄ】支援課提出用!BI16</f>
        <v>0</v>
      </c>
      <c r="BJ16" s="267"/>
      <c r="BK16" s="267"/>
      <c r="BL16" s="267"/>
      <c r="BM16" s="268"/>
      <c r="BN16" s="266">
        <f>【入力ｼｰﾄ】支援課提出用!BN16</f>
        <v>0</v>
      </c>
      <c r="BO16" s="267"/>
      <c r="BP16" s="267"/>
      <c r="BQ16" s="267"/>
      <c r="BR16" s="268"/>
      <c r="BS16" s="266">
        <f>【入力ｼｰﾄ】支援課提出用!BS16</f>
        <v>0</v>
      </c>
      <c r="BT16" s="267"/>
      <c r="BU16" s="267"/>
      <c r="BV16" s="267"/>
      <c r="BW16" s="268"/>
      <c r="BX16" s="269">
        <f>【入力ｼｰﾄ】支援課提出用!BX16</f>
        <v>0</v>
      </c>
      <c r="BY16" s="269"/>
      <c r="BZ16" s="269"/>
      <c r="CA16" s="269"/>
    </row>
    <row r="17" spans="3:93" ht="25" customHeight="1" x14ac:dyDescent="0.2">
      <c r="C17" s="128"/>
      <c r="D17" s="129"/>
      <c r="E17" s="129"/>
      <c r="F17" s="129"/>
      <c r="G17" s="129"/>
      <c r="H17" s="130"/>
      <c r="I17" s="128"/>
      <c r="J17" s="129"/>
      <c r="K17" s="129"/>
      <c r="L17" s="129"/>
      <c r="M17" s="129"/>
      <c r="N17" s="130"/>
      <c r="O17" s="191" t="s">
        <v>680</v>
      </c>
      <c r="P17" s="192"/>
      <c r="Q17" s="192"/>
      <c r="R17" s="192"/>
      <c r="S17" s="192"/>
      <c r="T17" s="193"/>
      <c r="U17" s="191" t="s">
        <v>681</v>
      </c>
      <c r="V17" s="192"/>
      <c r="W17" s="192"/>
      <c r="X17" s="192"/>
      <c r="Y17" s="192"/>
      <c r="Z17" s="193"/>
      <c r="AA17" s="174"/>
      <c r="AB17" s="174"/>
      <c r="AC17" s="174"/>
      <c r="AD17" s="174"/>
      <c r="AE17" s="174"/>
      <c r="AF17" s="174"/>
      <c r="AG17" s="174"/>
      <c r="AH17" s="174"/>
      <c r="AI17" s="265"/>
      <c r="AJ17" s="265"/>
      <c r="AK17" s="265"/>
      <c r="AL17" s="26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7"/>
      <c r="AW17" s="177"/>
      <c r="AX17" s="177"/>
      <c r="AY17" s="134" t="s">
        <v>776</v>
      </c>
      <c r="AZ17" s="134"/>
      <c r="BA17" s="134"/>
      <c r="BB17" s="134"/>
      <c r="BC17" s="134"/>
      <c r="BD17" s="134"/>
      <c r="BE17" s="134"/>
      <c r="BF17" s="134"/>
      <c r="BG17" s="134"/>
      <c r="BH17" s="134"/>
      <c r="BI17" s="266">
        <f>【入力ｼｰﾄ】支援課提出用!BI17</f>
        <v>0</v>
      </c>
      <c r="BJ17" s="267"/>
      <c r="BK17" s="267"/>
      <c r="BL17" s="267"/>
      <c r="BM17" s="268"/>
      <c r="BN17" s="266">
        <f>【入力ｼｰﾄ】支援課提出用!BN17</f>
        <v>0</v>
      </c>
      <c r="BO17" s="267"/>
      <c r="BP17" s="267"/>
      <c r="BQ17" s="267"/>
      <c r="BR17" s="268"/>
      <c r="BS17" s="266">
        <f>【入力ｼｰﾄ】支援課提出用!BS17</f>
        <v>0</v>
      </c>
      <c r="BT17" s="267"/>
      <c r="BU17" s="267"/>
      <c r="BV17" s="267"/>
      <c r="BW17" s="268"/>
      <c r="BX17" s="269">
        <f>【入力ｼｰﾄ】支援課提出用!BX17</f>
        <v>0</v>
      </c>
      <c r="BY17" s="269"/>
      <c r="BZ17" s="269"/>
      <c r="CA17" s="269"/>
    </row>
    <row r="18" spans="3:93" ht="25" customHeight="1" x14ac:dyDescent="0.2">
      <c r="C18" s="131"/>
      <c r="D18" s="132"/>
      <c r="E18" s="132"/>
      <c r="F18" s="132"/>
      <c r="G18" s="132"/>
      <c r="H18" s="133"/>
      <c r="I18" s="131"/>
      <c r="J18" s="132"/>
      <c r="K18" s="132"/>
      <c r="L18" s="132"/>
      <c r="M18" s="132"/>
      <c r="N18" s="133"/>
      <c r="O18" s="194"/>
      <c r="P18" s="195"/>
      <c r="Q18" s="195"/>
      <c r="R18" s="195"/>
      <c r="S18" s="195"/>
      <c r="T18" s="196"/>
      <c r="U18" s="194"/>
      <c r="V18" s="195"/>
      <c r="W18" s="195"/>
      <c r="X18" s="195"/>
      <c r="Y18" s="195"/>
      <c r="Z18" s="196"/>
      <c r="AA18" s="174"/>
      <c r="AB18" s="174"/>
      <c r="AC18" s="174"/>
      <c r="AD18" s="174"/>
      <c r="AE18" s="174"/>
      <c r="AF18" s="174"/>
      <c r="AG18" s="174"/>
      <c r="AH18" s="174"/>
      <c r="AI18" s="265"/>
      <c r="AJ18" s="265"/>
      <c r="AK18" s="265"/>
      <c r="AL18" s="26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7"/>
      <c r="AW18" s="177"/>
      <c r="AX18" s="177"/>
      <c r="AY18" s="134" t="s">
        <v>777</v>
      </c>
      <c r="AZ18" s="134"/>
      <c r="BA18" s="134"/>
      <c r="BB18" s="134"/>
      <c r="BC18" s="134"/>
      <c r="BD18" s="134"/>
      <c r="BE18" s="134"/>
      <c r="BF18" s="134"/>
      <c r="BG18" s="134"/>
      <c r="BH18" s="134"/>
      <c r="BI18" s="266">
        <f>【入力ｼｰﾄ】支援課提出用!BI18</f>
        <v>0</v>
      </c>
      <c r="BJ18" s="267"/>
      <c r="BK18" s="267"/>
      <c r="BL18" s="267"/>
      <c r="BM18" s="268"/>
      <c r="BN18" s="266">
        <f>【入力ｼｰﾄ】支援課提出用!BN18</f>
        <v>0</v>
      </c>
      <c r="BO18" s="267"/>
      <c r="BP18" s="267"/>
      <c r="BQ18" s="267"/>
      <c r="BR18" s="268"/>
      <c r="BS18" s="266">
        <f>【入力ｼｰﾄ】支援課提出用!BS18</f>
        <v>0</v>
      </c>
      <c r="BT18" s="267"/>
      <c r="BU18" s="267"/>
      <c r="BV18" s="267"/>
      <c r="BW18" s="268"/>
      <c r="BX18" s="269">
        <f>【入力ｼｰﾄ】支援課提出用!BX18</f>
        <v>0</v>
      </c>
      <c r="BY18" s="269"/>
      <c r="BZ18" s="269"/>
      <c r="CA18" s="269"/>
    </row>
    <row r="19" spans="3:93" s="79" customFormat="1" ht="25" customHeight="1" x14ac:dyDescent="0.2">
      <c r="C19" s="282">
        <f>【入力ｼｰﾄ】支援課提出用!C19</f>
        <v>0</v>
      </c>
      <c r="D19" s="283"/>
      <c r="E19" s="283"/>
      <c r="F19" s="283"/>
      <c r="G19" s="283"/>
      <c r="H19" s="283"/>
      <c r="I19" s="284">
        <f>【入力ｼｰﾄ】支援課提出用!I19</f>
        <v>0</v>
      </c>
      <c r="J19" s="285"/>
      <c r="K19" s="285"/>
      <c r="L19" s="285"/>
      <c r="M19" s="285"/>
      <c r="N19" s="285"/>
      <c r="O19" s="190" t="str">
        <f>IFERROR(I19-U19*((AA19-AE19)*CO15-1),"")</f>
        <v/>
      </c>
      <c r="P19" s="190"/>
      <c r="Q19" s="190"/>
      <c r="R19" s="190"/>
      <c r="S19" s="190"/>
      <c r="T19" s="190"/>
      <c r="U19" s="190" t="str">
        <f>IFERROR(ROUNDDOWN(I19/((AA19-AE19)*CO15),0),"")</f>
        <v/>
      </c>
      <c r="V19" s="190"/>
      <c r="W19" s="190"/>
      <c r="X19" s="190"/>
      <c r="Y19" s="190"/>
      <c r="Z19" s="190"/>
      <c r="AA19" s="286">
        <f>【入力ｼｰﾄ】支援課提出用!AA19</f>
        <v>0</v>
      </c>
      <c r="AB19" s="286"/>
      <c r="AC19" s="286"/>
      <c r="AD19" s="286"/>
      <c r="AE19" s="286">
        <f>【入力ｼｰﾄ】支援課提出用!AE19</f>
        <v>0</v>
      </c>
      <c r="AF19" s="286"/>
      <c r="AG19" s="286"/>
      <c r="AH19" s="286"/>
      <c r="AI19" s="281">
        <f>【入力ｼｰﾄ】支援課提出用!AI19</f>
        <v>0</v>
      </c>
      <c r="AJ19" s="281"/>
      <c r="AK19" s="281"/>
      <c r="AL19" s="281"/>
      <c r="AM19" s="279">
        <f>【入力ｼｰﾄ】支援課提出用!AM19</f>
        <v>0</v>
      </c>
      <c r="AN19" s="280"/>
      <c r="AO19" s="280"/>
      <c r="AP19" s="279">
        <f>【入力ｼｰﾄ】支援課提出用!AP19</f>
        <v>0</v>
      </c>
      <c r="AQ19" s="280"/>
      <c r="AR19" s="280"/>
      <c r="AS19" s="279">
        <f>【入力ｼｰﾄ】支援課提出用!AS19</f>
        <v>0</v>
      </c>
      <c r="AT19" s="280"/>
      <c r="AU19" s="280"/>
      <c r="AV19" s="281">
        <f>【入力ｼｰﾄ】支援課提出用!AV19</f>
        <v>0</v>
      </c>
      <c r="AW19" s="281"/>
      <c r="AX19" s="281"/>
      <c r="AY19" s="134" t="s">
        <v>778</v>
      </c>
      <c r="AZ19" s="134"/>
      <c r="BA19" s="134"/>
      <c r="BB19" s="134"/>
      <c r="BC19" s="134"/>
      <c r="BD19" s="134"/>
      <c r="BE19" s="134"/>
      <c r="BF19" s="134"/>
      <c r="BG19" s="134"/>
      <c r="BH19" s="134"/>
      <c r="BI19" s="266">
        <f>【入力ｼｰﾄ】支援課提出用!BI19</f>
        <v>0</v>
      </c>
      <c r="BJ19" s="267"/>
      <c r="BK19" s="267"/>
      <c r="BL19" s="267"/>
      <c r="BM19" s="268"/>
      <c r="BN19" s="266">
        <f>【入力ｼｰﾄ】支援課提出用!BN19</f>
        <v>0</v>
      </c>
      <c r="BO19" s="267"/>
      <c r="BP19" s="267"/>
      <c r="BQ19" s="267"/>
      <c r="BR19" s="268"/>
      <c r="BS19" s="266">
        <f>【入力ｼｰﾄ】支援課提出用!BS19</f>
        <v>0</v>
      </c>
      <c r="BT19" s="267"/>
      <c r="BU19" s="267"/>
      <c r="BV19" s="267"/>
      <c r="BW19" s="268"/>
      <c r="BX19" s="269">
        <f>【入力ｼｰﾄ】支援課提出用!BX19</f>
        <v>0</v>
      </c>
      <c r="BY19" s="269"/>
      <c r="BZ19" s="269"/>
      <c r="CA19" s="269"/>
      <c r="CO19" s="82"/>
    </row>
    <row r="20" spans="3:93" ht="25" customHeight="1" x14ac:dyDescent="0.2">
      <c r="C20" s="175" t="s">
        <v>22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94" t="s">
        <v>797</v>
      </c>
      <c r="AR20" s="195"/>
      <c r="AS20" s="195"/>
      <c r="AT20" s="195"/>
      <c r="AU20" s="195"/>
      <c r="AV20" s="195"/>
      <c r="AW20" s="195"/>
      <c r="AX20" s="196"/>
      <c r="AY20" s="134" t="s">
        <v>779</v>
      </c>
      <c r="AZ20" s="134"/>
      <c r="BA20" s="134"/>
      <c r="BB20" s="134"/>
      <c r="BC20" s="134"/>
      <c r="BD20" s="134"/>
      <c r="BE20" s="134"/>
      <c r="BF20" s="134"/>
      <c r="BG20" s="134"/>
      <c r="BH20" s="134"/>
      <c r="BI20" s="266">
        <f>【入力ｼｰﾄ】支援課提出用!BI20</f>
        <v>0</v>
      </c>
      <c r="BJ20" s="267"/>
      <c r="BK20" s="267"/>
      <c r="BL20" s="267"/>
      <c r="BM20" s="268"/>
      <c r="BN20" s="266">
        <f>【入力ｼｰﾄ】支援課提出用!BN20</f>
        <v>0</v>
      </c>
      <c r="BO20" s="267"/>
      <c r="BP20" s="267"/>
      <c r="BQ20" s="267"/>
      <c r="BR20" s="268"/>
      <c r="BS20" s="266">
        <f>【入力ｼｰﾄ】支援課提出用!BS20</f>
        <v>0</v>
      </c>
      <c r="BT20" s="267"/>
      <c r="BU20" s="267"/>
      <c r="BV20" s="267"/>
      <c r="BW20" s="268"/>
      <c r="BX20" s="269">
        <f>【入力ｼｰﾄ】支援課提出用!BX20</f>
        <v>0</v>
      </c>
      <c r="BY20" s="269"/>
      <c r="BZ20" s="269"/>
      <c r="CA20" s="269"/>
    </row>
    <row r="21" spans="3:93" ht="25" customHeight="1" x14ac:dyDescent="0.2"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59" t="s">
        <v>685</v>
      </c>
      <c r="AR21" s="159"/>
      <c r="AS21" s="159"/>
      <c r="AT21" s="159"/>
      <c r="AU21" s="159" t="s">
        <v>686</v>
      </c>
      <c r="AV21" s="159"/>
      <c r="AW21" s="159"/>
      <c r="AX21" s="159"/>
      <c r="AY21" s="134" t="s">
        <v>780</v>
      </c>
      <c r="AZ21" s="134"/>
      <c r="BA21" s="134"/>
      <c r="BB21" s="134"/>
      <c r="BC21" s="134"/>
      <c r="BD21" s="134"/>
      <c r="BE21" s="134"/>
      <c r="BF21" s="134"/>
      <c r="BG21" s="134"/>
      <c r="BH21" s="134"/>
      <c r="BI21" s="266">
        <f>【入力ｼｰﾄ】支援課提出用!BI21</f>
        <v>0</v>
      </c>
      <c r="BJ21" s="267"/>
      <c r="BK21" s="267"/>
      <c r="BL21" s="267"/>
      <c r="BM21" s="268"/>
      <c r="BN21" s="266">
        <f>【入力ｼｰﾄ】支援課提出用!BN21</f>
        <v>0</v>
      </c>
      <c r="BO21" s="267"/>
      <c r="BP21" s="267"/>
      <c r="BQ21" s="267"/>
      <c r="BR21" s="268"/>
      <c r="BS21" s="266">
        <f>【入力ｼｰﾄ】支援課提出用!BS21</f>
        <v>0</v>
      </c>
      <c r="BT21" s="267"/>
      <c r="BU21" s="267"/>
      <c r="BV21" s="267"/>
      <c r="BW21" s="268"/>
      <c r="BX21" s="269">
        <f>【入力ｼｰﾄ】支援課提出用!BX21</f>
        <v>0</v>
      </c>
      <c r="BY21" s="269"/>
      <c r="BZ21" s="269"/>
      <c r="CA21" s="269"/>
    </row>
    <row r="22" spans="3:93" ht="25" customHeight="1" x14ac:dyDescent="0.2"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59" t="s">
        <v>0</v>
      </c>
      <c r="AR22" s="159"/>
      <c r="AS22" s="159" t="s">
        <v>2</v>
      </c>
      <c r="AT22" s="159"/>
      <c r="AU22" s="159" t="s">
        <v>0</v>
      </c>
      <c r="AV22" s="159"/>
      <c r="AW22" s="159" t="s">
        <v>2</v>
      </c>
      <c r="AX22" s="159"/>
      <c r="AY22" s="134" t="s">
        <v>781</v>
      </c>
      <c r="AZ22" s="134"/>
      <c r="BA22" s="134"/>
      <c r="BB22" s="134"/>
      <c r="BC22" s="134"/>
      <c r="BD22" s="134"/>
      <c r="BE22" s="134"/>
      <c r="BF22" s="134"/>
      <c r="BG22" s="134"/>
      <c r="BH22" s="134"/>
      <c r="BI22" s="266">
        <f>【入力ｼｰﾄ】支援課提出用!BI22</f>
        <v>0</v>
      </c>
      <c r="BJ22" s="267"/>
      <c r="BK22" s="267"/>
      <c r="BL22" s="267"/>
      <c r="BM22" s="268"/>
      <c r="BN22" s="266">
        <f>【入力ｼｰﾄ】支援課提出用!BN22</f>
        <v>0</v>
      </c>
      <c r="BO22" s="267"/>
      <c r="BP22" s="267"/>
      <c r="BQ22" s="267"/>
      <c r="BR22" s="268"/>
      <c r="BS22" s="266">
        <f>【入力ｼｰﾄ】支援課提出用!BS22</f>
        <v>0</v>
      </c>
      <c r="BT22" s="267"/>
      <c r="BU22" s="267"/>
      <c r="BV22" s="267"/>
      <c r="BW22" s="268"/>
      <c r="BX22" s="269">
        <f>【入力ｼｰﾄ】支援課提出用!BX22</f>
        <v>0</v>
      </c>
      <c r="BY22" s="269"/>
      <c r="BZ22" s="269"/>
      <c r="CA22" s="269"/>
    </row>
    <row r="23" spans="3:93" ht="25" customHeight="1" x14ac:dyDescent="0.2">
      <c r="C23" s="278">
        <f>【入力ｼｰﾄ】支援課提出用!C23</f>
        <v>0</v>
      </c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61">
        <f>【入力ｼｰﾄ】支援課提出用!AQ23</f>
        <v>0</v>
      </c>
      <c r="AR23" s="261"/>
      <c r="AS23" s="261">
        <v>20</v>
      </c>
      <c r="AT23" s="261"/>
      <c r="AU23" s="261">
        <f>【入力ｼｰﾄ】支援課提出用!AU23</f>
        <v>0</v>
      </c>
      <c r="AV23" s="261"/>
      <c r="AW23" s="261">
        <v>20</v>
      </c>
      <c r="AX23" s="261"/>
      <c r="AY23" s="134" t="s">
        <v>782</v>
      </c>
      <c r="AZ23" s="134"/>
      <c r="BA23" s="134"/>
      <c r="BB23" s="134"/>
      <c r="BC23" s="134"/>
      <c r="BD23" s="134"/>
      <c r="BE23" s="134"/>
      <c r="BF23" s="134"/>
      <c r="BG23" s="134"/>
      <c r="BH23" s="134"/>
      <c r="BI23" s="266">
        <f>【入力ｼｰﾄ】支援課提出用!BI23</f>
        <v>0</v>
      </c>
      <c r="BJ23" s="267"/>
      <c r="BK23" s="267"/>
      <c r="BL23" s="267"/>
      <c r="BM23" s="268"/>
      <c r="BN23" s="266">
        <f>【入力ｼｰﾄ】支援課提出用!BN23</f>
        <v>0</v>
      </c>
      <c r="BO23" s="267"/>
      <c r="BP23" s="267"/>
      <c r="BQ23" s="267"/>
      <c r="BR23" s="268"/>
      <c r="BS23" s="266">
        <f>【入力ｼｰﾄ】支援課提出用!BS23</f>
        <v>0</v>
      </c>
      <c r="BT23" s="267"/>
      <c r="BU23" s="267"/>
      <c r="BV23" s="267"/>
      <c r="BW23" s="268"/>
      <c r="BX23" s="269">
        <f>【入力ｼｰﾄ】支援課提出用!BX23</f>
        <v>0</v>
      </c>
      <c r="BY23" s="269"/>
      <c r="BZ23" s="269"/>
      <c r="CA23" s="269"/>
    </row>
    <row r="24" spans="3:93" ht="25" customHeight="1" x14ac:dyDescent="0.2">
      <c r="AY24" s="134" t="s">
        <v>783</v>
      </c>
      <c r="AZ24" s="134"/>
      <c r="BA24" s="134"/>
      <c r="BB24" s="134"/>
      <c r="BC24" s="134"/>
      <c r="BD24" s="134"/>
      <c r="BE24" s="134"/>
      <c r="BF24" s="134"/>
      <c r="BG24" s="134"/>
      <c r="BH24" s="134"/>
      <c r="BI24" s="266">
        <f>【入力ｼｰﾄ】支援課提出用!BI24</f>
        <v>0</v>
      </c>
      <c r="BJ24" s="267"/>
      <c r="BK24" s="267"/>
      <c r="BL24" s="267"/>
      <c r="BM24" s="268"/>
      <c r="BN24" s="266">
        <f>【入力ｼｰﾄ】支援課提出用!BN24</f>
        <v>0</v>
      </c>
      <c r="BO24" s="267"/>
      <c r="BP24" s="267"/>
      <c r="BQ24" s="267"/>
      <c r="BR24" s="268"/>
      <c r="BS24" s="266">
        <f>【入力ｼｰﾄ】支援課提出用!BS24</f>
        <v>0</v>
      </c>
      <c r="BT24" s="267"/>
      <c r="BU24" s="267"/>
      <c r="BV24" s="267"/>
      <c r="BW24" s="268"/>
      <c r="BX24" s="269">
        <f>【入力ｼｰﾄ】支援課提出用!BX24</f>
        <v>0</v>
      </c>
      <c r="BY24" s="269"/>
      <c r="BZ24" s="269"/>
      <c r="CA24" s="269"/>
    </row>
    <row r="25" spans="3:93" ht="25" customHeight="1" x14ac:dyDescent="0.2">
      <c r="AY25" s="134" t="s">
        <v>784</v>
      </c>
      <c r="AZ25" s="134"/>
      <c r="BA25" s="134"/>
      <c r="BB25" s="134"/>
      <c r="BC25" s="134"/>
      <c r="BD25" s="134"/>
      <c r="BE25" s="134"/>
      <c r="BF25" s="134"/>
      <c r="BG25" s="134"/>
      <c r="BH25" s="134"/>
      <c r="BI25" s="266">
        <f>【入力ｼｰﾄ】支援課提出用!BI25</f>
        <v>0</v>
      </c>
      <c r="BJ25" s="267"/>
      <c r="BK25" s="267"/>
      <c r="BL25" s="267"/>
      <c r="BM25" s="268"/>
      <c r="BN25" s="266">
        <f>【入力ｼｰﾄ】支援課提出用!BN25</f>
        <v>0</v>
      </c>
      <c r="BO25" s="267"/>
      <c r="BP25" s="267"/>
      <c r="BQ25" s="267"/>
      <c r="BR25" s="268"/>
      <c r="BS25" s="266">
        <f>【入力ｼｰﾄ】支援課提出用!BS25</f>
        <v>0</v>
      </c>
      <c r="BT25" s="267"/>
      <c r="BU25" s="267"/>
      <c r="BV25" s="267"/>
      <c r="BW25" s="268"/>
      <c r="BX25" s="269">
        <f>【入力ｼｰﾄ】支援課提出用!BX25</f>
        <v>0</v>
      </c>
      <c r="BY25" s="269"/>
      <c r="BZ25" s="269"/>
      <c r="CA25" s="269"/>
    </row>
    <row r="26" spans="3:93" ht="25" customHeight="1" x14ac:dyDescent="0.2">
      <c r="AY26" s="134" t="s">
        <v>785</v>
      </c>
      <c r="AZ26" s="134"/>
      <c r="BA26" s="134"/>
      <c r="BB26" s="134"/>
      <c r="BC26" s="134"/>
      <c r="BD26" s="134"/>
      <c r="BE26" s="134"/>
      <c r="BF26" s="134"/>
      <c r="BG26" s="134"/>
      <c r="BH26" s="134"/>
      <c r="BI26" s="266">
        <f>【入力ｼｰﾄ】支援課提出用!BI26</f>
        <v>0</v>
      </c>
      <c r="BJ26" s="267"/>
      <c r="BK26" s="267"/>
      <c r="BL26" s="267"/>
      <c r="BM26" s="268"/>
      <c r="BN26" s="266">
        <f>【入力ｼｰﾄ】支援課提出用!BN26</f>
        <v>0</v>
      </c>
      <c r="BO26" s="267"/>
      <c r="BP26" s="267"/>
      <c r="BQ26" s="267"/>
      <c r="BR26" s="268"/>
      <c r="BS26" s="266">
        <f>【入力ｼｰﾄ】支援課提出用!BS26</f>
        <v>0</v>
      </c>
      <c r="BT26" s="267"/>
      <c r="BU26" s="267"/>
      <c r="BV26" s="267"/>
      <c r="BW26" s="268"/>
      <c r="BX26" s="269">
        <f>【入力ｼｰﾄ】支援課提出用!BX26</f>
        <v>0</v>
      </c>
      <c r="BY26" s="269"/>
      <c r="BZ26" s="269"/>
      <c r="CA26" s="269"/>
    </row>
    <row r="27" spans="3:93" ht="25" customHeight="1" thickBot="1" x14ac:dyDescent="0.25">
      <c r="N27" s="277"/>
      <c r="O27" s="277"/>
      <c r="P27" s="277"/>
      <c r="Q27" s="277"/>
      <c r="R27" s="277"/>
      <c r="U27" s="277"/>
      <c r="V27" s="277"/>
      <c r="W27" s="277"/>
      <c r="X27" s="277"/>
      <c r="Y27" s="277"/>
      <c r="AB27" s="277"/>
      <c r="AC27" s="277"/>
      <c r="AD27" s="277"/>
      <c r="AE27" s="277"/>
      <c r="AF27" s="277"/>
      <c r="AY27" s="134" t="s">
        <v>786</v>
      </c>
      <c r="AZ27" s="134"/>
      <c r="BA27" s="134"/>
      <c r="BB27" s="134"/>
      <c r="BC27" s="134"/>
      <c r="BD27" s="134"/>
      <c r="BE27" s="134"/>
      <c r="BF27" s="134"/>
      <c r="BG27" s="134"/>
      <c r="BH27" s="134"/>
      <c r="BI27" s="266">
        <f>【入力ｼｰﾄ】支援課提出用!BI27</f>
        <v>0</v>
      </c>
      <c r="BJ27" s="267"/>
      <c r="BK27" s="267"/>
      <c r="BL27" s="267"/>
      <c r="BM27" s="268"/>
      <c r="BN27" s="266">
        <f>【入力ｼｰﾄ】支援課提出用!BN27</f>
        <v>0</v>
      </c>
      <c r="BO27" s="267"/>
      <c r="BP27" s="267"/>
      <c r="BQ27" s="267"/>
      <c r="BR27" s="268"/>
      <c r="BS27" s="266">
        <f>【入力ｼｰﾄ】支援課提出用!BS27</f>
        <v>0</v>
      </c>
      <c r="BT27" s="267"/>
      <c r="BU27" s="267"/>
      <c r="BV27" s="267"/>
      <c r="BW27" s="268"/>
      <c r="BX27" s="269">
        <f>【入力ｼｰﾄ】支援課提出用!BX27</f>
        <v>0</v>
      </c>
      <c r="BY27" s="269"/>
      <c r="BZ27" s="269"/>
      <c r="CA27" s="269"/>
    </row>
    <row r="28" spans="3:93" ht="25" customHeight="1" x14ac:dyDescent="0.2">
      <c r="C28" s="135" t="s">
        <v>800</v>
      </c>
      <c r="D28" s="136"/>
      <c r="E28" s="136"/>
      <c r="F28" s="136"/>
      <c r="G28" s="136"/>
      <c r="H28" s="136"/>
      <c r="I28" s="136"/>
      <c r="J28" s="137"/>
      <c r="N28" s="276"/>
      <c r="O28" s="276"/>
      <c r="P28" s="276"/>
      <c r="Q28" s="276"/>
      <c r="R28" s="276"/>
      <c r="U28" s="276"/>
      <c r="V28" s="276"/>
      <c r="W28" s="276"/>
      <c r="X28" s="276"/>
      <c r="Y28" s="276"/>
      <c r="AB28" s="276"/>
      <c r="AC28" s="276"/>
      <c r="AD28" s="276"/>
      <c r="AE28" s="276"/>
      <c r="AF28" s="276"/>
      <c r="AY28" s="134" t="s">
        <v>787</v>
      </c>
      <c r="AZ28" s="134"/>
      <c r="BA28" s="134"/>
      <c r="BB28" s="134"/>
      <c r="BC28" s="134"/>
      <c r="BD28" s="134"/>
      <c r="BE28" s="134"/>
      <c r="BF28" s="134"/>
      <c r="BG28" s="134"/>
      <c r="BH28" s="134"/>
      <c r="BI28" s="266">
        <f>【入力ｼｰﾄ】支援課提出用!BI28</f>
        <v>0</v>
      </c>
      <c r="BJ28" s="267"/>
      <c r="BK28" s="267"/>
      <c r="BL28" s="267"/>
      <c r="BM28" s="268"/>
      <c r="BN28" s="266">
        <f>【入力ｼｰﾄ】支援課提出用!BN28</f>
        <v>0</v>
      </c>
      <c r="BO28" s="267"/>
      <c r="BP28" s="267"/>
      <c r="BQ28" s="267"/>
      <c r="BR28" s="268"/>
      <c r="BS28" s="266">
        <f>【入力ｼｰﾄ】支援課提出用!BS28</f>
        <v>0</v>
      </c>
      <c r="BT28" s="267"/>
      <c r="BU28" s="267"/>
      <c r="BV28" s="267"/>
      <c r="BW28" s="268"/>
      <c r="BX28" s="269">
        <f>【入力ｼｰﾄ】支援課提出用!BX28</f>
        <v>0</v>
      </c>
      <c r="BY28" s="269"/>
      <c r="BZ28" s="269"/>
      <c r="CA28" s="269"/>
    </row>
    <row r="29" spans="3:93" ht="25" customHeight="1" x14ac:dyDescent="0.2">
      <c r="C29" s="138"/>
      <c r="D29" s="139"/>
      <c r="E29" s="139"/>
      <c r="F29" s="139"/>
      <c r="G29" s="139"/>
      <c r="H29" s="139"/>
      <c r="I29" s="139"/>
      <c r="J29" s="140"/>
      <c r="N29" s="271"/>
      <c r="O29" s="271"/>
      <c r="P29" s="271"/>
      <c r="Q29" s="271"/>
      <c r="R29" s="271"/>
      <c r="U29" s="271"/>
      <c r="V29" s="271"/>
      <c r="W29" s="271"/>
      <c r="X29" s="271"/>
      <c r="Y29" s="271"/>
      <c r="AB29" s="271"/>
      <c r="AC29" s="271"/>
      <c r="AD29" s="271"/>
      <c r="AE29" s="271"/>
      <c r="AF29" s="271"/>
      <c r="AY29" s="134" t="s">
        <v>788</v>
      </c>
      <c r="AZ29" s="134"/>
      <c r="BA29" s="134"/>
      <c r="BB29" s="134"/>
      <c r="BC29" s="134"/>
      <c r="BD29" s="134"/>
      <c r="BE29" s="134"/>
      <c r="BF29" s="134"/>
      <c r="BG29" s="134"/>
      <c r="BH29" s="134"/>
      <c r="BI29" s="266">
        <f>【入力ｼｰﾄ】支援課提出用!BI29</f>
        <v>0</v>
      </c>
      <c r="BJ29" s="267"/>
      <c r="BK29" s="267"/>
      <c r="BL29" s="267"/>
      <c r="BM29" s="268"/>
      <c r="BN29" s="266">
        <f>【入力ｼｰﾄ】支援課提出用!BN29</f>
        <v>0</v>
      </c>
      <c r="BO29" s="267"/>
      <c r="BP29" s="267"/>
      <c r="BQ29" s="267"/>
      <c r="BR29" s="268"/>
      <c r="BS29" s="266">
        <f>【入力ｼｰﾄ】支援課提出用!BS29</f>
        <v>0</v>
      </c>
      <c r="BT29" s="267"/>
      <c r="BU29" s="267"/>
      <c r="BV29" s="267"/>
      <c r="BW29" s="268"/>
      <c r="BX29" s="269">
        <f>【入力ｼｰﾄ】支援課提出用!BX29</f>
        <v>0</v>
      </c>
      <c r="BY29" s="269"/>
      <c r="BZ29" s="269"/>
      <c r="CA29" s="269"/>
    </row>
    <row r="30" spans="3:93" ht="25" customHeight="1" thickBot="1" x14ac:dyDescent="0.25">
      <c r="C30" s="141"/>
      <c r="D30" s="142"/>
      <c r="E30" s="142"/>
      <c r="F30" s="142"/>
      <c r="G30" s="142"/>
      <c r="H30" s="142"/>
      <c r="I30" s="142"/>
      <c r="J30" s="143"/>
      <c r="N30" s="271"/>
      <c r="O30" s="271"/>
      <c r="P30" s="271"/>
      <c r="Q30" s="271"/>
      <c r="R30" s="271"/>
      <c r="U30" s="271"/>
      <c r="V30" s="271"/>
      <c r="W30" s="271"/>
      <c r="X30" s="271"/>
      <c r="Y30" s="271"/>
      <c r="AB30" s="271"/>
      <c r="AC30" s="271"/>
      <c r="AD30" s="271"/>
      <c r="AE30" s="271"/>
      <c r="AF30" s="271"/>
      <c r="AY30" s="134" t="s">
        <v>789</v>
      </c>
      <c r="AZ30" s="134"/>
      <c r="BA30" s="134"/>
      <c r="BB30" s="134"/>
      <c r="BC30" s="134"/>
      <c r="BD30" s="134"/>
      <c r="BE30" s="134"/>
      <c r="BF30" s="134"/>
      <c r="BG30" s="134"/>
      <c r="BH30" s="134"/>
      <c r="BI30" s="266">
        <f>【入力ｼｰﾄ】支援課提出用!BI30</f>
        <v>0</v>
      </c>
      <c r="BJ30" s="267"/>
      <c r="BK30" s="267"/>
      <c r="BL30" s="267"/>
      <c r="BM30" s="268"/>
      <c r="BN30" s="266">
        <f>【入力ｼｰﾄ】支援課提出用!BN30</f>
        <v>0</v>
      </c>
      <c r="BO30" s="267"/>
      <c r="BP30" s="267"/>
      <c r="BQ30" s="267"/>
      <c r="BR30" s="268"/>
      <c r="BS30" s="266">
        <f>【入力ｼｰﾄ】支援課提出用!BS30</f>
        <v>0</v>
      </c>
      <c r="BT30" s="267"/>
      <c r="BU30" s="267"/>
      <c r="BV30" s="267"/>
      <c r="BW30" s="268"/>
      <c r="BX30" s="269">
        <f>【入力ｼｰﾄ】支援課提出用!BX30</f>
        <v>0</v>
      </c>
      <c r="BY30" s="269"/>
      <c r="BZ30" s="269"/>
      <c r="CA30" s="269"/>
    </row>
    <row r="31" spans="3:93" ht="25" customHeight="1" x14ac:dyDescent="0.2">
      <c r="C31" s="102"/>
      <c r="D31" s="102"/>
      <c r="E31" s="102"/>
      <c r="F31" s="102"/>
      <c r="G31" s="102"/>
      <c r="H31" s="102"/>
      <c r="I31" s="102"/>
      <c r="J31" s="102"/>
      <c r="AQ31" s="101"/>
      <c r="AR31" s="101"/>
      <c r="AS31" s="101"/>
      <c r="AT31" s="101"/>
    </row>
    <row r="32" spans="3:93" ht="25" customHeight="1" x14ac:dyDescent="0.15">
      <c r="AC32" s="103"/>
      <c r="AD32" s="103"/>
      <c r="AE32" s="103"/>
      <c r="AK32" s="103"/>
      <c r="AL32" s="103"/>
      <c r="AM32" s="103"/>
    </row>
    <row r="33" spans="7:39" ht="25" customHeight="1" x14ac:dyDescent="0.15">
      <c r="AC33" s="104"/>
      <c r="AD33" s="104"/>
      <c r="AE33" s="104"/>
      <c r="AK33" s="104"/>
      <c r="AL33" s="104"/>
      <c r="AM33" s="104"/>
    </row>
    <row r="34" spans="7:39" ht="25" customHeight="1" x14ac:dyDescent="0.15">
      <c r="AC34" s="105"/>
      <c r="AD34" s="105"/>
      <c r="AE34" s="105"/>
      <c r="AK34" s="105"/>
      <c r="AL34" s="105"/>
      <c r="AM34" s="105"/>
    </row>
    <row r="35" spans="7:39" ht="15" customHeight="1" x14ac:dyDescent="0.2"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AC35" s="105"/>
      <c r="AD35" s="105"/>
      <c r="AE35" s="105"/>
      <c r="AK35" s="105"/>
      <c r="AL35" s="105"/>
      <c r="AM35" s="105"/>
    </row>
    <row r="36" spans="7:39" ht="15" customHeight="1" x14ac:dyDescent="0.15">
      <c r="H36" s="49"/>
      <c r="N36" s="99"/>
    </row>
    <row r="37" spans="7:39" ht="15" customHeight="1" x14ac:dyDescent="0.15">
      <c r="H37" s="49"/>
      <c r="N37" s="99"/>
    </row>
    <row r="38" spans="7:39" ht="5.25" customHeight="1" x14ac:dyDescent="0.15"/>
  </sheetData>
  <sheetProtection sheet="1" selectLockedCells="1"/>
  <dataConsolidate/>
  <mergeCells count="172">
    <mergeCell ref="BZ1:CB1"/>
    <mergeCell ref="BU2:BV2"/>
    <mergeCell ref="BX2:BY2"/>
    <mergeCell ref="CA2:CB2"/>
    <mergeCell ref="A6:A12"/>
    <mergeCell ref="C6:F6"/>
    <mergeCell ref="G6:H7"/>
    <mergeCell ref="I6:K6"/>
    <mergeCell ref="L6:O6"/>
    <mergeCell ref="P6:Q6"/>
    <mergeCell ref="A1:H1"/>
    <mergeCell ref="AC1:BC2"/>
    <mergeCell ref="BR1:BX1"/>
    <mergeCell ref="C7:F7"/>
    <mergeCell ref="I7:K7"/>
    <mergeCell ref="L7:O7"/>
    <mergeCell ref="P7:Q7"/>
    <mergeCell ref="BC7:BD7"/>
    <mergeCell ref="BE7:CA7"/>
    <mergeCell ref="CG3:CI3"/>
    <mergeCell ref="CJ3:CL3"/>
    <mergeCell ref="BC5:BD5"/>
    <mergeCell ref="BE5:BZ5"/>
    <mergeCell ref="BC9:BD9"/>
    <mergeCell ref="BE9:BV9"/>
    <mergeCell ref="BX9:BY9"/>
    <mergeCell ref="C12:AP13"/>
    <mergeCell ref="AQ12:AX13"/>
    <mergeCell ref="AY12:BH14"/>
    <mergeCell ref="BI12:BW13"/>
    <mergeCell ref="BX12:CA14"/>
    <mergeCell ref="C8:F9"/>
    <mergeCell ref="G8:H9"/>
    <mergeCell ref="I8:K9"/>
    <mergeCell ref="L8:O9"/>
    <mergeCell ref="P8:Q9"/>
    <mergeCell ref="R8:AZ9"/>
    <mergeCell ref="CI13:CK14"/>
    <mergeCell ref="C14:D14"/>
    <mergeCell ref="E14:F14"/>
    <mergeCell ref="G14:AP14"/>
    <mergeCell ref="AQ14:AT14"/>
    <mergeCell ref="AU14:AV14"/>
    <mergeCell ref="AW14:AX14"/>
    <mergeCell ref="BI14:BM15"/>
    <mergeCell ref="BN14:BR15"/>
    <mergeCell ref="BS14:BW15"/>
    <mergeCell ref="C15:D15"/>
    <mergeCell ref="E15:AP15"/>
    <mergeCell ref="AY15:BH15"/>
    <mergeCell ref="BX15:CA15"/>
    <mergeCell ref="C16:H18"/>
    <mergeCell ref="I16:N18"/>
    <mergeCell ref="O16:Z16"/>
    <mergeCell ref="AA16:AD18"/>
    <mergeCell ref="AE16:AH18"/>
    <mergeCell ref="AI16:AL18"/>
    <mergeCell ref="BN16:BR16"/>
    <mergeCell ref="BS16:BW16"/>
    <mergeCell ref="BX16:CA16"/>
    <mergeCell ref="O17:T18"/>
    <mergeCell ref="U17:Z18"/>
    <mergeCell ref="AY17:BH17"/>
    <mergeCell ref="BI17:BM17"/>
    <mergeCell ref="BN17:BR17"/>
    <mergeCell ref="BS17:BW17"/>
    <mergeCell ref="BX17:CA17"/>
    <mergeCell ref="AM16:AO18"/>
    <mergeCell ref="AP16:AR18"/>
    <mergeCell ref="AS16:AU18"/>
    <mergeCell ref="AV16:AX18"/>
    <mergeCell ref="AY16:BH16"/>
    <mergeCell ref="BI16:BM16"/>
    <mergeCell ref="AY18:BH18"/>
    <mergeCell ref="BI18:BM18"/>
    <mergeCell ref="BN18:BR18"/>
    <mergeCell ref="BS18:BW18"/>
    <mergeCell ref="BX18:CA18"/>
    <mergeCell ref="C19:H19"/>
    <mergeCell ref="I19:N19"/>
    <mergeCell ref="O19:T19"/>
    <mergeCell ref="U19:Z19"/>
    <mergeCell ref="AA19:AD19"/>
    <mergeCell ref="AE19:AH19"/>
    <mergeCell ref="AI19:AL19"/>
    <mergeCell ref="BN19:BR19"/>
    <mergeCell ref="BS19:BW19"/>
    <mergeCell ref="BX19:CA19"/>
    <mergeCell ref="C20:AP22"/>
    <mergeCell ref="AQ20:AX20"/>
    <mergeCell ref="AY20:BH20"/>
    <mergeCell ref="BI20:BM20"/>
    <mergeCell ref="BN20:BR20"/>
    <mergeCell ref="BS20:BW20"/>
    <mergeCell ref="BX20:CA20"/>
    <mergeCell ref="AM19:AO19"/>
    <mergeCell ref="AP19:AR19"/>
    <mergeCell ref="AS19:AU19"/>
    <mergeCell ref="AV19:AX19"/>
    <mergeCell ref="AY19:BH19"/>
    <mergeCell ref="BI19:BM19"/>
    <mergeCell ref="C23:AP23"/>
    <mergeCell ref="AQ23:AR23"/>
    <mergeCell ref="AS23:AT23"/>
    <mergeCell ref="AU23:AV23"/>
    <mergeCell ref="AW23:AX23"/>
    <mergeCell ref="AY23:BH23"/>
    <mergeCell ref="BX21:CA21"/>
    <mergeCell ref="AQ22:AR22"/>
    <mergeCell ref="AS22:AT22"/>
    <mergeCell ref="AU22:AV22"/>
    <mergeCell ref="AW22:AX22"/>
    <mergeCell ref="AY22:BH22"/>
    <mergeCell ref="BI22:BM22"/>
    <mergeCell ref="BN22:BR22"/>
    <mergeCell ref="BS22:BW22"/>
    <mergeCell ref="BX22:CA22"/>
    <mergeCell ref="AQ21:AT21"/>
    <mergeCell ref="AU21:AX21"/>
    <mergeCell ref="AY21:BH21"/>
    <mergeCell ref="BI21:BM21"/>
    <mergeCell ref="BN21:BR21"/>
    <mergeCell ref="BS21:BW21"/>
    <mergeCell ref="BI23:BM23"/>
    <mergeCell ref="BN23:BR23"/>
    <mergeCell ref="BS23:BW23"/>
    <mergeCell ref="BX23:CA23"/>
    <mergeCell ref="AY24:BH24"/>
    <mergeCell ref="BI24:BM24"/>
    <mergeCell ref="BN24:BR24"/>
    <mergeCell ref="BS24:BW24"/>
    <mergeCell ref="BX24:CA24"/>
    <mergeCell ref="AY25:BH25"/>
    <mergeCell ref="BI25:BM25"/>
    <mergeCell ref="BN25:BR25"/>
    <mergeCell ref="BS25:BW25"/>
    <mergeCell ref="BX25:CA25"/>
    <mergeCell ref="AY26:BH26"/>
    <mergeCell ref="BI26:BM26"/>
    <mergeCell ref="BN26:BR26"/>
    <mergeCell ref="BS26:BW26"/>
    <mergeCell ref="BX26:CA26"/>
    <mergeCell ref="BS27:BW27"/>
    <mergeCell ref="BX27:CA27"/>
    <mergeCell ref="C28:J30"/>
    <mergeCell ref="N28:R28"/>
    <mergeCell ref="U28:Y28"/>
    <mergeCell ref="AB28:AF28"/>
    <mergeCell ref="AY28:BH28"/>
    <mergeCell ref="BI28:BM28"/>
    <mergeCell ref="BN28:BR28"/>
    <mergeCell ref="BS28:BW28"/>
    <mergeCell ref="N27:R27"/>
    <mergeCell ref="U27:Y27"/>
    <mergeCell ref="AB27:AF27"/>
    <mergeCell ref="AY27:BH27"/>
    <mergeCell ref="BI27:BM27"/>
    <mergeCell ref="BN27:BR27"/>
    <mergeCell ref="BI30:BM30"/>
    <mergeCell ref="BN30:BR30"/>
    <mergeCell ref="BS30:BW30"/>
    <mergeCell ref="BX30:CA30"/>
    <mergeCell ref="BX28:CA28"/>
    <mergeCell ref="N29:R30"/>
    <mergeCell ref="U29:Y30"/>
    <mergeCell ref="AB29:AF30"/>
    <mergeCell ref="AY29:BH29"/>
    <mergeCell ref="BI29:BM29"/>
    <mergeCell ref="BN29:BR29"/>
    <mergeCell ref="BS29:BW29"/>
    <mergeCell ref="BX29:CA29"/>
    <mergeCell ref="AY30:BH30"/>
  </mergeCells>
  <phoneticPr fontId="2"/>
  <conditionalFormatting sqref="E14:F14">
    <cfRule type="cellIs" dxfId="2" priority="2" operator="equal">
      <formula>0</formula>
    </cfRule>
  </conditionalFormatting>
  <conditionalFormatting sqref="AQ23:AR23 AU23:AV23">
    <cfRule type="cellIs" dxfId="1" priority="1" operator="equal">
      <formula>0</formula>
    </cfRule>
  </conditionalFormatting>
  <conditionalFormatting sqref="BI16:CA30">
    <cfRule type="cellIs" dxfId="0" priority="3" operator="equal">
      <formula>0</formula>
    </cfRule>
  </conditionalFormatting>
  <dataValidations count="5">
    <dataValidation allowBlank="1" showInputMessage="1" showErrorMessage="1" prompt="「基準金利ー利子補給率」の数値が入る" sqref="BX15" xr:uid="{9384482A-1441-4055-A71E-E3E27F2B1E78}"/>
    <dataValidation type="whole" errorStyle="warning" allowBlank="1" showInputMessage="1" showErrorMessage="1" prompt="西暦で入力してください。_x000a_また、年ではなく年度です。誤りにご注意ください。_x000a_例：2021年3月　→　2020年度のため2020と入力。" sqref="L8" xr:uid="{DDEEBBB3-CBD6-41BE-912D-8854FE11D1A2}">
      <formula1>2020</formula1>
      <formula2>2050</formula2>
    </dataValidation>
    <dataValidation allowBlank="1" showInputMessage="1" showErrorMessage="1" prompt="コード表シートを参考に入力してください。" sqref="C8:F9 AM19 AP19 AS19" xr:uid="{8B040083-AA45-4DE5-991C-B800462702AF}"/>
    <dataValidation type="list" errorStyle="warning" allowBlank="1" showInputMessage="1" showErrorMessage="1" sqref="P8:Q9" xr:uid="{0E449902-00D6-49ED-9703-47C96E4A94FB}">
      <formula1>"５,７,９,１１,１,３"</formula1>
    </dataValidation>
    <dataValidation type="list" errorStyle="warning" allowBlank="1" showInputMessage="1" showErrorMessage="1" sqref="G8:H9" xr:uid="{DFDE4778-36D3-4E05-8338-2B0FAB655391}">
      <formula1>"01　さいたま,02　川越,03　東松山,04　秩父,05　本庄,06　大里,07　加須,08　春日部"</formula1>
    </dataValidation>
  </dataValidations>
  <printOptions horizontalCentered="1" verticalCentered="1"/>
  <pageMargins left="0.25" right="0.25" top="0.75" bottom="0.75" header="0.3" footer="0.3"/>
  <pageSetup paperSize="9" scale="7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xr:uid="{FF3EE86F-198E-4FC0-BB9D-D255385A2C4C}">
          <x14:formula1>
            <xm:f>ｺｰﾄﾞ表!$H$2:$H$65</xm:f>
          </x14:formula1>
          <xm:sqref>I8:K9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Y498"/>
  <sheetViews>
    <sheetView workbookViewId="0">
      <selection activeCell="H8" sqref="H8"/>
    </sheetView>
  </sheetViews>
  <sheetFormatPr defaultColWidth="9" defaultRowHeight="13" x14ac:dyDescent="0.2"/>
  <cols>
    <col min="1" max="5" width="9" style="84"/>
    <col min="6" max="6" width="7.36328125" style="84" customWidth="1"/>
    <col min="7" max="9" width="9" style="84"/>
    <col min="10" max="10" width="9" style="95"/>
    <col min="11" max="12" width="9" style="84"/>
    <col min="13" max="13" width="5.08984375" style="84" customWidth="1"/>
    <col min="14" max="21" width="9" style="84"/>
    <col min="22" max="22" width="21" style="85" customWidth="1"/>
    <col min="23" max="16384" width="9" style="84"/>
  </cols>
  <sheetData>
    <row r="1" spans="1:25" s="92" customFormat="1" ht="13.5" thickBot="1" x14ac:dyDescent="0.25">
      <c r="A1" s="327" t="s">
        <v>520</v>
      </c>
      <c r="B1" s="329"/>
      <c r="E1" s="327" t="s">
        <v>522</v>
      </c>
      <c r="F1" s="329"/>
      <c r="H1" s="93" t="s">
        <v>531</v>
      </c>
      <c r="J1" s="93" t="s">
        <v>532</v>
      </c>
      <c r="N1" s="93" t="s">
        <v>533</v>
      </c>
      <c r="Q1" s="93" t="s">
        <v>764</v>
      </c>
      <c r="U1" s="327" t="s">
        <v>648</v>
      </c>
      <c r="V1" s="328"/>
      <c r="W1" s="329"/>
      <c r="Y1" s="93" t="s">
        <v>554</v>
      </c>
    </row>
    <row r="2" spans="1:25" ht="13.75" customHeight="1" x14ac:dyDescent="0.2">
      <c r="A2" s="45" t="s">
        <v>559</v>
      </c>
      <c r="J2" s="84"/>
      <c r="V2" s="92"/>
      <c r="W2" s="92"/>
    </row>
    <row r="3" spans="1:25" ht="13.75" customHeight="1" x14ac:dyDescent="0.2">
      <c r="A3" s="45" t="s">
        <v>521</v>
      </c>
      <c r="E3" s="84" t="s">
        <v>523</v>
      </c>
      <c r="H3" s="84" t="s">
        <v>688</v>
      </c>
      <c r="J3" s="84" t="s">
        <v>699</v>
      </c>
      <c r="N3" s="84" t="s">
        <v>765</v>
      </c>
      <c r="Q3" s="84" t="s">
        <v>539</v>
      </c>
      <c r="U3" s="84" t="s">
        <v>649</v>
      </c>
      <c r="V3" s="85" t="s">
        <v>658</v>
      </c>
      <c r="W3" s="84">
        <v>100</v>
      </c>
      <c r="Y3" s="84" t="s">
        <v>560</v>
      </c>
    </row>
    <row r="4" spans="1:25" ht="13.75" customHeight="1" x14ac:dyDescent="0.2">
      <c r="A4" s="94" t="s">
        <v>556</v>
      </c>
      <c r="E4" s="84" t="s">
        <v>524</v>
      </c>
      <c r="H4" s="84" t="s">
        <v>689</v>
      </c>
      <c r="J4" s="84" t="s">
        <v>698</v>
      </c>
      <c r="N4" s="84" t="s">
        <v>769</v>
      </c>
      <c r="Q4" s="84" t="s">
        <v>540</v>
      </c>
      <c r="V4" s="85" t="s">
        <v>562</v>
      </c>
      <c r="W4" s="84">
        <v>101</v>
      </c>
      <c r="Y4" s="84" t="s">
        <v>561</v>
      </c>
    </row>
    <row r="5" spans="1:25" ht="13.75" customHeight="1" x14ac:dyDescent="0.2">
      <c r="A5" s="45" t="s">
        <v>558</v>
      </c>
      <c r="E5" s="84" t="s">
        <v>525</v>
      </c>
      <c r="H5" s="84" t="s">
        <v>690</v>
      </c>
      <c r="J5" s="84" t="s">
        <v>700</v>
      </c>
      <c r="N5" s="84" t="s">
        <v>534</v>
      </c>
      <c r="Q5" s="84" t="s">
        <v>664</v>
      </c>
      <c r="V5" s="85" t="s">
        <v>563</v>
      </c>
      <c r="W5" s="84">
        <v>102</v>
      </c>
    </row>
    <row r="6" spans="1:25" ht="13.75" customHeight="1" x14ac:dyDescent="0.2">
      <c r="A6" s="45" t="s">
        <v>557</v>
      </c>
      <c r="E6" s="84" t="s">
        <v>526</v>
      </c>
      <c r="H6" s="84" t="s">
        <v>691</v>
      </c>
      <c r="J6" s="84" t="s">
        <v>695</v>
      </c>
      <c r="N6" s="84" t="s">
        <v>535</v>
      </c>
      <c r="Q6" s="84" t="s">
        <v>665</v>
      </c>
      <c r="V6" s="85" t="s">
        <v>564</v>
      </c>
      <c r="W6" s="84">
        <v>103</v>
      </c>
    </row>
    <row r="7" spans="1:25" ht="13.75" customHeight="1" x14ac:dyDescent="0.2">
      <c r="E7" s="84" t="s">
        <v>527</v>
      </c>
      <c r="H7" s="84" t="s">
        <v>692</v>
      </c>
      <c r="J7" s="84" t="s">
        <v>696</v>
      </c>
      <c r="N7" s="84" t="s">
        <v>536</v>
      </c>
      <c r="Q7" s="84" t="s">
        <v>541</v>
      </c>
      <c r="V7" s="85" t="s">
        <v>659</v>
      </c>
      <c r="W7" s="84">
        <v>104</v>
      </c>
    </row>
    <row r="8" spans="1:25" x14ac:dyDescent="0.2">
      <c r="A8" s="83" t="s">
        <v>442</v>
      </c>
      <c r="E8" s="84" t="s">
        <v>528</v>
      </c>
      <c r="H8" s="84" t="s">
        <v>693</v>
      </c>
      <c r="J8" s="84" t="s">
        <v>697</v>
      </c>
      <c r="N8" s="84" t="s">
        <v>537</v>
      </c>
      <c r="Q8" s="84" t="s">
        <v>542</v>
      </c>
      <c r="V8" s="85" t="s">
        <v>565</v>
      </c>
      <c r="W8" s="84">
        <v>105</v>
      </c>
    </row>
    <row r="9" spans="1:25" x14ac:dyDescent="0.2">
      <c r="A9" s="83" t="s">
        <v>443</v>
      </c>
      <c r="E9" s="84" t="s">
        <v>529</v>
      </c>
      <c r="H9" s="84" t="s">
        <v>694</v>
      </c>
      <c r="J9" s="84" t="s">
        <v>701</v>
      </c>
      <c r="N9" s="84" t="s">
        <v>538</v>
      </c>
      <c r="V9" s="85" t="s">
        <v>566</v>
      </c>
      <c r="W9" s="84">
        <v>106</v>
      </c>
    </row>
    <row r="10" spans="1:25" x14ac:dyDescent="0.2">
      <c r="A10" s="83" t="s">
        <v>444</v>
      </c>
      <c r="E10" s="84" t="s">
        <v>530</v>
      </c>
      <c r="H10" s="84" t="s">
        <v>708</v>
      </c>
      <c r="J10" s="84" t="s">
        <v>702</v>
      </c>
      <c r="N10" s="84" t="s">
        <v>766</v>
      </c>
      <c r="V10" s="85" t="s">
        <v>567</v>
      </c>
      <c r="W10" s="84">
        <v>107</v>
      </c>
    </row>
    <row r="11" spans="1:25" x14ac:dyDescent="0.2">
      <c r="A11" s="83" t="s">
        <v>445</v>
      </c>
      <c r="H11" s="84" t="s">
        <v>709</v>
      </c>
      <c r="J11" s="84" t="s">
        <v>703</v>
      </c>
      <c r="N11" s="84" t="s">
        <v>767</v>
      </c>
      <c r="V11" s="85" t="s">
        <v>568</v>
      </c>
      <c r="W11" s="84">
        <v>108</v>
      </c>
    </row>
    <row r="12" spans="1:25" x14ac:dyDescent="0.2">
      <c r="A12" s="83" t="s">
        <v>446</v>
      </c>
      <c r="H12" s="84" t="s">
        <v>710</v>
      </c>
      <c r="J12" s="84" t="s">
        <v>704</v>
      </c>
      <c r="N12" s="84" t="s">
        <v>768</v>
      </c>
      <c r="V12" s="85" t="s">
        <v>569</v>
      </c>
      <c r="W12" s="84">
        <v>109</v>
      </c>
    </row>
    <row r="13" spans="1:25" x14ac:dyDescent="0.2">
      <c r="A13" s="83" t="s">
        <v>447</v>
      </c>
      <c r="H13" s="84" t="s">
        <v>711</v>
      </c>
      <c r="J13" s="84" t="s">
        <v>705</v>
      </c>
      <c r="V13" s="85" t="s">
        <v>570</v>
      </c>
      <c r="W13" s="84">
        <v>110</v>
      </c>
    </row>
    <row r="14" spans="1:25" x14ac:dyDescent="0.2">
      <c r="A14" s="83" t="s">
        <v>448</v>
      </c>
      <c r="H14" s="84" t="s">
        <v>712</v>
      </c>
      <c r="J14" s="84" t="s">
        <v>706</v>
      </c>
      <c r="V14" s="85" t="s">
        <v>571</v>
      </c>
      <c r="W14" s="84">
        <v>111</v>
      </c>
    </row>
    <row r="15" spans="1:25" x14ac:dyDescent="0.2">
      <c r="A15" s="83" t="s">
        <v>449</v>
      </c>
      <c r="H15" s="84" t="s">
        <v>713</v>
      </c>
      <c r="J15" s="84" t="s">
        <v>707</v>
      </c>
      <c r="V15" s="85" t="s">
        <v>572</v>
      </c>
      <c r="W15" s="84">
        <v>112</v>
      </c>
    </row>
    <row r="16" spans="1:25" x14ac:dyDescent="0.2">
      <c r="A16" s="83" t="s">
        <v>450</v>
      </c>
      <c r="H16" s="84" t="s">
        <v>714</v>
      </c>
      <c r="V16" s="85" t="s">
        <v>573</v>
      </c>
      <c r="W16" s="84">
        <v>113</v>
      </c>
    </row>
    <row r="17" spans="1:23" x14ac:dyDescent="0.2">
      <c r="A17" s="83" t="s">
        <v>451</v>
      </c>
      <c r="H17" s="84" t="s">
        <v>715</v>
      </c>
      <c r="V17" s="85" t="s">
        <v>574</v>
      </c>
      <c r="W17" s="84">
        <v>114</v>
      </c>
    </row>
    <row r="18" spans="1:23" x14ac:dyDescent="0.2">
      <c r="A18" s="83" t="s">
        <v>452</v>
      </c>
      <c r="H18" s="84" t="s">
        <v>716</v>
      </c>
      <c r="V18" s="85" t="s">
        <v>575</v>
      </c>
      <c r="W18" s="84">
        <v>115</v>
      </c>
    </row>
    <row r="19" spans="1:23" x14ac:dyDescent="0.2">
      <c r="A19" s="83" t="s">
        <v>453</v>
      </c>
      <c r="H19" s="84" t="s">
        <v>717</v>
      </c>
      <c r="V19" s="85" t="s">
        <v>576</v>
      </c>
      <c r="W19" s="84">
        <v>116</v>
      </c>
    </row>
    <row r="20" spans="1:23" x14ac:dyDescent="0.2">
      <c r="A20" s="83" t="s">
        <v>454</v>
      </c>
      <c r="H20" s="84" t="s">
        <v>718</v>
      </c>
      <c r="V20" s="85" t="s">
        <v>577</v>
      </c>
      <c r="W20" s="84">
        <v>117</v>
      </c>
    </row>
    <row r="21" spans="1:23" x14ac:dyDescent="0.2">
      <c r="A21" s="83" t="s">
        <v>455</v>
      </c>
      <c r="H21" s="84" t="s">
        <v>719</v>
      </c>
      <c r="V21" s="85" t="s">
        <v>578</v>
      </c>
      <c r="W21" s="84">
        <v>118</v>
      </c>
    </row>
    <row r="22" spans="1:23" x14ac:dyDescent="0.2">
      <c r="A22" s="83" t="s">
        <v>456</v>
      </c>
      <c r="H22" s="84" t="s">
        <v>720</v>
      </c>
      <c r="V22" s="85" t="s">
        <v>579</v>
      </c>
      <c r="W22" s="84">
        <v>119</v>
      </c>
    </row>
    <row r="23" spans="1:23" x14ac:dyDescent="0.2">
      <c r="A23" s="83" t="s">
        <v>457</v>
      </c>
      <c r="H23" s="84" t="s">
        <v>721</v>
      </c>
      <c r="V23" s="85" t="s">
        <v>580</v>
      </c>
      <c r="W23" s="84">
        <v>120</v>
      </c>
    </row>
    <row r="24" spans="1:23" x14ac:dyDescent="0.2">
      <c r="A24" s="83" t="s">
        <v>458</v>
      </c>
      <c r="H24" s="84" t="s">
        <v>722</v>
      </c>
      <c r="V24" s="85" t="s">
        <v>581</v>
      </c>
      <c r="W24" s="84">
        <v>121</v>
      </c>
    </row>
    <row r="25" spans="1:23" x14ac:dyDescent="0.2">
      <c r="A25" s="83" t="s">
        <v>459</v>
      </c>
      <c r="H25" s="84" t="s">
        <v>723</v>
      </c>
      <c r="V25" s="85" t="s">
        <v>582</v>
      </c>
      <c r="W25" s="84">
        <v>122</v>
      </c>
    </row>
    <row r="26" spans="1:23" x14ac:dyDescent="0.2">
      <c r="A26" s="83" t="s">
        <v>460</v>
      </c>
      <c r="H26" s="84" t="s">
        <v>724</v>
      </c>
      <c r="V26" s="85" t="s">
        <v>583</v>
      </c>
      <c r="W26" s="84">
        <v>123</v>
      </c>
    </row>
    <row r="27" spans="1:23" x14ac:dyDescent="0.2">
      <c r="A27" s="83" t="s">
        <v>461</v>
      </c>
      <c r="H27" s="84" t="s">
        <v>725</v>
      </c>
      <c r="V27" s="85" t="s">
        <v>584</v>
      </c>
      <c r="W27" s="84">
        <v>124</v>
      </c>
    </row>
    <row r="28" spans="1:23" x14ac:dyDescent="0.2">
      <c r="A28" s="83" t="s">
        <v>462</v>
      </c>
      <c r="H28" s="84" t="s">
        <v>726</v>
      </c>
      <c r="V28" s="85" t="s">
        <v>585</v>
      </c>
      <c r="W28" s="84">
        <v>125</v>
      </c>
    </row>
    <row r="29" spans="1:23" x14ac:dyDescent="0.2">
      <c r="A29" s="83" t="s">
        <v>463</v>
      </c>
      <c r="H29" s="84" t="s">
        <v>728</v>
      </c>
      <c r="V29" s="85" t="s">
        <v>586</v>
      </c>
      <c r="W29" s="84">
        <v>126</v>
      </c>
    </row>
    <row r="30" spans="1:23" x14ac:dyDescent="0.2">
      <c r="A30" s="83" t="s">
        <v>464</v>
      </c>
      <c r="H30" s="84" t="s">
        <v>727</v>
      </c>
      <c r="V30" s="85" t="s">
        <v>587</v>
      </c>
      <c r="W30" s="84">
        <v>127</v>
      </c>
    </row>
    <row r="31" spans="1:23" x14ac:dyDescent="0.2">
      <c r="A31" s="83" t="s">
        <v>465</v>
      </c>
      <c r="H31" s="84" t="s">
        <v>729</v>
      </c>
      <c r="V31" s="85" t="s">
        <v>588</v>
      </c>
      <c r="W31" s="84">
        <v>128</v>
      </c>
    </row>
    <row r="32" spans="1:23" x14ac:dyDescent="0.2">
      <c r="A32" s="83" t="s">
        <v>466</v>
      </c>
      <c r="H32" s="84" t="s">
        <v>730</v>
      </c>
      <c r="V32" s="85" t="s">
        <v>589</v>
      </c>
      <c r="W32" s="84">
        <v>129</v>
      </c>
    </row>
    <row r="33" spans="1:23" ht="14.25" customHeight="1" x14ac:dyDescent="0.2">
      <c r="A33" s="83" t="s">
        <v>467</v>
      </c>
      <c r="H33" s="84" t="s">
        <v>731</v>
      </c>
      <c r="V33" s="85" t="s">
        <v>673</v>
      </c>
      <c r="W33" s="84">
        <v>130</v>
      </c>
    </row>
    <row r="34" spans="1:23" x14ac:dyDescent="0.2">
      <c r="A34" s="83" t="s">
        <v>468</v>
      </c>
      <c r="H34" s="84" t="s">
        <v>732</v>
      </c>
      <c r="V34" s="85" t="s">
        <v>674</v>
      </c>
      <c r="W34" s="84">
        <v>131</v>
      </c>
    </row>
    <row r="35" spans="1:23" x14ac:dyDescent="0.2">
      <c r="A35" s="83" t="s">
        <v>469</v>
      </c>
      <c r="H35" s="84" t="s">
        <v>733</v>
      </c>
      <c r="V35" s="85" t="s">
        <v>675</v>
      </c>
      <c r="W35" s="84">
        <v>132</v>
      </c>
    </row>
    <row r="36" spans="1:23" x14ac:dyDescent="0.2">
      <c r="A36" s="83" t="s">
        <v>470</v>
      </c>
      <c r="H36" s="84" t="s">
        <v>734</v>
      </c>
      <c r="U36" s="84" t="s">
        <v>650</v>
      </c>
      <c r="V36" s="85" t="s">
        <v>590</v>
      </c>
      <c r="W36" s="84">
        <v>200</v>
      </c>
    </row>
    <row r="37" spans="1:23" x14ac:dyDescent="0.2">
      <c r="A37" s="83" t="s">
        <v>471</v>
      </c>
      <c r="H37" s="84" t="s">
        <v>735</v>
      </c>
      <c r="V37" s="85" t="s">
        <v>591</v>
      </c>
      <c r="W37" s="84">
        <v>201</v>
      </c>
    </row>
    <row r="38" spans="1:23" x14ac:dyDescent="0.2">
      <c r="A38" s="83" t="s">
        <v>472</v>
      </c>
      <c r="H38" s="84" t="s">
        <v>736</v>
      </c>
      <c r="V38" s="85" t="s">
        <v>592</v>
      </c>
      <c r="W38" s="84">
        <v>202</v>
      </c>
    </row>
    <row r="39" spans="1:23" x14ac:dyDescent="0.2">
      <c r="A39" s="83" t="s">
        <v>473</v>
      </c>
      <c r="H39" s="84" t="s">
        <v>737</v>
      </c>
      <c r="V39" s="85" t="s">
        <v>593</v>
      </c>
      <c r="W39" s="84">
        <v>203</v>
      </c>
    </row>
    <row r="40" spans="1:23" x14ac:dyDescent="0.2">
      <c r="A40" s="83" t="s">
        <v>474</v>
      </c>
      <c r="H40" s="84" t="s">
        <v>738</v>
      </c>
      <c r="V40" s="85" t="s">
        <v>594</v>
      </c>
      <c r="W40" s="84">
        <v>204</v>
      </c>
    </row>
    <row r="41" spans="1:23" x14ac:dyDescent="0.2">
      <c r="A41" s="83" t="s">
        <v>475</v>
      </c>
      <c r="H41" s="84" t="s">
        <v>739</v>
      </c>
      <c r="V41" s="85" t="s">
        <v>595</v>
      </c>
      <c r="W41" s="84">
        <v>205</v>
      </c>
    </row>
    <row r="42" spans="1:23" x14ac:dyDescent="0.2">
      <c r="A42" s="83" t="s">
        <v>476</v>
      </c>
      <c r="H42" s="84" t="s">
        <v>740</v>
      </c>
      <c r="V42" s="85" t="s">
        <v>596</v>
      </c>
      <c r="W42" s="84">
        <v>206</v>
      </c>
    </row>
    <row r="43" spans="1:23" x14ac:dyDescent="0.2">
      <c r="A43" s="83" t="s">
        <v>477</v>
      </c>
      <c r="H43" s="84" t="s">
        <v>741</v>
      </c>
      <c r="V43" s="85" t="s">
        <v>597</v>
      </c>
      <c r="W43" s="84">
        <v>207</v>
      </c>
    </row>
    <row r="44" spans="1:23" x14ac:dyDescent="0.2">
      <c r="A44" s="83" t="s">
        <v>478</v>
      </c>
      <c r="H44" s="84" t="s">
        <v>742</v>
      </c>
      <c r="V44" s="85" t="s">
        <v>598</v>
      </c>
      <c r="W44" s="84">
        <v>208</v>
      </c>
    </row>
    <row r="45" spans="1:23" x14ac:dyDescent="0.2">
      <c r="A45" s="83" t="s">
        <v>479</v>
      </c>
      <c r="H45" s="84" t="s">
        <v>743</v>
      </c>
      <c r="V45" s="85" t="s">
        <v>599</v>
      </c>
      <c r="W45" s="84">
        <v>209</v>
      </c>
    </row>
    <row r="46" spans="1:23" x14ac:dyDescent="0.2">
      <c r="A46" s="83" t="s">
        <v>480</v>
      </c>
      <c r="H46" s="84" t="s">
        <v>744</v>
      </c>
      <c r="V46" s="85" t="s">
        <v>600</v>
      </c>
      <c r="W46" s="84">
        <v>210</v>
      </c>
    </row>
    <row r="47" spans="1:23" x14ac:dyDescent="0.2">
      <c r="A47" s="83" t="s">
        <v>481</v>
      </c>
      <c r="H47" s="84" t="s">
        <v>745</v>
      </c>
      <c r="V47" s="85" t="s">
        <v>601</v>
      </c>
      <c r="W47" s="84">
        <v>211</v>
      </c>
    </row>
    <row r="48" spans="1:23" x14ac:dyDescent="0.2">
      <c r="A48" s="83" t="s">
        <v>482</v>
      </c>
      <c r="H48" s="84" t="s">
        <v>747</v>
      </c>
      <c r="V48" s="85" t="s">
        <v>602</v>
      </c>
      <c r="W48" s="84">
        <v>212</v>
      </c>
    </row>
    <row r="49" spans="1:23" x14ac:dyDescent="0.2">
      <c r="A49" s="83" t="s">
        <v>483</v>
      </c>
      <c r="H49" s="84" t="s">
        <v>748</v>
      </c>
      <c r="V49" s="85" t="s">
        <v>603</v>
      </c>
      <c r="W49" s="84">
        <v>213</v>
      </c>
    </row>
    <row r="50" spans="1:23" x14ac:dyDescent="0.2">
      <c r="A50" s="83" t="s">
        <v>484</v>
      </c>
      <c r="H50" s="84" t="s">
        <v>746</v>
      </c>
      <c r="V50" s="85" t="s">
        <v>676</v>
      </c>
      <c r="W50" s="84">
        <v>214</v>
      </c>
    </row>
    <row r="51" spans="1:23" x14ac:dyDescent="0.2">
      <c r="A51" s="83" t="s">
        <v>485</v>
      </c>
      <c r="H51" s="84" t="s">
        <v>749</v>
      </c>
      <c r="V51" s="85" t="s">
        <v>677</v>
      </c>
      <c r="W51" s="84">
        <v>215</v>
      </c>
    </row>
    <row r="52" spans="1:23" x14ac:dyDescent="0.2">
      <c r="A52" s="83" t="s">
        <v>486</v>
      </c>
      <c r="H52" s="84" t="s">
        <v>750</v>
      </c>
      <c r="U52" s="84" t="s">
        <v>651</v>
      </c>
      <c r="V52" s="85" t="s">
        <v>604</v>
      </c>
      <c r="W52" s="84">
        <v>300</v>
      </c>
    </row>
    <row r="53" spans="1:23" x14ac:dyDescent="0.2">
      <c r="A53" s="83" t="s">
        <v>487</v>
      </c>
      <c r="H53" s="84" t="s">
        <v>751</v>
      </c>
      <c r="V53" s="85" t="s">
        <v>605</v>
      </c>
      <c r="W53" s="84">
        <v>301</v>
      </c>
    </row>
    <row r="54" spans="1:23" x14ac:dyDescent="0.2">
      <c r="A54" s="83" t="s">
        <v>488</v>
      </c>
      <c r="H54" s="84" t="s">
        <v>752</v>
      </c>
      <c r="V54" s="85" t="s">
        <v>606</v>
      </c>
      <c r="W54" s="84">
        <v>302</v>
      </c>
    </row>
    <row r="55" spans="1:23" x14ac:dyDescent="0.2">
      <c r="A55" s="83" t="s">
        <v>489</v>
      </c>
      <c r="H55" s="84" t="s">
        <v>753</v>
      </c>
      <c r="V55" s="85" t="s">
        <v>607</v>
      </c>
      <c r="W55" s="84">
        <v>303</v>
      </c>
    </row>
    <row r="56" spans="1:23" x14ac:dyDescent="0.2">
      <c r="A56" s="83" t="s">
        <v>490</v>
      </c>
      <c r="H56" s="84" t="s">
        <v>754</v>
      </c>
      <c r="V56" s="85" t="s">
        <v>608</v>
      </c>
      <c r="W56" s="84">
        <v>304</v>
      </c>
    </row>
    <row r="57" spans="1:23" x14ac:dyDescent="0.2">
      <c r="A57" s="83" t="s">
        <v>491</v>
      </c>
      <c r="H57" s="84" t="s">
        <v>755</v>
      </c>
      <c r="V57" s="85" t="s">
        <v>609</v>
      </c>
      <c r="W57" s="84">
        <v>305</v>
      </c>
    </row>
    <row r="58" spans="1:23" x14ac:dyDescent="0.2">
      <c r="A58" s="83" t="s">
        <v>492</v>
      </c>
      <c r="H58" s="84" t="s">
        <v>756</v>
      </c>
      <c r="V58" s="85" t="s">
        <v>610</v>
      </c>
      <c r="W58" s="84">
        <v>306</v>
      </c>
    </row>
    <row r="59" spans="1:23" x14ac:dyDescent="0.2">
      <c r="A59" s="83" t="s">
        <v>493</v>
      </c>
      <c r="H59" s="84" t="s">
        <v>757</v>
      </c>
      <c r="V59" s="85" t="s">
        <v>611</v>
      </c>
      <c r="W59" s="84">
        <v>307</v>
      </c>
    </row>
    <row r="60" spans="1:23" x14ac:dyDescent="0.2">
      <c r="A60" s="83" t="s">
        <v>494</v>
      </c>
      <c r="H60" s="84" t="s">
        <v>758</v>
      </c>
      <c r="V60" s="85" t="s">
        <v>612</v>
      </c>
      <c r="W60" s="84">
        <v>308</v>
      </c>
    </row>
    <row r="61" spans="1:23" x14ac:dyDescent="0.2">
      <c r="A61" s="83" t="s">
        <v>770</v>
      </c>
      <c r="H61" s="84" t="s">
        <v>759</v>
      </c>
      <c r="U61" s="84" t="s">
        <v>652</v>
      </c>
      <c r="V61" s="85" t="s">
        <v>613</v>
      </c>
      <c r="W61" s="84">
        <v>400</v>
      </c>
    </row>
    <row r="62" spans="1:23" x14ac:dyDescent="0.2">
      <c r="A62" s="83" t="s">
        <v>495</v>
      </c>
      <c r="H62" s="84" t="s">
        <v>760</v>
      </c>
      <c r="V62" s="85" t="s">
        <v>614</v>
      </c>
      <c r="W62" s="84">
        <v>401</v>
      </c>
    </row>
    <row r="63" spans="1:23" x14ac:dyDescent="0.2">
      <c r="A63" s="83" t="s">
        <v>496</v>
      </c>
      <c r="H63" s="84" t="s">
        <v>761</v>
      </c>
      <c r="V63" s="85" t="s">
        <v>615</v>
      </c>
      <c r="W63" s="84">
        <v>402</v>
      </c>
    </row>
    <row r="64" spans="1:23" x14ac:dyDescent="0.2">
      <c r="A64" s="83" t="s">
        <v>497</v>
      </c>
      <c r="H64" s="84" t="s">
        <v>762</v>
      </c>
      <c r="V64" s="85" t="s">
        <v>616</v>
      </c>
      <c r="W64" s="84">
        <v>403</v>
      </c>
    </row>
    <row r="65" spans="1:23" x14ac:dyDescent="0.2">
      <c r="A65" s="83" t="s">
        <v>498</v>
      </c>
      <c r="H65" s="84" t="s">
        <v>763</v>
      </c>
      <c r="V65" s="85" t="s">
        <v>617</v>
      </c>
      <c r="W65" s="84">
        <v>404</v>
      </c>
    </row>
    <row r="66" spans="1:23" x14ac:dyDescent="0.2">
      <c r="A66" s="83" t="s">
        <v>499</v>
      </c>
      <c r="V66" s="85" t="s">
        <v>618</v>
      </c>
      <c r="W66" s="84">
        <v>405</v>
      </c>
    </row>
    <row r="67" spans="1:23" x14ac:dyDescent="0.2">
      <c r="A67" s="83" t="s">
        <v>500</v>
      </c>
      <c r="V67" s="85" t="s">
        <v>619</v>
      </c>
      <c r="W67" s="84">
        <v>406</v>
      </c>
    </row>
    <row r="68" spans="1:23" x14ac:dyDescent="0.2">
      <c r="A68" s="83" t="s">
        <v>501</v>
      </c>
      <c r="V68" s="85" t="s">
        <v>620</v>
      </c>
      <c r="W68" s="84">
        <v>407</v>
      </c>
    </row>
    <row r="69" spans="1:23" x14ac:dyDescent="0.2">
      <c r="A69" s="83" t="s">
        <v>502</v>
      </c>
      <c r="V69" s="85" t="s">
        <v>621</v>
      </c>
      <c r="W69" s="84">
        <v>408</v>
      </c>
    </row>
    <row r="70" spans="1:23" x14ac:dyDescent="0.2">
      <c r="A70" s="83" t="s">
        <v>503</v>
      </c>
      <c r="V70" s="85" t="s">
        <v>622</v>
      </c>
      <c r="W70" s="84">
        <v>409</v>
      </c>
    </row>
    <row r="71" spans="1:23" x14ac:dyDescent="0.2">
      <c r="A71" s="83" t="s">
        <v>504</v>
      </c>
      <c r="V71" s="85" t="s">
        <v>623</v>
      </c>
      <c r="W71" s="84">
        <v>410</v>
      </c>
    </row>
    <row r="72" spans="1:23" ht="14.25" customHeight="1" x14ac:dyDescent="0.2">
      <c r="A72" s="83" t="s">
        <v>505</v>
      </c>
      <c r="U72" s="84" t="s">
        <v>653</v>
      </c>
      <c r="V72" s="85" t="s">
        <v>624</v>
      </c>
      <c r="W72" s="84">
        <v>500</v>
      </c>
    </row>
    <row r="73" spans="1:23" x14ac:dyDescent="0.2">
      <c r="A73" s="83" t="s">
        <v>506</v>
      </c>
      <c r="U73" s="84" t="s">
        <v>654</v>
      </c>
      <c r="V73" s="85" t="s">
        <v>625</v>
      </c>
      <c r="W73" s="84">
        <v>600</v>
      </c>
    </row>
    <row r="74" spans="1:23" x14ac:dyDescent="0.2">
      <c r="A74" s="83" t="s">
        <v>507</v>
      </c>
      <c r="V74" s="85" t="s">
        <v>626</v>
      </c>
      <c r="W74" s="84">
        <v>601</v>
      </c>
    </row>
    <row r="75" spans="1:23" x14ac:dyDescent="0.2">
      <c r="A75" s="83" t="s">
        <v>508</v>
      </c>
      <c r="V75" s="85" t="s">
        <v>627</v>
      </c>
      <c r="W75" s="84">
        <v>602</v>
      </c>
    </row>
    <row r="76" spans="1:23" x14ac:dyDescent="0.2">
      <c r="A76" s="83" t="s">
        <v>509</v>
      </c>
      <c r="V76" s="85" t="s">
        <v>628</v>
      </c>
      <c r="W76" s="84">
        <v>603</v>
      </c>
    </row>
    <row r="77" spans="1:23" x14ac:dyDescent="0.2">
      <c r="A77" s="83" t="s">
        <v>510</v>
      </c>
      <c r="V77" s="85" t="s">
        <v>629</v>
      </c>
      <c r="W77" s="84">
        <v>604</v>
      </c>
    </row>
    <row r="78" spans="1:23" x14ac:dyDescent="0.2">
      <c r="A78" s="83" t="s">
        <v>511</v>
      </c>
      <c r="V78" s="85" t="s">
        <v>630</v>
      </c>
      <c r="W78" s="84">
        <v>605</v>
      </c>
    </row>
    <row r="79" spans="1:23" x14ac:dyDescent="0.2">
      <c r="A79" s="83" t="s">
        <v>512</v>
      </c>
      <c r="V79" s="85" t="s">
        <v>631</v>
      </c>
      <c r="W79" s="84">
        <v>606</v>
      </c>
    </row>
    <row r="80" spans="1:23" x14ac:dyDescent="0.2">
      <c r="A80" s="83" t="s">
        <v>513</v>
      </c>
      <c r="V80" s="85" t="s">
        <v>632</v>
      </c>
      <c r="W80" s="84">
        <v>607</v>
      </c>
    </row>
    <row r="81" spans="1:23" x14ac:dyDescent="0.2">
      <c r="A81" s="83" t="s">
        <v>514</v>
      </c>
      <c r="V81" s="85" t="s">
        <v>633</v>
      </c>
      <c r="W81" s="84">
        <v>608</v>
      </c>
    </row>
    <row r="82" spans="1:23" x14ac:dyDescent="0.2">
      <c r="A82" s="83" t="s">
        <v>515</v>
      </c>
      <c r="V82" s="85" t="s">
        <v>634</v>
      </c>
      <c r="W82" s="84">
        <v>609</v>
      </c>
    </row>
    <row r="83" spans="1:23" x14ac:dyDescent="0.2">
      <c r="A83" s="83" t="s">
        <v>516</v>
      </c>
      <c r="V83" s="85" t="s">
        <v>635</v>
      </c>
      <c r="W83" s="84">
        <v>653</v>
      </c>
    </row>
    <row r="84" spans="1:23" x14ac:dyDescent="0.2">
      <c r="A84" s="83" t="s">
        <v>517</v>
      </c>
      <c r="V84" s="85" t="s">
        <v>636</v>
      </c>
      <c r="W84" s="84">
        <v>662</v>
      </c>
    </row>
    <row r="85" spans="1:23" x14ac:dyDescent="0.2">
      <c r="A85" s="83" t="s">
        <v>518</v>
      </c>
      <c r="V85" s="85" t="s">
        <v>637</v>
      </c>
      <c r="W85" s="84">
        <v>663</v>
      </c>
    </row>
    <row r="86" spans="1:23" x14ac:dyDescent="0.2">
      <c r="A86" s="83" t="s">
        <v>519</v>
      </c>
      <c r="V86" s="85" t="s">
        <v>638</v>
      </c>
      <c r="W86" s="84">
        <v>664</v>
      </c>
    </row>
    <row r="87" spans="1:23" x14ac:dyDescent="0.2">
      <c r="A87" s="84" t="s">
        <v>31</v>
      </c>
      <c r="V87" s="85" t="s">
        <v>639</v>
      </c>
      <c r="W87" s="84">
        <v>665</v>
      </c>
    </row>
    <row r="88" spans="1:23" x14ac:dyDescent="0.2">
      <c r="A88" s="84" t="s">
        <v>32</v>
      </c>
      <c r="V88" s="85" t="s">
        <v>640</v>
      </c>
      <c r="W88" s="84">
        <v>666</v>
      </c>
    </row>
    <row r="89" spans="1:23" x14ac:dyDescent="0.2">
      <c r="A89" s="84" t="s">
        <v>33</v>
      </c>
      <c r="V89" s="85" t="s">
        <v>641</v>
      </c>
      <c r="W89" s="84">
        <v>667</v>
      </c>
    </row>
    <row r="90" spans="1:23" x14ac:dyDescent="0.2">
      <c r="A90" s="84" t="s">
        <v>34</v>
      </c>
      <c r="V90" s="85" t="s">
        <v>642</v>
      </c>
      <c r="W90" s="84">
        <v>668</v>
      </c>
    </row>
    <row r="91" spans="1:23" x14ac:dyDescent="0.2">
      <c r="A91" s="84" t="s">
        <v>35</v>
      </c>
      <c r="U91" s="84" t="s">
        <v>655</v>
      </c>
      <c r="V91" s="85" t="s">
        <v>643</v>
      </c>
      <c r="W91" s="84">
        <v>704</v>
      </c>
    </row>
    <row r="92" spans="1:23" x14ac:dyDescent="0.2">
      <c r="A92" s="84" t="s">
        <v>36</v>
      </c>
      <c r="V92" s="85" t="s">
        <v>644</v>
      </c>
      <c r="W92" s="84">
        <v>706</v>
      </c>
    </row>
    <row r="93" spans="1:23" x14ac:dyDescent="0.2">
      <c r="A93" s="84" t="s">
        <v>37</v>
      </c>
      <c r="V93" s="85" t="s">
        <v>645</v>
      </c>
      <c r="W93" s="84">
        <v>710</v>
      </c>
    </row>
    <row r="94" spans="1:23" x14ac:dyDescent="0.2">
      <c r="A94" s="84" t="s">
        <v>38</v>
      </c>
      <c r="U94" s="84" t="s">
        <v>656</v>
      </c>
      <c r="V94" s="85" t="s">
        <v>646</v>
      </c>
      <c r="W94" s="84">
        <v>800</v>
      </c>
    </row>
    <row r="95" spans="1:23" x14ac:dyDescent="0.2">
      <c r="A95" s="84" t="s">
        <v>39</v>
      </c>
      <c r="U95" s="84" t="s">
        <v>657</v>
      </c>
      <c r="V95" s="85" t="s">
        <v>647</v>
      </c>
      <c r="W95" s="84">
        <v>900</v>
      </c>
    </row>
    <row r="96" spans="1:23" x14ac:dyDescent="0.2">
      <c r="A96" s="84" t="s">
        <v>40</v>
      </c>
    </row>
    <row r="97" spans="1:1" x14ac:dyDescent="0.2">
      <c r="A97" s="84" t="s">
        <v>41</v>
      </c>
    </row>
    <row r="98" spans="1:1" x14ac:dyDescent="0.2">
      <c r="A98" s="84" t="s">
        <v>42</v>
      </c>
    </row>
    <row r="99" spans="1:1" x14ac:dyDescent="0.2">
      <c r="A99" s="84" t="s">
        <v>43</v>
      </c>
    </row>
    <row r="100" spans="1:1" x14ac:dyDescent="0.2">
      <c r="A100" s="84" t="s">
        <v>44</v>
      </c>
    </row>
    <row r="101" spans="1:1" x14ac:dyDescent="0.2">
      <c r="A101" s="84" t="s">
        <v>45</v>
      </c>
    </row>
    <row r="102" spans="1:1" x14ac:dyDescent="0.2">
      <c r="A102" s="84" t="s">
        <v>46</v>
      </c>
    </row>
    <row r="103" spans="1:1" x14ac:dyDescent="0.2">
      <c r="A103" s="84" t="s">
        <v>47</v>
      </c>
    </row>
    <row r="104" spans="1:1" x14ac:dyDescent="0.2">
      <c r="A104" s="84" t="s">
        <v>48</v>
      </c>
    </row>
    <row r="105" spans="1:1" x14ac:dyDescent="0.2">
      <c r="A105" s="84" t="s">
        <v>49</v>
      </c>
    </row>
    <row r="106" spans="1:1" x14ac:dyDescent="0.2">
      <c r="A106" s="84" t="s">
        <v>50</v>
      </c>
    </row>
    <row r="107" spans="1:1" x14ac:dyDescent="0.2">
      <c r="A107" s="84" t="s">
        <v>51</v>
      </c>
    </row>
    <row r="108" spans="1:1" x14ac:dyDescent="0.2">
      <c r="A108" s="84" t="s">
        <v>52</v>
      </c>
    </row>
    <row r="109" spans="1:1" x14ac:dyDescent="0.2">
      <c r="A109" s="84" t="s">
        <v>53</v>
      </c>
    </row>
    <row r="110" spans="1:1" x14ac:dyDescent="0.2">
      <c r="A110" s="84" t="s">
        <v>54</v>
      </c>
    </row>
    <row r="111" spans="1:1" x14ac:dyDescent="0.2">
      <c r="A111" s="84" t="s">
        <v>55</v>
      </c>
    </row>
    <row r="112" spans="1:1" x14ac:dyDescent="0.2">
      <c r="A112" s="84" t="s">
        <v>56</v>
      </c>
    </row>
    <row r="113" spans="1:1" x14ac:dyDescent="0.2">
      <c r="A113" s="84" t="s">
        <v>57</v>
      </c>
    </row>
    <row r="114" spans="1:1" x14ac:dyDescent="0.2">
      <c r="A114" s="84" t="s">
        <v>58</v>
      </c>
    </row>
    <row r="115" spans="1:1" x14ac:dyDescent="0.2">
      <c r="A115" s="84" t="s">
        <v>59</v>
      </c>
    </row>
    <row r="116" spans="1:1" x14ac:dyDescent="0.2">
      <c r="A116" s="84" t="s">
        <v>60</v>
      </c>
    </row>
    <row r="117" spans="1:1" x14ac:dyDescent="0.2">
      <c r="A117" s="84" t="s">
        <v>61</v>
      </c>
    </row>
    <row r="118" spans="1:1" x14ac:dyDescent="0.2">
      <c r="A118" s="84" t="s">
        <v>62</v>
      </c>
    </row>
    <row r="119" spans="1:1" x14ac:dyDescent="0.2">
      <c r="A119" s="84" t="s">
        <v>63</v>
      </c>
    </row>
    <row r="120" spans="1:1" x14ac:dyDescent="0.2">
      <c r="A120" s="84" t="s">
        <v>64</v>
      </c>
    </row>
    <row r="121" spans="1:1" x14ac:dyDescent="0.2">
      <c r="A121" s="84" t="s">
        <v>65</v>
      </c>
    </row>
    <row r="122" spans="1:1" x14ac:dyDescent="0.2">
      <c r="A122" s="84" t="s">
        <v>66</v>
      </c>
    </row>
    <row r="123" spans="1:1" x14ac:dyDescent="0.2">
      <c r="A123" s="84" t="s">
        <v>67</v>
      </c>
    </row>
    <row r="124" spans="1:1" x14ac:dyDescent="0.2">
      <c r="A124" s="84" t="s">
        <v>68</v>
      </c>
    </row>
    <row r="125" spans="1:1" x14ac:dyDescent="0.2">
      <c r="A125" s="84" t="s">
        <v>69</v>
      </c>
    </row>
    <row r="126" spans="1:1" x14ac:dyDescent="0.2">
      <c r="A126" s="84" t="s">
        <v>70</v>
      </c>
    </row>
    <row r="127" spans="1:1" x14ac:dyDescent="0.2">
      <c r="A127" s="84" t="s">
        <v>71</v>
      </c>
    </row>
    <row r="128" spans="1:1" x14ac:dyDescent="0.2">
      <c r="A128" s="84" t="s">
        <v>72</v>
      </c>
    </row>
    <row r="129" spans="1:1" x14ac:dyDescent="0.2">
      <c r="A129" s="84" t="s">
        <v>73</v>
      </c>
    </row>
    <row r="130" spans="1:1" x14ac:dyDescent="0.2">
      <c r="A130" s="84" t="s">
        <v>74</v>
      </c>
    </row>
    <row r="131" spans="1:1" x14ac:dyDescent="0.2">
      <c r="A131" s="84" t="s">
        <v>75</v>
      </c>
    </row>
    <row r="132" spans="1:1" x14ac:dyDescent="0.2">
      <c r="A132" s="84" t="s">
        <v>76</v>
      </c>
    </row>
    <row r="133" spans="1:1" x14ac:dyDescent="0.2">
      <c r="A133" s="84" t="s">
        <v>77</v>
      </c>
    </row>
    <row r="134" spans="1:1" x14ac:dyDescent="0.2">
      <c r="A134" s="84" t="s">
        <v>78</v>
      </c>
    </row>
    <row r="135" spans="1:1" x14ac:dyDescent="0.2">
      <c r="A135" s="84" t="s">
        <v>79</v>
      </c>
    </row>
    <row r="136" spans="1:1" x14ac:dyDescent="0.2">
      <c r="A136" s="84" t="s">
        <v>80</v>
      </c>
    </row>
    <row r="137" spans="1:1" x14ac:dyDescent="0.2">
      <c r="A137" s="84" t="s">
        <v>81</v>
      </c>
    </row>
    <row r="138" spans="1:1" x14ac:dyDescent="0.2">
      <c r="A138" s="84" t="s">
        <v>82</v>
      </c>
    </row>
    <row r="139" spans="1:1" x14ac:dyDescent="0.2">
      <c r="A139" s="84" t="s">
        <v>83</v>
      </c>
    </row>
    <row r="140" spans="1:1" x14ac:dyDescent="0.2">
      <c r="A140" s="84" t="s">
        <v>84</v>
      </c>
    </row>
    <row r="141" spans="1:1" x14ac:dyDescent="0.2">
      <c r="A141" s="84" t="s">
        <v>85</v>
      </c>
    </row>
    <row r="142" spans="1:1" x14ac:dyDescent="0.2">
      <c r="A142" s="84" t="s">
        <v>86</v>
      </c>
    </row>
    <row r="143" spans="1:1" x14ac:dyDescent="0.2">
      <c r="A143" s="84" t="s">
        <v>87</v>
      </c>
    </row>
    <row r="144" spans="1:1" x14ac:dyDescent="0.2">
      <c r="A144" s="84" t="s">
        <v>88</v>
      </c>
    </row>
    <row r="145" spans="1:1" x14ac:dyDescent="0.2">
      <c r="A145" s="84" t="s">
        <v>89</v>
      </c>
    </row>
    <row r="146" spans="1:1" x14ac:dyDescent="0.2">
      <c r="A146" s="84" t="s">
        <v>90</v>
      </c>
    </row>
    <row r="147" spans="1:1" x14ac:dyDescent="0.2">
      <c r="A147" s="84" t="s">
        <v>91</v>
      </c>
    </row>
    <row r="148" spans="1:1" x14ac:dyDescent="0.2">
      <c r="A148" s="84" t="s">
        <v>92</v>
      </c>
    </row>
    <row r="149" spans="1:1" x14ac:dyDescent="0.2">
      <c r="A149" s="84" t="s">
        <v>93</v>
      </c>
    </row>
    <row r="150" spans="1:1" x14ac:dyDescent="0.2">
      <c r="A150" s="84" t="s">
        <v>94</v>
      </c>
    </row>
    <row r="151" spans="1:1" x14ac:dyDescent="0.2">
      <c r="A151" s="84" t="s">
        <v>95</v>
      </c>
    </row>
    <row r="152" spans="1:1" x14ac:dyDescent="0.2">
      <c r="A152" s="84" t="s">
        <v>96</v>
      </c>
    </row>
    <row r="153" spans="1:1" x14ac:dyDescent="0.2">
      <c r="A153" s="84" t="s">
        <v>97</v>
      </c>
    </row>
    <row r="154" spans="1:1" x14ac:dyDescent="0.2">
      <c r="A154" s="84" t="s">
        <v>98</v>
      </c>
    </row>
    <row r="155" spans="1:1" x14ac:dyDescent="0.2">
      <c r="A155" s="84" t="s">
        <v>99</v>
      </c>
    </row>
    <row r="156" spans="1:1" x14ac:dyDescent="0.2">
      <c r="A156" s="84" t="s">
        <v>100</v>
      </c>
    </row>
    <row r="157" spans="1:1" x14ac:dyDescent="0.2">
      <c r="A157" s="84" t="s">
        <v>101</v>
      </c>
    </row>
    <row r="158" spans="1:1" x14ac:dyDescent="0.2">
      <c r="A158" s="84" t="s">
        <v>102</v>
      </c>
    </row>
    <row r="159" spans="1:1" x14ac:dyDescent="0.2">
      <c r="A159" s="84" t="s">
        <v>103</v>
      </c>
    </row>
    <row r="160" spans="1:1" x14ac:dyDescent="0.2">
      <c r="A160" s="84" t="s">
        <v>104</v>
      </c>
    </row>
    <row r="161" spans="1:1" x14ac:dyDescent="0.2">
      <c r="A161" s="84" t="s">
        <v>105</v>
      </c>
    </row>
    <row r="162" spans="1:1" x14ac:dyDescent="0.2">
      <c r="A162" s="84" t="s">
        <v>106</v>
      </c>
    </row>
    <row r="163" spans="1:1" x14ac:dyDescent="0.2">
      <c r="A163" s="84" t="s">
        <v>107</v>
      </c>
    </row>
    <row r="164" spans="1:1" x14ac:dyDescent="0.2">
      <c r="A164" s="84" t="s">
        <v>108</v>
      </c>
    </row>
    <row r="165" spans="1:1" x14ac:dyDescent="0.2">
      <c r="A165" s="84" t="s">
        <v>109</v>
      </c>
    </row>
    <row r="166" spans="1:1" x14ac:dyDescent="0.2">
      <c r="A166" s="84" t="s">
        <v>110</v>
      </c>
    </row>
    <row r="167" spans="1:1" x14ac:dyDescent="0.2">
      <c r="A167" s="84" t="s">
        <v>111</v>
      </c>
    </row>
    <row r="168" spans="1:1" x14ac:dyDescent="0.2">
      <c r="A168" s="84" t="s">
        <v>112</v>
      </c>
    </row>
    <row r="169" spans="1:1" x14ac:dyDescent="0.2">
      <c r="A169" s="84" t="s">
        <v>113</v>
      </c>
    </row>
    <row r="170" spans="1:1" x14ac:dyDescent="0.2">
      <c r="A170" s="84" t="s">
        <v>114</v>
      </c>
    </row>
    <row r="171" spans="1:1" x14ac:dyDescent="0.2">
      <c r="A171" s="84" t="s">
        <v>115</v>
      </c>
    </row>
    <row r="172" spans="1:1" x14ac:dyDescent="0.2">
      <c r="A172" s="84" t="s">
        <v>116</v>
      </c>
    </row>
    <row r="173" spans="1:1" x14ac:dyDescent="0.2">
      <c r="A173" s="84" t="s">
        <v>117</v>
      </c>
    </row>
    <row r="174" spans="1:1" x14ac:dyDescent="0.2">
      <c r="A174" s="84" t="s">
        <v>118</v>
      </c>
    </row>
    <row r="175" spans="1:1" x14ac:dyDescent="0.2">
      <c r="A175" s="84" t="s">
        <v>119</v>
      </c>
    </row>
    <row r="176" spans="1:1" x14ac:dyDescent="0.2">
      <c r="A176" s="84" t="s">
        <v>120</v>
      </c>
    </row>
    <row r="177" spans="1:1" x14ac:dyDescent="0.2">
      <c r="A177" s="84" t="s">
        <v>121</v>
      </c>
    </row>
    <row r="178" spans="1:1" x14ac:dyDescent="0.2">
      <c r="A178" s="84" t="s">
        <v>122</v>
      </c>
    </row>
    <row r="179" spans="1:1" x14ac:dyDescent="0.2">
      <c r="A179" s="84" t="s">
        <v>123</v>
      </c>
    </row>
    <row r="180" spans="1:1" x14ac:dyDescent="0.2">
      <c r="A180" s="84" t="s">
        <v>124</v>
      </c>
    </row>
    <row r="181" spans="1:1" x14ac:dyDescent="0.2">
      <c r="A181" s="84" t="s">
        <v>125</v>
      </c>
    </row>
    <row r="182" spans="1:1" x14ac:dyDescent="0.2">
      <c r="A182" s="84" t="s">
        <v>126</v>
      </c>
    </row>
    <row r="183" spans="1:1" x14ac:dyDescent="0.2">
      <c r="A183" s="84" t="s">
        <v>127</v>
      </c>
    </row>
    <row r="184" spans="1:1" x14ac:dyDescent="0.2">
      <c r="A184" s="84" t="s">
        <v>128</v>
      </c>
    </row>
    <row r="185" spans="1:1" x14ac:dyDescent="0.2">
      <c r="A185" s="84" t="s">
        <v>129</v>
      </c>
    </row>
    <row r="186" spans="1:1" x14ac:dyDescent="0.2">
      <c r="A186" s="84" t="s">
        <v>130</v>
      </c>
    </row>
    <row r="187" spans="1:1" x14ac:dyDescent="0.2">
      <c r="A187" s="84" t="s">
        <v>131</v>
      </c>
    </row>
    <row r="188" spans="1:1" x14ac:dyDescent="0.2">
      <c r="A188" s="84" t="s">
        <v>132</v>
      </c>
    </row>
    <row r="189" spans="1:1" x14ac:dyDescent="0.2">
      <c r="A189" s="84" t="s">
        <v>133</v>
      </c>
    </row>
    <row r="190" spans="1:1" x14ac:dyDescent="0.2">
      <c r="A190" s="84" t="s">
        <v>134</v>
      </c>
    </row>
    <row r="191" spans="1:1" x14ac:dyDescent="0.2">
      <c r="A191" s="84" t="s">
        <v>135</v>
      </c>
    </row>
    <row r="192" spans="1:1" x14ac:dyDescent="0.2">
      <c r="A192" s="84" t="s">
        <v>136</v>
      </c>
    </row>
    <row r="193" spans="1:1" x14ac:dyDescent="0.2">
      <c r="A193" s="84" t="s">
        <v>137</v>
      </c>
    </row>
    <row r="194" spans="1:1" x14ac:dyDescent="0.2">
      <c r="A194" s="84" t="s">
        <v>138</v>
      </c>
    </row>
    <row r="195" spans="1:1" x14ac:dyDescent="0.2">
      <c r="A195" s="84" t="s">
        <v>139</v>
      </c>
    </row>
    <row r="196" spans="1:1" x14ac:dyDescent="0.2">
      <c r="A196" s="84" t="s">
        <v>140</v>
      </c>
    </row>
    <row r="197" spans="1:1" x14ac:dyDescent="0.2">
      <c r="A197" s="84" t="s">
        <v>141</v>
      </c>
    </row>
    <row r="198" spans="1:1" x14ac:dyDescent="0.2">
      <c r="A198" s="84" t="s">
        <v>142</v>
      </c>
    </row>
    <row r="199" spans="1:1" x14ac:dyDescent="0.2">
      <c r="A199" s="84" t="s">
        <v>143</v>
      </c>
    </row>
    <row r="200" spans="1:1" x14ac:dyDescent="0.2">
      <c r="A200" s="84" t="s">
        <v>144</v>
      </c>
    </row>
    <row r="201" spans="1:1" x14ac:dyDescent="0.2">
      <c r="A201" s="84" t="s">
        <v>145</v>
      </c>
    </row>
    <row r="202" spans="1:1" x14ac:dyDescent="0.2">
      <c r="A202" s="84" t="s">
        <v>146</v>
      </c>
    </row>
    <row r="203" spans="1:1" x14ac:dyDescent="0.2">
      <c r="A203" s="84" t="s">
        <v>147</v>
      </c>
    </row>
    <row r="204" spans="1:1" x14ac:dyDescent="0.2">
      <c r="A204" s="84" t="s">
        <v>148</v>
      </c>
    </row>
    <row r="205" spans="1:1" x14ac:dyDescent="0.2">
      <c r="A205" s="84" t="s">
        <v>149</v>
      </c>
    </row>
    <row r="206" spans="1:1" x14ac:dyDescent="0.2">
      <c r="A206" s="83" t="s">
        <v>150</v>
      </c>
    </row>
    <row r="207" spans="1:1" x14ac:dyDescent="0.2">
      <c r="A207" s="83" t="s">
        <v>151</v>
      </c>
    </row>
    <row r="208" spans="1:1" x14ac:dyDescent="0.2">
      <c r="A208" s="83" t="s">
        <v>152</v>
      </c>
    </row>
    <row r="209" spans="1:1" x14ac:dyDescent="0.2">
      <c r="A209" s="83" t="s">
        <v>153</v>
      </c>
    </row>
    <row r="210" spans="1:1" x14ac:dyDescent="0.2">
      <c r="A210" s="83" t="s">
        <v>154</v>
      </c>
    </row>
    <row r="211" spans="1:1" x14ac:dyDescent="0.2">
      <c r="A211" s="83" t="s">
        <v>155</v>
      </c>
    </row>
    <row r="212" spans="1:1" x14ac:dyDescent="0.2">
      <c r="A212" s="83" t="s">
        <v>156</v>
      </c>
    </row>
    <row r="213" spans="1:1" x14ac:dyDescent="0.2">
      <c r="A213" s="83" t="s">
        <v>157</v>
      </c>
    </row>
    <row r="214" spans="1:1" x14ac:dyDescent="0.2">
      <c r="A214" s="83" t="s">
        <v>158</v>
      </c>
    </row>
    <row r="215" spans="1:1" x14ac:dyDescent="0.2">
      <c r="A215" s="83" t="s">
        <v>159</v>
      </c>
    </row>
    <row r="216" spans="1:1" x14ac:dyDescent="0.2">
      <c r="A216" s="83" t="s">
        <v>160</v>
      </c>
    </row>
    <row r="217" spans="1:1" x14ac:dyDescent="0.2">
      <c r="A217" s="83" t="s">
        <v>161</v>
      </c>
    </row>
    <row r="218" spans="1:1" x14ac:dyDescent="0.2">
      <c r="A218" s="83" t="s">
        <v>162</v>
      </c>
    </row>
    <row r="219" spans="1:1" x14ac:dyDescent="0.2">
      <c r="A219" s="83" t="s">
        <v>163</v>
      </c>
    </row>
    <row r="220" spans="1:1" x14ac:dyDescent="0.2">
      <c r="A220" s="83" t="s">
        <v>164</v>
      </c>
    </row>
    <row r="221" spans="1:1" x14ac:dyDescent="0.2">
      <c r="A221" s="83" t="s">
        <v>165</v>
      </c>
    </row>
    <row r="222" spans="1:1" x14ac:dyDescent="0.2">
      <c r="A222" s="83" t="s">
        <v>166</v>
      </c>
    </row>
    <row r="223" spans="1:1" x14ac:dyDescent="0.2">
      <c r="A223" s="83" t="s">
        <v>167</v>
      </c>
    </row>
    <row r="224" spans="1:1" x14ac:dyDescent="0.2">
      <c r="A224" s="83" t="s">
        <v>168</v>
      </c>
    </row>
    <row r="225" spans="1:1" x14ac:dyDescent="0.2">
      <c r="A225" s="83" t="s">
        <v>169</v>
      </c>
    </row>
    <row r="226" spans="1:1" x14ac:dyDescent="0.2">
      <c r="A226" s="83" t="s">
        <v>170</v>
      </c>
    </row>
    <row r="227" spans="1:1" x14ac:dyDescent="0.2">
      <c r="A227" s="83" t="s">
        <v>171</v>
      </c>
    </row>
    <row r="228" spans="1:1" x14ac:dyDescent="0.2">
      <c r="A228" s="83" t="s">
        <v>172</v>
      </c>
    </row>
    <row r="229" spans="1:1" x14ac:dyDescent="0.2">
      <c r="A229" s="83" t="s">
        <v>173</v>
      </c>
    </row>
    <row r="230" spans="1:1" x14ac:dyDescent="0.2">
      <c r="A230" s="83" t="s">
        <v>174</v>
      </c>
    </row>
    <row r="231" spans="1:1" x14ac:dyDescent="0.2">
      <c r="A231" s="83" t="s">
        <v>175</v>
      </c>
    </row>
    <row r="232" spans="1:1" x14ac:dyDescent="0.2">
      <c r="A232" s="83" t="s">
        <v>176</v>
      </c>
    </row>
    <row r="233" spans="1:1" x14ac:dyDescent="0.2">
      <c r="A233" s="83" t="s">
        <v>177</v>
      </c>
    </row>
    <row r="234" spans="1:1" x14ac:dyDescent="0.2">
      <c r="A234" s="83" t="s">
        <v>178</v>
      </c>
    </row>
    <row r="235" spans="1:1" x14ac:dyDescent="0.2">
      <c r="A235" s="83" t="s">
        <v>179</v>
      </c>
    </row>
    <row r="236" spans="1:1" x14ac:dyDescent="0.2">
      <c r="A236" s="83" t="s">
        <v>180</v>
      </c>
    </row>
    <row r="237" spans="1:1" x14ac:dyDescent="0.2">
      <c r="A237" s="83" t="s">
        <v>181</v>
      </c>
    </row>
    <row r="238" spans="1:1" x14ac:dyDescent="0.2">
      <c r="A238" s="83" t="s">
        <v>182</v>
      </c>
    </row>
    <row r="239" spans="1:1" x14ac:dyDescent="0.2">
      <c r="A239" s="83" t="s">
        <v>183</v>
      </c>
    </row>
    <row r="240" spans="1:1" x14ac:dyDescent="0.2">
      <c r="A240" s="83" t="s">
        <v>184</v>
      </c>
    </row>
    <row r="241" spans="1:1" x14ac:dyDescent="0.2">
      <c r="A241" s="83" t="s">
        <v>185</v>
      </c>
    </row>
    <row r="242" spans="1:1" x14ac:dyDescent="0.2">
      <c r="A242" s="83" t="s">
        <v>186</v>
      </c>
    </row>
    <row r="243" spans="1:1" x14ac:dyDescent="0.2">
      <c r="A243" s="83" t="s">
        <v>187</v>
      </c>
    </row>
    <row r="244" spans="1:1" x14ac:dyDescent="0.2">
      <c r="A244" s="83" t="s">
        <v>188</v>
      </c>
    </row>
    <row r="245" spans="1:1" x14ac:dyDescent="0.2">
      <c r="A245" s="83" t="s">
        <v>189</v>
      </c>
    </row>
    <row r="246" spans="1:1" x14ac:dyDescent="0.2">
      <c r="A246" s="83" t="s">
        <v>190</v>
      </c>
    </row>
    <row r="247" spans="1:1" x14ac:dyDescent="0.2">
      <c r="A247" s="83" t="s">
        <v>191</v>
      </c>
    </row>
    <row r="248" spans="1:1" x14ac:dyDescent="0.2">
      <c r="A248" s="83" t="s">
        <v>192</v>
      </c>
    </row>
    <row r="249" spans="1:1" x14ac:dyDescent="0.2">
      <c r="A249" s="83" t="s">
        <v>193</v>
      </c>
    </row>
    <row r="250" spans="1:1" x14ac:dyDescent="0.2">
      <c r="A250" s="83" t="s">
        <v>194</v>
      </c>
    </row>
    <row r="251" spans="1:1" x14ac:dyDescent="0.2">
      <c r="A251" s="83" t="s">
        <v>195</v>
      </c>
    </row>
    <row r="252" spans="1:1" x14ac:dyDescent="0.2">
      <c r="A252" s="83" t="s">
        <v>196</v>
      </c>
    </row>
    <row r="253" spans="1:1" x14ac:dyDescent="0.2">
      <c r="A253" s="83" t="s">
        <v>197</v>
      </c>
    </row>
    <row r="254" spans="1:1" x14ac:dyDescent="0.2">
      <c r="A254" s="83" t="s">
        <v>198</v>
      </c>
    </row>
    <row r="255" spans="1:1" x14ac:dyDescent="0.2">
      <c r="A255" s="83" t="s">
        <v>199</v>
      </c>
    </row>
    <row r="256" spans="1:1" x14ac:dyDescent="0.2">
      <c r="A256" s="83" t="s">
        <v>200</v>
      </c>
    </row>
    <row r="257" spans="1:1" x14ac:dyDescent="0.2">
      <c r="A257" s="83" t="s">
        <v>201</v>
      </c>
    </row>
    <row r="258" spans="1:1" x14ac:dyDescent="0.2">
      <c r="A258" s="83" t="s">
        <v>202</v>
      </c>
    </row>
    <row r="259" spans="1:1" x14ac:dyDescent="0.2">
      <c r="A259" s="83" t="s">
        <v>203</v>
      </c>
    </row>
    <row r="260" spans="1:1" x14ac:dyDescent="0.2">
      <c r="A260" s="83" t="s">
        <v>204</v>
      </c>
    </row>
    <row r="261" spans="1:1" x14ac:dyDescent="0.2">
      <c r="A261" s="83" t="s">
        <v>205</v>
      </c>
    </row>
    <row r="262" spans="1:1" x14ac:dyDescent="0.2">
      <c r="A262" s="83" t="s">
        <v>206</v>
      </c>
    </row>
    <row r="263" spans="1:1" x14ac:dyDescent="0.2">
      <c r="A263" s="83" t="s">
        <v>771</v>
      </c>
    </row>
    <row r="264" spans="1:1" x14ac:dyDescent="0.2">
      <c r="A264" s="83" t="s">
        <v>207</v>
      </c>
    </row>
    <row r="265" spans="1:1" x14ac:dyDescent="0.2">
      <c r="A265" s="83" t="s">
        <v>208</v>
      </c>
    </row>
    <row r="266" spans="1:1" x14ac:dyDescent="0.2">
      <c r="A266" s="83" t="s">
        <v>209</v>
      </c>
    </row>
    <row r="267" spans="1:1" x14ac:dyDescent="0.2">
      <c r="A267" s="83" t="s">
        <v>210</v>
      </c>
    </row>
    <row r="268" spans="1:1" x14ac:dyDescent="0.2">
      <c r="A268" s="83" t="s">
        <v>211</v>
      </c>
    </row>
    <row r="269" spans="1:1" x14ac:dyDescent="0.2">
      <c r="A269" s="83" t="s">
        <v>212</v>
      </c>
    </row>
    <row r="270" spans="1:1" x14ac:dyDescent="0.2">
      <c r="A270" s="83" t="s">
        <v>213</v>
      </c>
    </row>
    <row r="271" spans="1:1" x14ac:dyDescent="0.2">
      <c r="A271" s="83" t="s">
        <v>214</v>
      </c>
    </row>
    <row r="272" spans="1:1" x14ac:dyDescent="0.2">
      <c r="A272" s="83" t="s">
        <v>215</v>
      </c>
    </row>
    <row r="273" spans="1:1" x14ac:dyDescent="0.2">
      <c r="A273" s="83" t="s">
        <v>216</v>
      </c>
    </row>
    <row r="274" spans="1:1" x14ac:dyDescent="0.2">
      <c r="A274" s="83" t="s">
        <v>217</v>
      </c>
    </row>
    <row r="275" spans="1:1" x14ac:dyDescent="0.2">
      <c r="A275" s="83" t="s">
        <v>218</v>
      </c>
    </row>
    <row r="276" spans="1:1" x14ac:dyDescent="0.2">
      <c r="A276" s="83" t="s">
        <v>219</v>
      </c>
    </row>
    <row r="277" spans="1:1" x14ac:dyDescent="0.2">
      <c r="A277" s="83" t="s">
        <v>220</v>
      </c>
    </row>
    <row r="278" spans="1:1" x14ac:dyDescent="0.2">
      <c r="A278" s="83" t="s">
        <v>221</v>
      </c>
    </row>
    <row r="279" spans="1:1" x14ac:dyDescent="0.2">
      <c r="A279" s="83" t="s">
        <v>222</v>
      </c>
    </row>
    <row r="280" spans="1:1" x14ac:dyDescent="0.2">
      <c r="A280" s="83" t="s">
        <v>223</v>
      </c>
    </row>
    <row r="281" spans="1:1" x14ac:dyDescent="0.2">
      <c r="A281" s="83" t="s">
        <v>224</v>
      </c>
    </row>
    <row r="282" spans="1:1" x14ac:dyDescent="0.2">
      <c r="A282" s="83" t="s">
        <v>225</v>
      </c>
    </row>
    <row r="283" spans="1:1" x14ac:dyDescent="0.2">
      <c r="A283" s="83" t="s">
        <v>226</v>
      </c>
    </row>
    <row r="284" spans="1:1" x14ac:dyDescent="0.2">
      <c r="A284" s="83" t="s">
        <v>227</v>
      </c>
    </row>
    <row r="285" spans="1:1" x14ac:dyDescent="0.2">
      <c r="A285" s="83" t="s">
        <v>228</v>
      </c>
    </row>
    <row r="286" spans="1:1" x14ac:dyDescent="0.2">
      <c r="A286" s="83" t="s">
        <v>229</v>
      </c>
    </row>
    <row r="287" spans="1:1" x14ac:dyDescent="0.2">
      <c r="A287" s="83" t="s">
        <v>230</v>
      </c>
    </row>
    <row r="288" spans="1:1" x14ac:dyDescent="0.2">
      <c r="A288" s="83" t="s">
        <v>231</v>
      </c>
    </row>
    <row r="289" spans="1:1" x14ac:dyDescent="0.2">
      <c r="A289" s="83" t="s">
        <v>232</v>
      </c>
    </row>
    <row r="290" spans="1:1" x14ac:dyDescent="0.2">
      <c r="A290" s="83" t="s">
        <v>233</v>
      </c>
    </row>
    <row r="291" spans="1:1" x14ac:dyDescent="0.2">
      <c r="A291" s="83" t="s">
        <v>234</v>
      </c>
    </row>
    <row r="292" spans="1:1" x14ac:dyDescent="0.2">
      <c r="A292" s="83" t="s">
        <v>235</v>
      </c>
    </row>
    <row r="293" spans="1:1" x14ac:dyDescent="0.2">
      <c r="A293" s="83" t="s">
        <v>236</v>
      </c>
    </row>
    <row r="294" spans="1:1" x14ac:dyDescent="0.2">
      <c r="A294" s="83" t="s">
        <v>237</v>
      </c>
    </row>
    <row r="295" spans="1:1" x14ac:dyDescent="0.2">
      <c r="A295" s="83" t="s">
        <v>238</v>
      </c>
    </row>
    <row r="296" spans="1:1" x14ac:dyDescent="0.2">
      <c r="A296" s="83" t="s">
        <v>239</v>
      </c>
    </row>
    <row r="297" spans="1:1" x14ac:dyDescent="0.2">
      <c r="A297" s="83" t="s">
        <v>240</v>
      </c>
    </row>
    <row r="298" spans="1:1" x14ac:dyDescent="0.2">
      <c r="A298" s="83" t="s">
        <v>241</v>
      </c>
    </row>
    <row r="299" spans="1:1" x14ac:dyDescent="0.2">
      <c r="A299" s="83" t="s">
        <v>242</v>
      </c>
    </row>
    <row r="300" spans="1:1" x14ac:dyDescent="0.2">
      <c r="A300" s="83" t="s">
        <v>243</v>
      </c>
    </row>
    <row r="301" spans="1:1" x14ac:dyDescent="0.2">
      <c r="A301" s="83" t="s">
        <v>244</v>
      </c>
    </row>
    <row r="302" spans="1:1" x14ac:dyDescent="0.2">
      <c r="A302" s="83" t="s">
        <v>245</v>
      </c>
    </row>
    <row r="303" spans="1:1" x14ac:dyDescent="0.2">
      <c r="A303" s="83" t="s">
        <v>246</v>
      </c>
    </row>
    <row r="304" spans="1:1" x14ac:dyDescent="0.2">
      <c r="A304" s="83" t="s">
        <v>247</v>
      </c>
    </row>
    <row r="305" spans="1:1" x14ac:dyDescent="0.2">
      <c r="A305" s="83" t="s">
        <v>248</v>
      </c>
    </row>
    <row r="306" spans="1:1" x14ac:dyDescent="0.2">
      <c r="A306" s="83" t="s">
        <v>249</v>
      </c>
    </row>
    <row r="307" spans="1:1" x14ac:dyDescent="0.2">
      <c r="A307" s="83" t="s">
        <v>250</v>
      </c>
    </row>
    <row r="308" spans="1:1" x14ac:dyDescent="0.2">
      <c r="A308" s="83" t="s">
        <v>251</v>
      </c>
    </row>
    <row r="309" spans="1:1" x14ac:dyDescent="0.2">
      <c r="A309" s="83" t="s">
        <v>252</v>
      </c>
    </row>
    <row r="310" spans="1:1" x14ac:dyDescent="0.2">
      <c r="A310" s="83" t="s">
        <v>253</v>
      </c>
    </row>
    <row r="311" spans="1:1" x14ac:dyDescent="0.2">
      <c r="A311" s="83" t="s">
        <v>254</v>
      </c>
    </row>
    <row r="312" spans="1:1" x14ac:dyDescent="0.2">
      <c r="A312" s="83" t="s">
        <v>255</v>
      </c>
    </row>
    <row r="313" spans="1:1" x14ac:dyDescent="0.2">
      <c r="A313" s="83" t="s">
        <v>256</v>
      </c>
    </row>
    <row r="314" spans="1:1" x14ac:dyDescent="0.2">
      <c r="A314" s="83" t="s">
        <v>257</v>
      </c>
    </row>
    <row r="315" spans="1:1" x14ac:dyDescent="0.2">
      <c r="A315" s="83" t="s">
        <v>258</v>
      </c>
    </row>
    <row r="316" spans="1:1" x14ac:dyDescent="0.2">
      <c r="A316" s="83" t="s">
        <v>259</v>
      </c>
    </row>
    <row r="317" spans="1:1" x14ac:dyDescent="0.2">
      <c r="A317" s="83" t="s">
        <v>260</v>
      </c>
    </row>
    <row r="318" spans="1:1" x14ac:dyDescent="0.2">
      <c r="A318" s="83" t="s">
        <v>261</v>
      </c>
    </row>
    <row r="319" spans="1:1" x14ac:dyDescent="0.2">
      <c r="A319" s="83" t="s">
        <v>262</v>
      </c>
    </row>
    <row r="320" spans="1:1" x14ac:dyDescent="0.2">
      <c r="A320" s="83" t="s">
        <v>263</v>
      </c>
    </row>
    <row r="321" spans="1:1" x14ac:dyDescent="0.2">
      <c r="A321" s="83" t="s">
        <v>264</v>
      </c>
    </row>
    <row r="322" spans="1:1" x14ac:dyDescent="0.2">
      <c r="A322" s="83" t="s">
        <v>265</v>
      </c>
    </row>
    <row r="323" spans="1:1" x14ac:dyDescent="0.2">
      <c r="A323" s="83" t="s">
        <v>266</v>
      </c>
    </row>
    <row r="324" spans="1:1" x14ac:dyDescent="0.2">
      <c r="A324" s="83" t="s">
        <v>267</v>
      </c>
    </row>
    <row r="325" spans="1:1" x14ac:dyDescent="0.2">
      <c r="A325" s="83" t="s">
        <v>268</v>
      </c>
    </row>
    <row r="326" spans="1:1" x14ac:dyDescent="0.2">
      <c r="A326" s="83" t="s">
        <v>269</v>
      </c>
    </row>
    <row r="327" spans="1:1" x14ac:dyDescent="0.2">
      <c r="A327" s="83" t="s">
        <v>270</v>
      </c>
    </row>
    <row r="328" spans="1:1" x14ac:dyDescent="0.2">
      <c r="A328" s="83" t="s">
        <v>271</v>
      </c>
    </row>
    <row r="329" spans="1:1" x14ac:dyDescent="0.2">
      <c r="A329" s="83" t="s">
        <v>272</v>
      </c>
    </row>
    <row r="330" spans="1:1" x14ac:dyDescent="0.2">
      <c r="A330" s="84" t="s">
        <v>273</v>
      </c>
    </row>
    <row r="331" spans="1:1" x14ac:dyDescent="0.2">
      <c r="A331" s="84" t="s">
        <v>274</v>
      </c>
    </row>
    <row r="332" spans="1:1" x14ac:dyDescent="0.2">
      <c r="A332" s="84" t="s">
        <v>275</v>
      </c>
    </row>
    <row r="333" spans="1:1" x14ac:dyDescent="0.2">
      <c r="A333" s="84" t="s">
        <v>276</v>
      </c>
    </row>
    <row r="334" spans="1:1" x14ac:dyDescent="0.2">
      <c r="A334" s="84" t="s">
        <v>277</v>
      </c>
    </row>
    <row r="335" spans="1:1" x14ac:dyDescent="0.2">
      <c r="A335" s="84" t="s">
        <v>278</v>
      </c>
    </row>
    <row r="336" spans="1:1" x14ac:dyDescent="0.2">
      <c r="A336" s="84" t="s">
        <v>279</v>
      </c>
    </row>
    <row r="337" spans="1:1" x14ac:dyDescent="0.2">
      <c r="A337" s="84" t="s">
        <v>280</v>
      </c>
    </row>
    <row r="338" spans="1:1" x14ac:dyDescent="0.2">
      <c r="A338" s="84" t="s">
        <v>281</v>
      </c>
    </row>
    <row r="339" spans="1:1" x14ac:dyDescent="0.2">
      <c r="A339" s="84" t="s">
        <v>282</v>
      </c>
    </row>
    <row r="340" spans="1:1" x14ac:dyDescent="0.2">
      <c r="A340" s="84" t="s">
        <v>283</v>
      </c>
    </row>
    <row r="341" spans="1:1" x14ac:dyDescent="0.2">
      <c r="A341" s="84" t="s">
        <v>284</v>
      </c>
    </row>
    <row r="342" spans="1:1" x14ac:dyDescent="0.2">
      <c r="A342" s="84" t="s">
        <v>285</v>
      </c>
    </row>
    <row r="343" spans="1:1" x14ac:dyDescent="0.2">
      <c r="A343" s="84" t="s">
        <v>286</v>
      </c>
    </row>
    <row r="344" spans="1:1" x14ac:dyDescent="0.2">
      <c r="A344" s="84" t="s">
        <v>287</v>
      </c>
    </row>
    <row r="345" spans="1:1" x14ac:dyDescent="0.2">
      <c r="A345" s="84" t="s">
        <v>288</v>
      </c>
    </row>
    <row r="346" spans="1:1" x14ac:dyDescent="0.2">
      <c r="A346" s="84" t="s">
        <v>289</v>
      </c>
    </row>
    <row r="347" spans="1:1" x14ac:dyDescent="0.2">
      <c r="A347" s="84" t="s">
        <v>290</v>
      </c>
    </row>
    <row r="348" spans="1:1" x14ac:dyDescent="0.2">
      <c r="A348" s="84" t="s">
        <v>291</v>
      </c>
    </row>
    <row r="349" spans="1:1" x14ac:dyDescent="0.2">
      <c r="A349" s="84" t="s">
        <v>292</v>
      </c>
    </row>
    <row r="350" spans="1:1" x14ac:dyDescent="0.2">
      <c r="A350" s="84" t="s">
        <v>293</v>
      </c>
    </row>
    <row r="351" spans="1:1" x14ac:dyDescent="0.2">
      <c r="A351" s="84" t="s">
        <v>294</v>
      </c>
    </row>
    <row r="352" spans="1:1" x14ac:dyDescent="0.2">
      <c r="A352" s="84" t="s">
        <v>295</v>
      </c>
    </row>
    <row r="353" spans="1:1" x14ac:dyDescent="0.2">
      <c r="A353" s="84" t="s">
        <v>296</v>
      </c>
    </row>
    <row r="354" spans="1:1" x14ac:dyDescent="0.2">
      <c r="A354" s="84" t="s">
        <v>297</v>
      </c>
    </row>
    <row r="355" spans="1:1" x14ac:dyDescent="0.2">
      <c r="A355" s="84" t="s">
        <v>298</v>
      </c>
    </row>
    <row r="356" spans="1:1" x14ac:dyDescent="0.2">
      <c r="A356" s="84" t="s">
        <v>299</v>
      </c>
    </row>
    <row r="357" spans="1:1" x14ac:dyDescent="0.2">
      <c r="A357" s="84" t="s">
        <v>300</v>
      </c>
    </row>
    <row r="358" spans="1:1" x14ac:dyDescent="0.2">
      <c r="A358" s="84" t="s">
        <v>301</v>
      </c>
    </row>
    <row r="359" spans="1:1" x14ac:dyDescent="0.2">
      <c r="A359" s="84" t="s">
        <v>302</v>
      </c>
    </row>
    <row r="360" spans="1:1" x14ac:dyDescent="0.2">
      <c r="A360" s="84" t="s">
        <v>303</v>
      </c>
    </row>
    <row r="361" spans="1:1" x14ac:dyDescent="0.2">
      <c r="A361" s="84" t="s">
        <v>304</v>
      </c>
    </row>
    <row r="362" spans="1:1" x14ac:dyDescent="0.2">
      <c r="A362" s="84" t="s">
        <v>305</v>
      </c>
    </row>
    <row r="363" spans="1:1" x14ac:dyDescent="0.2">
      <c r="A363" s="84" t="s">
        <v>306</v>
      </c>
    </row>
    <row r="364" spans="1:1" x14ac:dyDescent="0.2">
      <c r="A364" s="84" t="s">
        <v>307</v>
      </c>
    </row>
    <row r="365" spans="1:1" x14ac:dyDescent="0.2">
      <c r="A365" s="84" t="s">
        <v>308</v>
      </c>
    </row>
    <row r="366" spans="1:1" x14ac:dyDescent="0.2">
      <c r="A366" s="84" t="s">
        <v>309</v>
      </c>
    </row>
    <row r="367" spans="1:1" x14ac:dyDescent="0.2">
      <c r="A367" s="84" t="s">
        <v>310</v>
      </c>
    </row>
    <row r="368" spans="1:1" x14ac:dyDescent="0.2">
      <c r="A368" s="84" t="s">
        <v>311</v>
      </c>
    </row>
    <row r="369" spans="1:1" x14ac:dyDescent="0.2">
      <c r="A369" s="84" t="s">
        <v>312</v>
      </c>
    </row>
    <row r="370" spans="1:1" x14ac:dyDescent="0.2">
      <c r="A370" s="84" t="s">
        <v>313</v>
      </c>
    </row>
    <row r="371" spans="1:1" x14ac:dyDescent="0.2">
      <c r="A371" s="84" t="s">
        <v>314</v>
      </c>
    </row>
    <row r="372" spans="1:1" x14ac:dyDescent="0.2">
      <c r="A372" s="84" t="s">
        <v>315</v>
      </c>
    </row>
    <row r="373" spans="1:1" x14ac:dyDescent="0.2">
      <c r="A373" s="84" t="s">
        <v>316</v>
      </c>
    </row>
    <row r="374" spans="1:1" x14ac:dyDescent="0.2">
      <c r="A374" s="84" t="s">
        <v>317</v>
      </c>
    </row>
    <row r="375" spans="1:1" x14ac:dyDescent="0.2">
      <c r="A375" s="84" t="s">
        <v>318</v>
      </c>
    </row>
    <row r="376" spans="1:1" x14ac:dyDescent="0.2">
      <c r="A376" s="84" t="s">
        <v>319</v>
      </c>
    </row>
    <row r="377" spans="1:1" x14ac:dyDescent="0.2">
      <c r="A377" s="84" t="s">
        <v>320</v>
      </c>
    </row>
    <row r="378" spans="1:1" x14ac:dyDescent="0.2">
      <c r="A378" s="84" t="s">
        <v>321</v>
      </c>
    </row>
    <row r="379" spans="1:1" x14ac:dyDescent="0.2">
      <c r="A379" s="84" t="s">
        <v>322</v>
      </c>
    </row>
    <row r="380" spans="1:1" x14ac:dyDescent="0.2">
      <c r="A380" s="84" t="s">
        <v>323</v>
      </c>
    </row>
    <row r="381" spans="1:1" x14ac:dyDescent="0.2">
      <c r="A381" s="84" t="s">
        <v>324</v>
      </c>
    </row>
    <row r="382" spans="1:1" x14ac:dyDescent="0.2">
      <c r="A382" s="84" t="s">
        <v>325</v>
      </c>
    </row>
    <row r="383" spans="1:1" x14ac:dyDescent="0.2">
      <c r="A383" s="84" t="s">
        <v>326</v>
      </c>
    </row>
    <row r="384" spans="1:1" x14ac:dyDescent="0.2">
      <c r="A384" s="84" t="s">
        <v>327</v>
      </c>
    </row>
    <row r="385" spans="1:1" x14ac:dyDescent="0.2">
      <c r="A385" s="84" t="s">
        <v>328</v>
      </c>
    </row>
    <row r="386" spans="1:1" x14ac:dyDescent="0.2">
      <c r="A386" s="84" t="s">
        <v>329</v>
      </c>
    </row>
    <row r="387" spans="1:1" x14ac:dyDescent="0.2">
      <c r="A387" s="84" t="s">
        <v>330</v>
      </c>
    </row>
    <row r="388" spans="1:1" x14ac:dyDescent="0.2">
      <c r="A388" s="84" t="s">
        <v>331</v>
      </c>
    </row>
    <row r="389" spans="1:1" x14ac:dyDescent="0.2">
      <c r="A389" s="84" t="s">
        <v>332</v>
      </c>
    </row>
    <row r="390" spans="1:1" x14ac:dyDescent="0.2">
      <c r="A390" s="84" t="s">
        <v>333</v>
      </c>
    </row>
    <row r="391" spans="1:1" x14ac:dyDescent="0.2">
      <c r="A391" s="84" t="s">
        <v>334</v>
      </c>
    </row>
    <row r="392" spans="1:1" x14ac:dyDescent="0.2">
      <c r="A392" s="84" t="s">
        <v>335</v>
      </c>
    </row>
    <row r="393" spans="1:1" x14ac:dyDescent="0.2">
      <c r="A393" s="84" t="s">
        <v>336</v>
      </c>
    </row>
    <row r="394" spans="1:1" x14ac:dyDescent="0.2">
      <c r="A394" s="84" t="s">
        <v>337</v>
      </c>
    </row>
    <row r="395" spans="1:1" x14ac:dyDescent="0.2">
      <c r="A395" s="84" t="s">
        <v>338</v>
      </c>
    </row>
    <row r="396" spans="1:1" x14ac:dyDescent="0.2">
      <c r="A396" s="84" t="s">
        <v>339</v>
      </c>
    </row>
    <row r="397" spans="1:1" x14ac:dyDescent="0.2">
      <c r="A397" s="84" t="s">
        <v>340</v>
      </c>
    </row>
    <row r="398" spans="1:1" x14ac:dyDescent="0.2">
      <c r="A398" s="84" t="s">
        <v>341</v>
      </c>
    </row>
    <row r="399" spans="1:1" x14ac:dyDescent="0.2">
      <c r="A399" s="84" t="s">
        <v>342</v>
      </c>
    </row>
    <row r="400" spans="1:1" x14ac:dyDescent="0.2">
      <c r="A400" s="84" t="s">
        <v>343</v>
      </c>
    </row>
    <row r="401" spans="1:1" x14ac:dyDescent="0.2">
      <c r="A401" s="84" t="s">
        <v>344</v>
      </c>
    </row>
    <row r="402" spans="1:1" x14ac:dyDescent="0.2">
      <c r="A402" s="84" t="s">
        <v>345</v>
      </c>
    </row>
    <row r="403" spans="1:1" x14ac:dyDescent="0.2">
      <c r="A403" s="84" t="s">
        <v>346</v>
      </c>
    </row>
    <row r="404" spans="1:1" x14ac:dyDescent="0.2">
      <c r="A404" s="84" t="s">
        <v>347</v>
      </c>
    </row>
    <row r="405" spans="1:1" x14ac:dyDescent="0.2">
      <c r="A405" s="84" t="s">
        <v>348</v>
      </c>
    </row>
    <row r="406" spans="1:1" x14ac:dyDescent="0.2">
      <c r="A406" s="84" t="s">
        <v>349</v>
      </c>
    </row>
    <row r="407" spans="1:1" x14ac:dyDescent="0.2">
      <c r="A407" s="84" t="s">
        <v>350</v>
      </c>
    </row>
    <row r="408" spans="1:1" x14ac:dyDescent="0.2">
      <c r="A408" s="84" t="s">
        <v>351</v>
      </c>
    </row>
    <row r="409" spans="1:1" x14ac:dyDescent="0.2">
      <c r="A409" s="84" t="s">
        <v>352</v>
      </c>
    </row>
    <row r="410" spans="1:1" x14ac:dyDescent="0.2">
      <c r="A410" s="84" t="s">
        <v>353</v>
      </c>
    </row>
    <row r="411" spans="1:1" x14ac:dyDescent="0.2">
      <c r="A411" s="84" t="s">
        <v>354</v>
      </c>
    </row>
    <row r="412" spans="1:1" x14ac:dyDescent="0.2">
      <c r="A412" s="84" t="s">
        <v>355</v>
      </c>
    </row>
    <row r="413" spans="1:1" x14ac:dyDescent="0.2">
      <c r="A413" s="84" t="s">
        <v>356</v>
      </c>
    </row>
    <row r="414" spans="1:1" x14ac:dyDescent="0.2">
      <c r="A414" s="84" t="s">
        <v>357</v>
      </c>
    </row>
    <row r="415" spans="1:1" x14ac:dyDescent="0.2">
      <c r="A415" s="84" t="s">
        <v>358</v>
      </c>
    </row>
    <row r="416" spans="1:1" x14ac:dyDescent="0.2">
      <c r="A416" s="84" t="s">
        <v>359</v>
      </c>
    </row>
    <row r="417" spans="1:1" x14ac:dyDescent="0.2">
      <c r="A417" s="84" t="s">
        <v>360</v>
      </c>
    </row>
    <row r="418" spans="1:1" x14ac:dyDescent="0.2">
      <c r="A418" s="84" t="s">
        <v>361</v>
      </c>
    </row>
    <row r="419" spans="1:1" x14ac:dyDescent="0.2">
      <c r="A419" s="84" t="s">
        <v>362</v>
      </c>
    </row>
    <row r="420" spans="1:1" x14ac:dyDescent="0.2">
      <c r="A420" s="84" t="s">
        <v>363</v>
      </c>
    </row>
    <row r="421" spans="1:1" x14ac:dyDescent="0.2">
      <c r="A421" s="84" t="s">
        <v>364</v>
      </c>
    </row>
    <row r="422" spans="1:1" x14ac:dyDescent="0.2">
      <c r="A422" s="84" t="s">
        <v>365</v>
      </c>
    </row>
    <row r="423" spans="1:1" x14ac:dyDescent="0.2">
      <c r="A423" s="84" t="s">
        <v>366</v>
      </c>
    </row>
    <row r="424" spans="1:1" x14ac:dyDescent="0.2">
      <c r="A424" s="84" t="s">
        <v>367</v>
      </c>
    </row>
    <row r="425" spans="1:1" x14ac:dyDescent="0.2">
      <c r="A425" s="84" t="s">
        <v>368</v>
      </c>
    </row>
    <row r="426" spans="1:1" x14ac:dyDescent="0.2">
      <c r="A426" s="84" t="s">
        <v>369</v>
      </c>
    </row>
    <row r="427" spans="1:1" x14ac:dyDescent="0.2">
      <c r="A427" s="84" t="s">
        <v>370</v>
      </c>
    </row>
    <row r="428" spans="1:1" x14ac:dyDescent="0.2">
      <c r="A428" s="84" t="s">
        <v>371</v>
      </c>
    </row>
    <row r="429" spans="1:1" x14ac:dyDescent="0.2">
      <c r="A429" s="84" t="s">
        <v>372</v>
      </c>
    </row>
    <row r="430" spans="1:1" x14ac:dyDescent="0.2">
      <c r="A430" s="84" t="s">
        <v>373</v>
      </c>
    </row>
    <row r="431" spans="1:1" x14ac:dyDescent="0.2">
      <c r="A431" s="84" t="s">
        <v>374</v>
      </c>
    </row>
    <row r="432" spans="1:1" x14ac:dyDescent="0.2">
      <c r="A432" s="84" t="s">
        <v>375</v>
      </c>
    </row>
    <row r="433" spans="1:1" x14ac:dyDescent="0.2">
      <c r="A433" s="84" t="s">
        <v>376</v>
      </c>
    </row>
    <row r="434" spans="1:1" x14ac:dyDescent="0.2">
      <c r="A434" s="84" t="s">
        <v>377</v>
      </c>
    </row>
    <row r="435" spans="1:1" x14ac:dyDescent="0.2">
      <c r="A435" s="84" t="s">
        <v>378</v>
      </c>
    </row>
    <row r="436" spans="1:1" x14ac:dyDescent="0.2">
      <c r="A436" s="84" t="s">
        <v>379</v>
      </c>
    </row>
    <row r="437" spans="1:1" x14ac:dyDescent="0.2">
      <c r="A437" s="84" t="s">
        <v>380</v>
      </c>
    </row>
    <row r="438" spans="1:1" x14ac:dyDescent="0.2">
      <c r="A438" s="84" t="s">
        <v>381</v>
      </c>
    </row>
    <row r="439" spans="1:1" x14ac:dyDescent="0.2">
      <c r="A439" s="84" t="s">
        <v>382</v>
      </c>
    </row>
    <row r="440" spans="1:1" x14ac:dyDescent="0.2">
      <c r="A440" s="84" t="s">
        <v>383</v>
      </c>
    </row>
    <row r="441" spans="1:1" x14ac:dyDescent="0.2">
      <c r="A441" s="84" t="s">
        <v>384</v>
      </c>
    </row>
    <row r="442" spans="1:1" x14ac:dyDescent="0.2">
      <c r="A442" s="84" t="s">
        <v>385</v>
      </c>
    </row>
    <row r="443" spans="1:1" x14ac:dyDescent="0.2">
      <c r="A443" s="84" t="s">
        <v>386</v>
      </c>
    </row>
    <row r="444" spans="1:1" x14ac:dyDescent="0.2">
      <c r="A444" s="84" t="s">
        <v>387</v>
      </c>
    </row>
    <row r="445" spans="1:1" x14ac:dyDescent="0.2">
      <c r="A445" s="84" t="s">
        <v>388</v>
      </c>
    </row>
    <row r="446" spans="1:1" x14ac:dyDescent="0.2">
      <c r="A446" s="84" t="s">
        <v>389</v>
      </c>
    </row>
    <row r="447" spans="1:1" x14ac:dyDescent="0.2">
      <c r="A447" s="84" t="s">
        <v>390</v>
      </c>
    </row>
    <row r="448" spans="1:1" x14ac:dyDescent="0.2">
      <c r="A448" s="84" t="s">
        <v>391</v>
      </c>
    </row>
    <row r="449" spans="1:1" x14ac:dyDescent="0.2">
      <c r="A449" s="84" t="s">
        <v>392</v>
      </c>
    </row>
    <row r="450" spans="1:1" x14ac:dyDescent="0.2">
      <c r="A450" s="84" t="s">
        <v>393</v>
      </c>
    </row>
    <row r="451" spans="1:1" x14ac:dyDescent="0.2">
      <c r="A451" s="84" t="s">
        <v>394</v>
      </c>
    </row>
    <row r="452" spans="1:1" x14ac:dyDescent="0.2">
      <c r="A452" s="84" t="s">
        <v>395</v>
      </c>
    </row>
    <row r="453" spans="1:1" x14ac:dyDescent="0.2">
      <c r="A453" s="84" t="s">
        <v>396</v>
      </c>
    </row>
    <row r="454" spans="1:1" x14ac:dyDescent="0.2">
      <c r="A454" s="84" t="s">
        <v>397</v>
      </c>
    </row>
    <row r="455" spans="1:1" x14ac:dyDescent="0.2">
      <c r="A455" s="84" t="s">
        <v>398</v>
      </c>
    </row>
    <row r="456" spans="1:1" x14ac:dyDescent="0.2">
      <c r="A456" s="84" t="s">
        <v>399</v>
      </c>
    </row>
    <row r="457" spans="1:1" x14ac:dyDescent="0.2">
      <c r="A457" s="84" t="s">
        <v>400</v>
      </c>
    </row>
    <row r="458" spans="1:1" x14ac:dyDescent="0.2">
      <c r="A458" s="84" t="s">
        <v>401</v>
      </c>
    </row>
    <row r="459" spans="1:1" x14ac:dyDescent="0.2">
      <c r="A459" s="84" t="s">
        <v>402</v>
      </c>
    </row>
    <row r="460" spans="1:1" x14ac:dyDescent="0.2">
      <c r="A460" s="84" t="s">
        <v>403</v>
      </c>
    </row>
    <row r="461" spans="1:1" x14ac:dyDescent="0.2">
      <c r="A461" s="84" t="s">
        <v>404</v>
      </c>
    </row>
    <row r="462" spans="1:1" x14ac:dyDescent="0.2">
      <c r="A462" s="84" t="s">
        <v>405</v>
      </c>
    </row>
    <row r="463" spans="1:1" x14ac:dyDescent="0.2">
      <c r="A463" s="84" t="s">
        <v>406</v>
      </c>
    </row>
    <row r="464" spans="1:1" x14ac:dyDescent="0.2">
      <c r="A464" s="84" t="s">
        <v>407</v>
      </c>
    </row>
    <row r="465" spans="1:1" x14ac:dyDescent="0.2">
      <c r="A465" s="84" t="s">
        <v>408</v>
      </c>
    </row>
    <row r="466" spans="1:1" x14ac:dyDescent="0.2">
      <c r="A466" s="84" t="s">
        <v>409</v>
      </c>
    </row>
    <row r="467" spans="1:1" x14ac:dyDescent="0.2">
      <c r="A467" s="84" t="s">
        <v>410</v>
      </c>
    </row>
    <row r="468" spans="1:1" x14ac:dyDescent="0.2">
      <c r="A468" s="84" t="s">
        <v>411</v>
      </c>
    </row>
    <row r="469" spans="1:1" x14ac:dyDescent="0.2">
      <c r="A469" s="84" t="s">
        <v>412</v>
      </c>
    </row>
    <row r="470" spans="1:1" x14ac:dyDescent="0.2">
      <c r="A470" s="84" t="s">
        <v>413</v>
      </c>
    </row>
    <row r="471" spans="1:1" x14ac:dyDescent="0.2">
      <c r="A471" s="84" t="s">
        <v>414</v>
      </c>
    </row>
    <row r="472" spans="1:1" x14ac:dyDescent="0.2">
      <c r="A472" s="84" t="s">
        <v>415</v>
      </c>
    </row>
    <row r="473" spans="1:1" x14ac:dyDescent="0.2">
      <c r="A473" s="84" t="s">
        <v>416</v>
      </c>
    </row>
    <row r="474" spans="1:1" x14ac:dyDescent="0.2">
      <c r="A474" s="84" t="s">
        <v>417</v>
      </c>
    </row>
    <row r="475" spans="1:1" x14ac:dyDescent="0.2">
      <c r="A475" s="84" t="s">
        <v>418</v>
      </c>
    </row>
    <row r="476" spans="1:1" x14ac:dyDescent="0.2">
      <c r="A476" s="84" t="s">
        <v>419</v>
      </c>
    </row>
    <row r="477" spans="1:1" x14ac:dyDescent="0.2">
      <c r="A477" s="84" t="s">
        <v>420</v>
      </c>
    </row>
    <row r="478" spans="1:1" x14ac:dyDescent="0.2">
      <c r="A478" s="84" t="s">
        <v>421</v>
      </c>
    </row>
    <row r="479" spans="1:1" x14ac:dyDescent="0.2">
      <c r="A479" s="84" t="s">
        <v>422</v>
      </c>
    </row>
    <row r="480" spans="1:1" x14ac:dyDescent="0.2">
      <c r="A480" s="84" t="s">
        <v>423</v>
      </c>
    </row>
    <row r="481" spans="1:1" x14ac:dyDescent="0.2">
      <c r="A481" s="84" t="s">
        <v>424</v>
      </c>
    </row>
    <row r="482" spans="1:1" x14ac:dyDescent="0.2">
      <c r="A482" s="84" t="s">
        <v>425</v>
      </c>
    </row>
    <row r="483" spans="1:1" x14ac:dyDescent="0.2">
      <c r="A483" s="84" t="s">
        <v>426</v>
      </c>
    </row>
    <row r="484" spans="1:1" x14ac:dyDescent="0.2">
      <c r="A484" s="84" t="s">
        <v>427</v>
      </c>
    </row>
    <row r="485" spans="1:1" x14ac:dyDescent="0.2">
      <c r="A485" s="84" t="s">
        <v>428</v>
      </c>
    </row>
    <row r="486" spans="1:1" x14ac:dyDescent="0.2">
      <c r="A486" s="84" t="s">
        <v>429</v>
      </c>
    </row>
    <row r="487" spans="1:1" x14ac:dyDescent="0.2">
      <c r="A487" s="84" t="s">
        <v>430</v>
      </c>
    </row>
    <row r="488" spans="1:1" x14ac:dyDescent="0.2">
      <c r="A488" s="84" t="s">
        <v>431</v>
      </c>
    </row>
    <row r="489" spans="1:1" x14ac:dyDescent="0.2">
      <c r="A489" s="84" t="s">
        <v>432</v>
      </c>
    </row>
    <row r="490" spans="1:1" x14ac:dyDescent="0.2">
      <c r="A490" s="84" t="s">
        <v>433</v>
      </c>
    </row>
    <row r="491" spans="1:1" x14ac:dyDescent="0.2">
      <c r="A491" s="84" t="s">
        <v>434</v>
      </c>
    </row>
    <row r="492" spans="1:1" x14ac:dyDescent="0.2">
      <c r="A492" s="84" t="s">
        <v>435</v>
      </c>
    </row>
    <row r="493" spans="1:1" x14ac:dyDescent="0.2">
      <c r="A493" s="84" t="s">
        <v>436</v>
      </c>
    </row>
    <row r="494" spans="1:1" x14ac:dyDescent="0.2">
      <c r="A494" s="84" t="s">
        <v>437</v>
      </c>
    </row>
    <row r="495" spans="1:1" x14ac:dyDescent="0.2">
      <c r="A495" s="84" t="s">
        <v>438</v>
      </c>
    </row>
    <row r="496" spans="1:1" x14ac:dyDescent="0.2">
      <c r="A496" s="84" t="s">
        <v>439</v>
      </c>
    </row>
    <row r="497" spans="1:1" x14ac:dyDescent="0.2">
      <c r="A497" s="84" t="s">
        <v>440</v>
      </c>
    </row>
    <row r="498" spans="1:1" x14ac:dyDescent="0.2">
      <c r="A498" s="84" t="s">
        <v>441</v>
      </c>
    </row>
  </sheetData>
  <sheetProtection sheet="1" objects="1" scenarios="1"/>
  <mergeCells count="3">
    <mergeCell ref="U1:W1"/>
    <mergeCell ref="A1:B1"/>
    <mergeCell ref="E1:F1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N130"/>
  <sheetViews>
    <sheetView workbookViewId="0">
      <selection activeCell="H48" sqref="H48"/>
    </sheetView>
  </sheetViews>
  <sheetFormatPr defaultRowHeight="13" x14ac:dyDescent="0.2"/>
  <cols>
    <col min="1" max="1" width="3.453125" bestFit="1" customWidth="1"/>
    <col min="2" max="2" width="14.6328125" style="1" customWidth="1"/>
    <col min="3" max="3" width="12.6328125" style="1" customWidth="1"/>
    <col min="4" max="4" width="13.6328125" style="1" customWidth="1"/>
    <col min="5" max="6" width="5.90625" customWidth="1"/>
    <col min="7" max="7" width="14.6328125" customWidth="1"/>
    <col min="8" max="8" width="12.6328125" customWidth="1"/>
    <col min="9" max="9" width="13.6328125" customWidth="1"/>
    <col min="11" max="11" width="14.6328125" customWidth="1"/>
    <col min="12" max="12" width="12.6328125" customWidth="1"/>
    <col min="13" max="13" width="13.6328125" customWidth="1"/>
  </cols>
  <sheetData>
    <row r="1" spans="1:14" ht="11.25" customHeight="1" x14ac:dyDescent="0.2">
      <c r="B1" s="21" t="s">
        <v>543</v>
      </c>
      <c r="C1" s="18">
        <f>【入力ｼｰﾄ】支援課提出用!I19</f>
        <v>0</v>
      </c>
      <c r="D1" s="19" t="s">
        <v>21</v>
      </c>
      <c r="G1" s="330">
        <f>【入力ｼｰﾄ】支援課提出用!E15</f>
        <v>0</v>
      </c>
      <c r="H1" s="331"/>
      <c r="I1" s="332"/>
    </row>
    <row r="2" spans="1:14" ht="11.25" customHeight="1" thickBot="1" x14ac:dyDescent="0.25">
      <c r="B2" s="24" t="s">
        <v>544</v>
      </c>
      <c r="C2" s="20">
        <f>【入力ｼｰﾄ】支援課提出用!AA19</f>
        <v>0</v>
      </c>
      <c r="D2" s="19" t="s">
        <v>13</v>
      </c>
      <c r="G2" s="333"/>
      <c r="H2" s="334"/>
      <c r="I2" s="335"/>
    </row>
    <row r="3" spans="1:14" ht="11.25" customHeight="1" x14ac:dyDescent="0.2">
      <c r="B3" s="24" t="s">
        <v>545</v>
      </c>
      <c r="C3" s="1">
        <f>【入力ｼｰﾄ】支援課提出用!AE19</f>
        <v>0</v>
      </c>
      <c r="D3" s="22" t="s">
        <v>13</v>
      </c>
    </row>
    <row r="4" spans="1:14" ht="11.25" customHeight="1" x14ac:dyDescent="0.2">
      <c r="B4" s="24" t="s">
        <v>546</v>
      </c>
      <c r="C4" s="25">
        <f>VALUE(IF(【入力ｼｰﾄ】支援課提出用!AI19="　　１ 　　 年賦","1",IF(【入力ｼｰﾄ】支援課提出用!AI19="　　２  　　半年賦","2","0")))</f>
        <v>0</v>
      </c>
      <c r="D4" s="19"/>
    </row>
    <row r="5" spans="1:14" ht="11.25" customHeight="1" x14ac:dyDescent="0.2">
      <c r="B5" s="24" t="s">
        <v>547</v>
      </c>
      <c r="C5" s="1">
        <f>(C2-C3)*C4</f>
        <v>0</v>
      </c>
      <c r="D5" s="22" t="s">
        <v>548</v>
      </c>
    </row>
    <row r="6" spans="1:14" ht="11.25" customHeight="1" x14ac:dyDescent="0.2">
      <c r="B6" s="24" t="s">
        <v>549</v>
      </c>
      <c r="C6" s="11" t="str">
        <f>N6</f>
        <v>0000/00/00</v>
      </c>
      <c r="D6" s="19"/>
      <c r="E6" s="40">
        <f>【入力ｼｰﾄ】支援課提出用!AQ15</f>
        <v>0</v>
      </c>
      <c r="F6" s="40">
        <f>【入力ｼｰﾄ】支援課提出用!AR15</f>
        <v>0</v>
      </c>
      <c r="G6" s="40">
        <f>【入力ｼｰﾄ】支援課提出用!AS15</f>
        <v>0</v>
      </c>
      <c r="H6" s="40">
        <f>【入力ｼｰﾄ】支援課提出用!AT15</f>
        <v>0</v>
      </c>
      <c r="I6" s="40">
        <f>【入力ｼｰﾄ】支援課提出用!AU15</f>
        <v>0</v>
      </c>
      <c r="J6" s="40">
        <f>【入力ｼｰﾄ】支援課提出用!AV15</f>
        <v>0</v>
      </c>
      <c r="K6" s="40">
        <f>【入力ｼｰﾄ】支援課提出用!AW15</f>
        <v>0</v>
      </c>
      <c r="L6" s="40">
        <f>【入力ｼｰﾄ】支援課提出用!AX15</f>
        <v>0</v>
      </c>
      <c r="M6" s="40"/>
      <c r="N6" s="41" t="str">
        <f>VALUE(E6)&amp;VALUE(F6)&amp;VALUE(G6)&amp;VALUE(H6)&amp;"/"&amp;VALUE(I6)&amp;VALUE(J6)&amp;"/"&amp;VALUE(K6)&amp;VALUE(L6)</f>
        <v>0000/00/00</v>
      </c>
    </row>
    <row r="7" spans="1:14" ht="11.25" customHeight="1" x14ac:dyDescent="0.2">
      <c r="B7" s="24" t="s">
        <v>550</v>
      </c>
      <c r="C7" s="23" t="e">
        <f>C1-C8*((C2-C3)*C4-1)</f>
        <v>#DIV/0!</v>
      </c>
      <c r="D7" s="22" t="s">
        <v>21</v>
      </c>
      <c r="E7" s="40">
        <f>VALUE(E6)</f>
        <v>0</v>
      </c>
      <c r="F7" s="40">
        <f t="shared" ref="F7:L7" si="0">VALUE(F6)</f>
        <v>0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/>
      <c r="N7" s="40"/>
    </row>
    <row r="8" spans="1:14" ht="11.25" customHeight="1" x14ac:dyDescent="0.2">
      <c r="B8" s="24" t="s">
        <v>551</v>
      </c>
      <c r="C8" s="26" t="e">
        <f>ROUNDDOWN((C1/((C2-C3)*C4)),0)</f>
        <v>#DIV/0!</v>
      </c>
      <c r="D8" s="19" t="s">
        <v>21</v>
      </c>
      <c r="E8" s="40"/>
      <c r="F8" s="40"/>
      <c r="G8" s="40"/>
      <c r="H8" s="40">
        <f>VALUE(G7&amp;H7)</f>
        <v>0</v>
      </c>
      <c r="I8" s="40"/>
      <c r="J8" s="40">
        <f>VALUE(I7&amp;J7)</f>
        <v>0</v>
      </c>
      <c r="K8" s="40">
        <f>MOD(J8,2)</f>
        <v>0</v>
      </c>
      <c r="L8" s="40">
        <f>VALUE(K7&amp;L7)</f>
        <v>0</v>
      </c>
      <c r="M8" s="40"/>
      <c r="N8" s="40"/>
    </row>
    <row r="9" spans="1:14" x14ac:dyDescent="0.2">
      <c r="E9" s="40"/>
      <c r="F9" s="40"/>
      <c r="G9" s="40"/>
      <c r="H9" s="40"/>
      <c r="I9" s="40"/>
      <c r="J9" s="40">
        <f>IF(AND(K8=1,L8&gt;=21,L8&lt;31),J8,IF(K8=0,J8-1,IF(AND(J8=1,L8&gt;=1,L8&lt;15),11,IF(AND(K8=1,L8&gt;=1,L8&lt;15),J8-2,""))))</f>
        <v>-1</v>
      </c>
      <c r="K9" s="40"/>
      <c r="L9" s="40"/>
      <c r="M9" s="40"/>
      <c r="N9" s="40"/>
    </row>
    <row r="10" spans="1:14" x14ac:dyDescent="0.2">
      <c r="B10" s="36" t="s">
        <v>667</v>
      </c>
      <c r="C10" s="32" t="s">
        <v>669</v>
      </c>
      <c r="D10" s="33"/>
      <c r="G10" s="38" t="s">
        <v>670</v>
      </c>
      <c r="H10" s="34" t="s">
        <v>669</v>
      </c>
      <c r="I10" s="35"/>
      <c r="K10" s="38" t="s">
        <v>670</v>
      </c>
      <c r="L10" s="30" t="s">
        <v>668</v>
      </c>
      <c r="M10" s="31"/>
    </row>
    <row r="11" spans="1:14" x14ac:dyDescent="0.2">
      <c r="A11" s="336" t="s">
        <v>672</v>
      </c>
      <c r="B11" s="27" t="s">
        <v>552</v>
      </c>
      <c r="C11" s="27" t="s">
        <v>671</v>
      </c>
      <c r="D11" s="27" t="s">
        <v>553</v>
      </c>
      <c r="G11" s="27" t="s">
        <v>552</v>
      </c>
      <c r="H11" s="27" t="s">
        <v>671</v>
      </c>
      <c r="I11" s="27" t="s">
        <v>553</v>
      </c>
      <c r="K11" s="27" t="s">
        <v>552</v>
      </c>
      <c r="L11" s="27" t="s">
        <v>671</v>
      </c>
      <c r="M11" s="27" t="s">
        <v>553</v>
      </c>
    </row>
    <row r="12" spans="1:14" x14ac:dyDescent="0.2">
      <c r="A12" s="336"/>
      <c r="B12" s="7" t="str">
        <f>IF(AND(C4=1,C3=0),C6,"")</f>
        <v/>
      </c>
      <c r="C12" s="6" t="str">
        <f>IF(AND(C4=1,C3=0),"貸付実行日","")</f>
        <v/>
      </c>
      <c r="D12" s="8" t="str">
        <f>IF(AND(C4=1,C3=0),C1*1000,"")</f>
        <v/>
      </c>
      <c r="G12" s="7" t="str">
        <f>IF(AND(C4=2,C3=0),C6,"")</f>
        <v/>
      </c>
      <c r="H12" s="12" t="str">
        <f>IF(AND(C4=2,C3=0),"貸付実行日","")</f>
        <v/>
      </c>
      <c r="I12" s="13" t="str">
        <f>IF(AND(C4=2,C3=0),C1*1000,"")</f>
        <v/>
      </c>
      <c r="K12" s="17" t="str">
        <f>IF(AND(C4=2,C3&gt;0),C6,"")</f>
        <v/>
      </c>
      <c r="L12" s="12" t="str">
        <f>IF(AND(C4=2,C3&gt;0),"貸付実行日","")</f>
        <v/>
      </c>
      <c r="M12" s="13" t="str">
        <f>IF(AND(C4=2,C3&gt;0),C1*1000,"")</f>
        <v/>
      </c>
    </row>
    <row r="13" spans="1:14" x14ac:dyDescent="0.2">
      <c r="A13">
        <v>1</v>
      </c>
      <c r="B13" s="7" t="str">
        <f>IF(AND(C4=1,C3=0),(VALUE(E7&amp;F7&amp;G7&amp;H7)+1)&amp;"/"&amp;J9&amp;"/"&amp;"20","")</f>
        <v/>
      </c>
      <c r="C13" s="8" t="str">
        <f>IF(AND(C4=1,C3=0),C7*1000,"")</f>
        <v/>
      </c>
      <c r="D13" s="8" t="str">
        <f>IFERROR(D12-C13,"")</f>
        <v/>
      </c>
      <c r="G13" s="14" t="str">
        <f>IF(AND(C4=2,C3=0),IF(J9&gt;6,VALUE(E7&amp;F7&amp;H8+1&amp;"/"&amp;J9-6&amp;"/"&amp;20),VALUE(E7&amp;F7&amp;H8&amp;"/"&amp;J9+6&amp;"/"&amp;20)),"")</f>
        <v/>
      </c>
      <c r="H13" s="15" t="str">
        <f>IF(AND(C4=2,C3=0),C7*1000,"")</f>
        <v/>
      </c>
      <c r="I13" s="16" t="str">
        <f>IFERROR(I12-H13,"")</f>
        <v/>
      </c>
      <c r="K13" s="17" t="str">
        <f>IF(AND(C4=2,C3&gt;0),IF(J9&gt;6,VALUE(E7&amp;F7&amp;H8+1&amp;"/"&amp;J9-6&amp;"/"&amp;20),VALUE(E7&amp;F7&amp;H8&amp;"/"&amp;J9+6&amp;"/"&amp;20)),"")</f>
        <v/>
      </c>
      <c r="L13" s="12" t="str">
        <f>IF(AND(C4=2,C3&gt;0),"据置①","")</f>
        <v/>
      </c>
      <c r="M13" s="16" t="str">
        <f>M12</f>
        <v/>
      </c>
    </row>
    <row r="14" spans="1:14" x14ac:dyDescent="0.2">
      <c r="A14">
        <v>2</v>
      </c>
      <c r="B14" s="7" t="str">
        <f>IF(AND(C4=1,C3=0),(VALUE(E7&amp;F7&amp;G7&amp;H7)+2)&amp;"/"&amp;J9&amp;"/"&amp;"20","")</f>
        <v/>
      </c>
      <c r="C14" s="9" t="str">
        <f>IF(AND(C4=1,C3=0),C8*1000,"")</f>
        <v/>
      </c>
      <c r="D14" s="8" t="str">
        <f t="shared" ref="D14:D27" si="1">IFERROR(IF(D13&gt;0,D13-C14,""),"")</f>
        <v/>
      </c>
      <c r="F14">
        <v>1</v>
      </c>
      <c r="G14" s="12" t="str">
        <f>IF(AND(C4=2,C3=0),(VALUE(E7&amp;F7&amp;G7&amp;H7)+1)&amp;"/"&amp;J9&amp;"/"&amp;"20","")</f>
        <v/>
      </c>
      <c r="H14" s="15" t="str">
        <f>IF(AND(C4=2,C3=0),C8*1000,"")</f>
        <v/>
      </c>
      <c r="I14" s="16" t="str">
        <f t="shared" ref="I14:I42" si="2">IFERROR(IF(I13&gt;0,I13-H14,""),"")</f>
        <v/>
      </c>
      <c r="J14">
        <v>1</v>
      </c>
      <c r="K14" s="17" t="str">
        <f>IF(AND(C4=2,C3&gt;0),IF(AND(C4=2,C3&gt;0),(VALUE(E7&amp;F7&amp;G7&amp;H7)+1)&amp;"/"&amp;J9&amp;"/"&amp;"20",""),"")</f>
        <v/>
      </c>
      <c r="L14" s="12" t="str">
        <f>IF(AND(C4=2,C3&gt;0),"据置①","")</f>
        <v/>
      </c>
      <c r="M14" s="16" t="str">
        <f>M13</f>
        <v/>
      </c>
    </row>
    <row r="15" spans="1:14" x14ac:dyDescent="0.2">
      <c r="A15">
        <v>3</v>
      </c>
      <c r="B15" s="7" t="str">
        <f>IF(AND(C4=1,C3=0,C2&gt;=3),(VALUE(E7&amp;F7&amp;G7&amp;H7)+3)&amp;"/"&amp;J9&amp;"/"&amp;"20","")</f>
        <v/>
      </c>
      <c r="C15" s="9" t="str">
        <f t="shared" ref="C15:C27" si="3">IFERROR(IF(D14&gt;0,C14,""),"")</f>
        <v/>
      </c>
      <c r="D15" s="8" t="str">
        <f t="shared" si="1"/>
        <v/>
      </c>
      <c r="G15" s="17" t="str">
        <f>IF(AND(C4=2,C3=0),IF(J9&gt;6,VALUE(E7&amp;F7&amp;H8+2&amp;"/"&amp;J9-6&amp;"/"&amp;20),VALUE(E7&amp;F7&amp;H8+1&amp;"/"&amp;J9+6&amp;"/"&amp;20)),"")</f>
        <v/>
      </c>
      <c r="H15" s="15" t="str">
        <f>IF(AND(C4=2,C3=0),C8*1000,"")</f>
        <v/>
      </c>
      <c r="I15" s="16" t="str">
        <f t="shared" si="2"/>
        <v/>
      </c>
      <c r="K15" s="17" t="str">
        <f>IF(AND(C4=2,C3&gt;0),IF(J9&gt;6,VALUE(E7&amp;F7&amp;H8+2&amp;"/"&amp;J9-6&amp;"/"&amp;20),VALUE(E7&amp;F7&amp;H8+1&amp;"/"&amp;J9+6&amp;"/"&amp;20)),"")</f>
        <v/>
      </c>
      <c r="L15" s="15" t="str">
        <f>IF(AND(C4=2,C3&gt;0),IF(C3=1,C7*1000,IF(C3&gt;=2,"据置②","")),"")</f>
        <v/>
      </c>
      <c r="M15" s="13" t="str">
        <f>IFERROR(IF(L15="据置②",M14,M14-L15),"")</f>
        <v/>
      </c>
    </row>
    <row r="16" spans="1:14" x14ac:dyDescent="0.2">
      <c r="A16">
        <v>4</v>
      </c>
      <c r="B16" s="7" t="str">
        <f>IF(AND(C4=1,C3=0,C2&gt;=4),(VALUE(E7&amp;F7&amp;G7&amp;H7)+4)&amp;"/"&amp;J9&amp;"/"&amp;"20","")</f>
        <v/>
      </c>
      <c r="C16" s="9" t="str">
        <f t="shared" si="3"/>
        <v/>
      </c>
      <c r="D16" s="8" t="str">
        <f t="shared" si="1"/>
        <v/>
      </c>
      <c r="F16">
        <v>2</v>
      </c>
      <c r="G16" s="12" t="str">
        <f>IF(AND(C4=2,C3=0),(VALUE(E7&amp;F7&amp;G7&amp;H7)+2)&amp;"/"&amp;J9&amp;"/"&amp;"20","")</f>
        <v/>
      </c>
      <c r="H16" s="15" t="str">
        <f>IF(AND(C4=2,C3=0),C8*1000,"")</f>
        <v/>
      </c>
      <c r="I16" s="16" t="str">
        <f t="shared" si="2"/>
        <v/>
      </c>
      <c r="J16">
        <v>2</v>
      </c>
      <c r="K16" s="17" t="str">
        <f>IF(AND(C4=2,C3&gt;0),IF(AND(C4=2,C3&gt;0),(VALUE(E7&amp;F7&amp;G7&amp;H7)+2)&amp;"/"&amp;J9&amp;"/"&amp;"20",""),"")</f>
        <v/>
      </c>
      <c r="L16" s="15" t="str">
        <f>IF(AND(C4=2,C3&gt;0),IF(C3=1,C8*1000,IF(C3&gt;=2,"据置②","")),"")</f>
        <v/>
      </c>
      <c r="M16" s="13" t="str">
        <f>IFERROR(IF(L16="据置②",M15,M15-L16),"")</f>
        <v/>
      </c>
    </row>
    <row r="17" spans="1:13" x14ac:dyDescent="0.2">
      <c r="A17">
        <v>5</v>
      </c>
      <c r="B17" s="7" t="str">
        <f>IF(AND(C4=1,C3=0,C2&gt;=5),(VALUE(E7&amp;F7&amp;G7&amp;H7)+5)&amp;"/"&amp;J9&amp;"/"&amp;"20","")</f>
        <v/>
      </c>
      <c r="C17" s="9" t="str">
        <f t="shared" si="3"/>
        <v/>
      </c>
      <c r="D17" s="8" t="str">
        <f t="shared" si="1"/>
        <v/>
      </c>
      <c r="G17" s="17" t="str">
        <f>IF(AND(C4=2,C3=0),IF(J9&gt;6,VALUE(E7&amp;F7&amp;H8+3&amp;"/"&amp;J9-6&amp;"/"&amp;20),VALUE(E7&amp;F7&amp;H8+2&amp;"/"&amp;J9+6&amp;"/"&amp;20)),"")</f>
        <v/>
      </c>
      <c r="H17" s="15" t="str">
        <f>IF(AND(C4=2,C3=0),C8*1000,"")</f>
        <v/>
      </c>
      <c r="I17" s="16" t="str">
        <f t="shared" si="2"/>
        <v/>
      </c>
      <c r="K17" s="17" t="str">
        <f>IF(AND(C4=2,C3&gt;0),IF(J9&gt;6,VALUE(E7&amp;F7&amp;H8+3&amp;"/"&amp;J9-6&amp;"/"&amp;20),VALUE(E7&amp;F7&amp;H8+2&amp;"/"&amp;J9+6&amp;"/"&amp;20)),"")</f>
        <v/>
      </c>
      <c r="L17" s="15" t="str">
        <f>IF(AND(C4=2,C3&gt;0),IF(C3=2,C7*1000,IF(C3=1,C8*1000,IF(C3&gt;=3,"据置③",""))),"")</f>
        <v/>
      </c>
      <c r="M17" s="13" t="str">
        <f>IFERROR(IF(L17="据置③",M16,M16-L17),"")</f>
        <v/>
      </c>
    </row>
    <row r="18" spans="1:13" x14ac:dyDescent="0.2">
      <c r="A18">
        <v>6</v>
      </c>
      <c r="B18" s="7" t="str">
        <f>IF(AND(C4=1,C3=0,C2&gt;=6),(VALUE(E7&amp;F7&amp;G7&amp;H7)+6)&amp;"/"&amp;J9&amp;"/"&amp;"20","")</f>
        <v/>
      </c>
      <c r="C18" s="9" t="str">
        <f t="shared" si="3"/>
        <v/>
      </c>
      <c r="D18" s="8" t="str">
        <f t="shared" si="1"/>
        <v/>
      </c>
      <c r="F18">
        <v>3</v>
      </c>
      <c r="G18" s="17" t="str">
        <f>IF(AND(C4=2,C3=0),(VALUE(E7&amp;F7&amp;G7&amp;H7)+3)&amp;"/"&amp;J9&amp;"/"&amp;"20","")</f>
        <v/>
      </c>
      <c r="H18" s="15" t="str">
        <f>IF(AND(C4=2,C3=0,C2&gt;=3),C8*1000,"")</f>
        <v/>
      </c>
      <c r="I18" s="16" t="str">
        <f t="shared" si="2"/>
        <v/>
      </c>
      <c r="J18">
        <v>3</v>
      </c>
      <c r="K18" s="17" t="str">
        <f>IF(AND(C4=2,C3&gt;0,C2&gt;=3),IF(AND(C4=2,C3&gt;0),(VALUE(E7&amp;F7&amp;G7&amp;H7)+3)&amp;"/"&amp;J9&amp;"/"&amp;"20",""),"")</f>
        <v/>
      </c>
      <c r="L18" s="15" t="str">
        <f>IF(AND(C4=2,C3&gt;0,C2&gt;=3),IF(OR(C3=1,C3=2),C8*1000,IF(C3&gt;=3,"据置③","")),"")</f>
        <v/>
      </c>
      <c r="M18" s="13" t="str">
        <f>IFERROR(IF(L18="据置③",M17,M17-L18),"")</f>
        <v/>
      </c>
    </row>
    <row r="19" spans="1:13" x14ac:dyDescent="0.2">
      <c r="A19">
        <v>7</v>
      </c>
      <c r="B19" s="7" t="str">
        <f>IF(AND(C4=1,C3=0,C2&gt;=7),(VALUE(E7&amp;F7&amp;G7&amp;H7)+7)&amp;"/"&amp;J9&amp;"/"&amp;"20","")</f>
        <v/>
      </c>
      <c r="C19" s="9" t="str">
        <f t="shared" si="3"/>
        <v/>
      </c>
      <c r="D19" s="8" t="str">
        <f t="shared" si="1"/>
        <v/>
      </c>
      <c r="G19" s="17" t="str">
        <f>IF(AND(C4=2,C3=0,C2&gt;3),IF(J9&gt;6,VALUE(E7&amp;F7&amp;H8+4&amp;"/"&amp;J9-6&amp;"/"&amp;20),VALUE(E7&amp;F7&amp;H8+3&amp;"/"&amp;J9+6&amp;"/"&amp;20)),"")</f>
        <v/>
      </c>
      <c r="H19" s="15" t="str">
        <f>IF(AND(C4=2,C3=0,C2&gt;3),C8*1000,"")</f>
        <v/>
      </c>
      <c r="I19" s="16" t="str">
        <f t="shared" si="2"/>
        <v/>
      </c>
      <c r="K19" s="17" t="str">
        <f>IF(AND(C4=2,C3&gt;0,C2&gt;3),IF(J9&gt;6,VALUE(E7&amp;F7&amp;H8+4&amp;"/"&amp;J9-6&amp;"/"&amp;20),VALUE(E7&amp;F7&amp;H8+3&amp;"/"&amp;J9+6&amp;"/"&amp;20)),"")</f>
        <v/>
      </c>
      <c r="L19" s="15" t="str">
        <f>IF(AND(C4=2,C3&gt;0,C2&gt;3),IF(C3=3,C7*1000,IF(C3&gt;=4,"据置④",IF(OR(C3=1,C3=2),C8*1000,""))),"")</f>
        <v/>
      </c>
      <c r="M19" s="13" t="str">
        <f>IFERROR(IF(L19="据置④",M18,M18-L19),"")</f>
        <v/>
      </c>
    </row>
    <row r="20" spans="1:13" x14ac:dyDescent="0.2">
      <c r="A20">
        <v>8</v>
      </c>
      <c r="B20" s="7" t="str">
        <f>IF(AND(C4=1,C3=0,C2&gt;=8),(VALUE(E7&amp;F7&amp;G7&amp;H7)+8)&amp;"/"&amp;J9&amp;"/"&amp;"20","")</f>
        <v/>
      </c>
      <c r="C20" s="9" t="str">
        <f t="shared" si="3"/>
        <v/>
      </c>
      <c r="D20" s="8" t="str">
        <f t="shared" si="1"/>
        <v/>
      </c>
      <c r="F20">
        <v>4</v>
      </c>
      <c r="G20" s="17" t="str">
        <f>IF(AND(C4=2,C3=0,C2&gt;=4),(VALUE(E7&amp;F7&amp;G7&amp;H7)+4)&amp;"/"&amp;J9&amp;"/"&amp;"20","")</f>
        <v/>
      </c>
      <c r="H20" s="15" t="str">
        <f>IF(AND(C4=2,C3=0,C2&gt;=4),C8*1000,"")</f>
        <v/>
      </c>
      <c r="I20" s="16" t="str">
        <f t="shared" si="2"/>
        <v/>
      </c>
      <c r="J20">
        <v>4</v>
      </c>
      <c r="K20" s="17" t="str">
        <f>IF(AND(C4=2,C3&gt;0,C2&gt;=4),IF(AND(C4=2,C3&gt;0),(VALUE(E7&amp;F7&amp;G7&amp;H7)+4)&amp;"/"&amp;J9&amp;"/"&amp;"20",""),"")</f>
        <v/>
      </c>
      <c r="L20" s="15" t="str">
        <f>IF(AND(C4=2,C3&gt;0,C2&gt;=4),IF(OR(C3=1,C3=2,C3=3),C8*1000,IF(C3&gt;=4,"据置④","")),"")</f>
        <v/>
      </c>
      <c r="M20" s="13" t="str">
        <f>IFERROR(IF(L20="据置④",M19,M19-L20),"")</f>
        <v/>
      </c>
    </row>
    <row r="21" spans="1:13" x14ac:dyDescent="0.2">
      <c r="A21">
        <v>9</v>
      </c>
      <c r="B21" s="7" t="str">
        <f>IF(AND(C4=1,C3=0,C2&gt;=9),(VALUE(E7&amp;F7&amp;G7&amp;H7)+9)&amp;"/"&amp;J9&amp;"/"&amp;"20","")</f>
        <v/>
      </c>
      <c r="C21" s="9" t="str">
        <f t="shared" si="3"/>
        <v/>
      </c>
      <c r="D21" s="8" t="str">
        <f t="shared" si="1"/>
        <v/>
      </c>
      <c r="G21" s="17" t="str">
        <f>IF(AND(C4=2,C3=0,C2&gt;4),IF(J9&gt;6,VALUE(E7&amp;F7&amp;H8+5&amp;"/"&amp;J9-6&amp;"/"&amp;20),VALUE(E7&amp;F7&amp;H8+4&amp;"/"&amp;J9+6&amp;"/"&amp;20)),"")</f>
        <v/>
      </c>
      <c r="H21" s="15" t="str">
        <f>IF(AND(C4=2,C3=0,C2&gt;4),C8*1000,"")</f>
        <v/>
      </c>
      <c r="I21" s="16" t="str">
        <f t="shared" si="2"/>
        <v/>
      </c>
      <c r="K21" s="17" t="str">
        <f>IF(AND(C4=2,C3&gt;0,C2&gt;4),IF(J9&gt;6,VALUE(E7&amp;F7&amp;H8+5&amp;"/"&amp;J9-6&amp;"/"&amp;20),VALUE(E7&amp;F7&amp;H8+4&amp;"/"&amp;J9+6&amp;"/"&amp;20)),"")</f>
        <v/>
      </c>
      <c r="L21" s="15" t="str">
        <f>IF(AND(C4=2,C3&gt;0,C2&gt;4),IF(C3=4,C7*1000,IF(C3&gt;=5,"据置⑤",IF(OR(C3=1,C3=2,C3=3),C8*1000,""))),"")</f>
        <v/>
      </c>
      <c r="M21" s="13" t="str">
        <f>IFERROR(IF(L21="据置⑤",M20,M20-L21),"")</f>
        <v/>
      </c>
    </row>
    <row r="22" spans="1:13" x14ac:dyDescent="0.2">
      <c r="A22">
        <v>10</v>
      </c>
      <c r="B22" s="7" t="str">
        <f>IF(AND(C4=1,C3=0,C2&gt;=10),(VALUE(E7&amp;F7&amp;G7&amp;H7)+10)&amp;"/"&amp;J9&amp;"/"&amp;"20","")</f>
        <v/>
      </c>
      <c r="C22" s="9" t="str">
        <f t="shared" si="3"/>
        <v/>
      </c>
      <c r="D22" s="8" t="str">
        <f t="shared" si="1"/>
        <v/>
      </c>
      <c r="F22">
        <v>5</v>
      </c>
      <c r="G22" s="17" t="str">
        <f>IF(AND(C4=2,C3=0,C2&gt;=5),(VALUE(E7&amp;F7&amp;G7&amp;H7)+5)&amp;"/"&amp;J9&amp;"/"&amp;"20","")</f>
        <v/>
      </c>
      <c r="H22" s="15" t="str">
        <f>IF(AND(C4=2,C3=0,C2&gt;=5),C8*1000,"")</f>
        <v/>
      </c>
      <c r="I22" s="16" t="str">
        <f t="shared" si="2"/>
        <v/>
      </c>
      <c r="J22">
        <v>5</v>
      </c>
      <c r="K22" s="17" t="str">
        <f>IF(AND(C4=2,C3&gt;0,C2&gt;=5),IF(AND(C4=2,C3&gt;0),(VALUE(E7&amp;F7&amp;G7&amp;H7)+5)&amp;"/"&amp;J9&amp;"/"&amp;"20",""),"")</f>
        <v/>
      </c>
      <c r="L22" s="15" t="str">
        <f>IF(AND(C4=2,C3&gt;0,C2&gt;=5),IF(OR(C3=1,C3=2,C3=3,C3=4),C8*1000,IF(C3&gt;=5,"据置⑤","")),"")</f>
        <v/>
      </c>
      <c r="M22" s="13" t="str">
        <f>IFERROR(IF(L22="据置⑤",M21,M21-L22),"")</f>
        <v/>
      </c>
    </row>
    <row r="23" spans="1:13" x14ac:dyDescent="0.2">
      <c r="A23">
        <v>11</v>
      </c>
      <c r="B23" s="7" t="str">
        <f>IF(AND(C4=1,C3=0,C2&gt;=11),(VALUE(E7&amp;F7&amp;G7&amp;H7)+11)&amp;"/"&amp;J9&amp;"/"&amp;"20","")</f>
        <v/>
      </c>
      <c r="C23" s="9" t="str">
        <f t="shared" si="3"/>
        <v/>
      </c>
      <c r="D23" s="8" t="str">
        <f t="shared" si="1"/>
        <v/>
      </c>
      <c r="F23" s="3"/>
      <c r="G23" s="17" t="str">
        <f>IF(AND(C4=2,C3=0,C2&gt;5),IF(J9&gt;6,VALUE(E7&amp;F7&amp;H8+6&amp;"/"&amp;J9-6&amp;"/"&amp;20),VALUE(E7&amp;F7&amp;H8+5&amp;"/"&amp;J9+6&amp;"/"&amp;20)),"")</f>
        <v/>
      </c>
      <c r="H23" s="10" t="str">
        <f>IF(AND(C4=2,C3=0,C2&gt;5),C8*1000,"")</f>
        <v/>
      </c>
      <c r="I23" s="16" t="str">
        <f t="shared" si="2"/>
        <v/>
      </c>
      <c r="K23" s="17" t="str">
        <f>IF(AND(C4=2,C3&gt;0,C2&gt;5),IF(J9&gt;6,VALUE(E7&amp;F7&amp;H8+6&amp;"/"&amp;J9-6&amp;"/"&amp;20),VALUE(E7&amp;F7&amp;H8+5&amp;"/"&amp;J9+6&amp;"/"&amp;20)),"")</f>
        <v/>
      </c>
      <c r="L23" s="15" t="str">
        <f>IF(AND(C4=2,C3&gt;0,C2&gt;5),IF(C3=5,C7*1000,IF(C3&gt;=6,"据置⑥",IF(OR(C3=1,C3=2,C3=3,C3=4),C8*1000,""))),"")</f>
        <v/>
      </c>
      <c r="M23" s="13" t="str">
        <f>IFERROR(IF(L23="据置⑥",M22,M22-L23),"")</f>
        <v/>
      </c>
    </row>
    <row r="24" spans="1:13" x14ac:dyDescent="0.2">
      <c r="A24">
        <v>12</v>
      </c>
      <c r="B24" s="7" t="str">
        <f>IF(AND(C4=1,C3=0,C2&gt;=12),(VALUE(E7&amp;F7&amp;G7&amp;H7)+12)&amp;"/"&amp;J9&amp;"/"&amp;"20","")</f>
        <v/>
      </c>
      <c r="C24" s="9" t="str">
        <f t="shared" si="3"/>
        <v/>
      </c>
      <c r="D24" s="8" t="str">
        <f t="shared" si="1"/>
        <v/>
      </c>
      <c r="F24">
        <v>6</v>
      </c>
      <c r="G24" s="17" t="str">
        <f>IF(AND(C4=2,C3=0,C2&gt;=6),(VALUE(E7&amp;F7&amp;G7&amp;H7)+6)&amp;"/"&amp;J9&amp;"/"&amp;"20","")</f>
        <v/>
      </c>
      <c r="H24" s="15" t="str">
        <f>IF(AND(C4=2,C3=0,C2&gt;=6),C8*1000,"")</f>
        <v/>
      </c>
      <c r="I24" s="16" t="str">
        <f t="shared" si="2"/>
        <v/>
      </c>
      <c r="J24">
        <v>6</v>
      </c>
      <c r="K24" s="17" t="str">
        <f>IF(AND(C4=2,C3&gt;0,C2&gt;=6),IF(AND(C4=2,C3&gt;0),(VALUE(E7&amp;F7&amp;G7&amp;H7)+6)&amp;"/"&amp;J9&amp;"/"&amp;"20",""),"")</f>
        <v/>
      </c>
      <c r="L24" s="15" t="str">
        <f>IF(AND(C4=2,C3&gt;0,C2&gt;=6),IF(OR(C3=1,C3=2,C3=3,C3=4,C3=5),C8*1000,IF(C3&gt;=6,"据置⑥","")),"")</f>
        <v/>
      </c>
      <c r="M24" s="13" t="str">
        <f>IFERROR(IF(L24="据置⑥",M23,M23-L24),"")</f>
        <v/>
      </c>
    </row>
    <row r="25" spans="1:13" x14ac:dyDescent="0.2">
      <c r="A25">
        <v>13</v>
      </c>
      <c r="B25" s="7" t="str">
        <f>IF(AND(C4=1,C3=0,C2&gt;=13),(VALUE(E7&amp;F7&amp;G7&amp;H7)+13)&amp;"/"&amp;J9&amp;"/"&amp;"20","")</f>
        <v/>
      </c>
      <c r="C25" s="9" t="str">
        <f t="shared" si="3"/>
        <v/>
      </c>
      <c r="D25" s="8" t="str">
        <f t="shared" si="1"/>
        <v/>
      </c>
      <c r="G25" s="17" t="str">
        <f>IF(AND(C4=2,C3=0,C2&gt;6),IF(J9&gt;6,VALUE(E7&amp;F7&amp;H8+7&amp;"/"&amp;J9-6&amp;"/"&amp;20),VALUE(E7&amp;F7&amp;H8+6&amp;"/"&amp;J9+6&amp;"/"&amp;20)),"")</f>
        <v/>
      </c>
      <c r="H25" s="15" t="str">
        <f>IF(AND(C4=2,C3=0,C2&gt;6),C8*1000,"")</f>
        <v/>
      </c>
      <c r="I25" s="16" t="str">
        <f t="shared" si="2"/>
        <v/>
      </c>
      <c r="K25" s="17" t="str">
        <f>IF(AND(C4=2,C3&gt;0,C2&gt;6),IF(J9&gt;6,VALUE(E7&amp;F7&amp;H8+7&amp;"/"&amp;J9-6&amp;"/"&amp;20),VALUE(E7&amp;F7&amp;H8+6&amp;"/"&amp;J9+6&amp;"/"&amp;20)),"")</f>
        <v/>
      </c>
      <c r="L25" s="15" t="str">
        <f>IF(AND(C4=2,C3&gt;0,C2&gt;6),IF(C3=6,C7*1000,IF(C3&gt;=7,"据置⑦",IF(OR(C3=1,C3=2,C3=3,C3=4,C3=5),C8*1000,""))),"")</f>
        <v/>
      </c>
      <c r="M25" s="13" t="str">
        <f>IFERROR(IF(L25="据置⑦",M24,M24-L25),"")</f>
        <v/>
      </c>
    </row>
    <row r="26" spans="1:13" x14ac:dyDescent="0.2">
      <c r="A26">
        <v>14</v>
      </c>
      <c r="B26" s="7" t="str">
        <f>IF(AND(C4=1,C3=0,C2&gt;=14),(VALUE(E7&amp;F7&amp;G7&amp;H7)+14)&amp;"/"&amp;J9&amp;"/"&amp;"20","")</f>
        <v/>
      </c>
      <c r="C26" s="9" t="str">
        <f t="shared" si="3"/>
        <v/>
      </c>
      <c r="D26" s="8" t="str">
        <f t="shared" si="1"/>
        <v/>
      </c>
      <c r="F26">
        <v>7</v>
      </c>
      <c r="G26" s="17" t="str">
        <f>IF(AND(C4=2,C3=0,C2&gt;=7),(VALUE(E7&amp;F7&amp;G7&amp;H7)+7)&amp;"/"&amp;J9&amp;"/"&amp;"20","")</f>
        <v/>
      </c>
      <c r="H26" s="15" t="str">
        <f>IF(AND(C4=2,C3=0,C2&gt;=7),C8*1000,"")</f>
        <v/>
      </c>
      <c r="I26" s="16" t="str">
        <f t="shared" si="2"/>
        <v/>
      </c>
      <c r="J26">
        <v>7</v>
      </c>
      <c r="K26" s="17" t="str">
        <f>IF(AND(C4=2,C3&gt;0,C2&gt;=7),IF(AND(C4=2,C3&gt;0),(VALUE(E7&amp;F7&amp;G7&amp;H7)+7)&amp;"/"&amp;J9&amp;"/"&amp;"20",""),"")</f>
        <v/>
      </c>
      <c r="L26" s="39" t="str">
        <f>IF(AND(C4=2,C3&gt;0,C2&gt;=7),IF(OR(C3=1,C3=2,C3=3,C3=4,C3=5,C3=6),C8*1000,IF(C3=7,"据置⑦","")),"")</f>
        <v/>
      </c>
      <c r="M26" s="13" t="str">
        <f>IFERROR(IF(L26="据置⑦",M25,M25-L26),"")</f>
        <v/>
      </c>
    </row>
    <row r="27" spans="1:13" x14ac:dyDescent="0.2">
      <c r="A27">
        <v>15</v>
      </c>
      <c r="B27" s="7" t="str">
        <f>IF(AND(C4=1,C3=0,C2=15),(VALUE(E7&amp;F7&amp;G7&amp;H7)+15)&amp;"/"&amp;J9&amp;"/"&amp;"20","")</f>
        <v/>
      </c>
      <c r="C27" s="9" t="str">
        <f t="shared" si="3"/>
        <v/>
      </c>
      <c r="D27" s="8" t="str">
        <f t="shared" si="1"/>
        <v/>
      </c>
      <c r="G27" s="17" t="str">
        <f>IF(AND(C4=2,C3=0,C2&gt;7),IF(J9&gt;6,VALUE(E7&amp;F7&amp;H8+8&amp;"/"&amp;J9-6&amp;"/"&amp;20),VALUE(E7&amp;F7&amp;H8+7&amp;"/"&amp;J9+6&amp;"/"&amp;20)),"")</f>
        <v/>
      </c>
      <c r="H27" s="15" t="str">
        <f>IF(AND(C4=2,C3=0,C2&gt;7),C8*1000,"")</f>
        <v/>
      </c>
      <c r="I27" s="16" t="str">
        <f t="shared" si="2"/>
        <v/>
      </c>
      <c r="K27" s="17" t="str">
        <f>IF(AND(C4=2,C3&gt;0,C2&gt;7),IF(J9&gt;6,VALUE(E7&amp;F7&amp;H8+8&amp;"/"&amp;J9-6&amp;"/"&amp;20),VALUE(E7&amp;F7&amp;H8+7&amp;"/"&amp;J9+6&amp;"/"&amp;20)),"")</f>
        <v/>
      </c>
      <c r="L27" s="15" t="str">
        <f>IF(AND(C4=2,C3&gt;0,C2&gt;7),IF(C3=7,C7*1000,IF(OR(C3=1,C3=2,C3=3,C3=4,C3=5,C3=6),C8*1000,IF(C3&gt;=8,C8*1000,""))),"")</f>
        <v/>
      </c>
      <c r="M27" s="16" t="str">
        <f t="shared" ref="M27:M42" si="4">IFERROR(M26-L27,"")</f>
        <v/>
      </c>
    </row>
    <row r="28" spans="1:13" x14ac:dyDescent="0.2">
      <c r="B28" s="2"/>
      <c r="D28" s="3"/>
      <c r="F28">
        <v>8</v>
      </c>
      <c r="G28" s="17" t="str">
        <f>IF(AND(C4=2,C3=0,C2&gt;=8),(VALUE(E7&amp;F7&amp;G7&amp;H7)+8)&amp;"/"&amp;J9&amp;"/"&amp;"20","")</f>
        <v/>
      </c>
      <c r="H28" s="15" t="str">
        <f>IF(AND(C4=2,C3=0,C2&gt;=8),C8*1000,"")</f>
        <v/>
      </c>
      <c r="I28" s="16" t="str">
        <f t="shared" si="2"/>
        <v/>
      </c>
      <c r="J28">
        <v>8</v>
      </c>
      <c r="K28" s="17" t="str">
        <f>IF(AND(C4=2,C3&gt;0,C2&gt;=8),IF(AND(C4=2,C3&gt;0),(VALUE(E7&amp;F7&amp;G7&amp;H7)+8)&amp;"/"&amp;J9&amp;"/"&amp;"20",""),"")</f>
        <v/>
      </c>
      <c r="L28" s="15" t="str">
        <f>IF(AND(C4=2,C3&gt;0,C2&gt;=8),IF(C3=7,C8*1000,IF(OR(C3=1,C3=2,C3=3,C3=4,C3=5,C3=6),C8*1000,IF(C3&gt;=8,C8*1000,""))),"")</f>
        <v/>
      </c>
      <c r="M28" s="16" t="str">
        <f t="shared" si="4"/>
        <v/>
      </c>
    </row>
    <row r="29" spans="1:13" x14ac:dyDescent="0.2">
      <c r="B29" s="37" t="s">
        <v>667</v>
      </c>
      <c r="C29" s="28" t="s">
        <v>668</v>
      </c>
      <c r="D29" s="29"/>
      <c r="G29" s="17" t="str">
        <f>IF(AND(C4=2,C3=0,C2&gt;8),IF(J9&gt;6,VALUE(E7&amp;F7&amp;H8+9&amp;"/"&amp;J9-6&amp;"/"&amp;20),VALUE(E7&amp;F7&amp;H8+8&amp;"/"&amp;J9+6&amp;"/"&amp;20)),"")</f>
        <v/>
      </c>
      <c r="H29" s="15" t="str">
        <f>IF(AND(C4=2,C3=0,C2&gt;8),C8*1000,"")</f>
        <v/>
      </c>
      <c r="I29" s="16" t="str">
        <f t="shared" si="2"/>
        <v/>
      </c>
      <c r="K29" s="17" t="str">
        <f>IF(AND(C4=2,C3&gt;0,C2&gt;8),IF(J9&gt;6,VALUE(E7&amp;F7&amp;H8+9&amp;"/"&amp;J9-6&amp;"/"&amp;20),VALUE(E7&amp;F7&amp;H8+8&amp;"/"&amp;J9+6&amp;"/"&amp;20)),"")</f>
        <v/>
      </c>
      <c r="L29" s="15" t="str">
        <f>IF(AND(C4=2,C3&gt;0,C2&gt;8),C8*1000,"")</f>
        <v/>
      </c>
      <c r="M29" s="16" t="str">
        <f t="shared" si="4"/>
        <v/>
      </c>
    </row>
    <row r="30" spans="1:13" x14ac:dyDescent="0.2">
      <c r="B30" s="27" t="s">
        <v>552</v>
      </c>
      <c r="C30" s="27" t="s">
        <v>671</v>
      </c>
      <c r="D30" s="27" t="s">
        <v>553</v>
      </c>
      <c r="F30">
        <v>9</v>
      </c>
      <c r="G30" s="17" t="str">
        <f>IF(AND(C4=2,C3=0,C2&gt;=9),(VALUE(E7&amp;F7&amp;G7&amp;H7)+9)&amp;"/"&amp;J9&amp;"/"&amp;"20","")</f>
        <v/>
      </c>
      <c r="H30" s="15" t="str">
        <f>IF(AND(C4=2,C3=0,C2&gt;=9),C8*1000,"")</f>
        <v/>
      </c>
      <c r="I30" s="16" t="str">
        <f t="shared" si="2"/>
        <v/>
      </c>
      <c r="J30">
        <v>9</v>
      </c>
      <c r="K30" s="17" t="str">
        <f>IF(AND(C4=2,C3&gt;0,C2&gt;=9),IF(AND(C4=2,C3&gt;0),(VALUE(E7&amp;F7&amp;G7&amp;H7)+9)&amp;"/"&amp;J9&amp;"/"&amp;"20",""),"")</f>
        <v/>
      </c>
      <c r="L30" s="15" t="str">
        <f>IF(AND(C4=2,C3&gt;0,C2&gt;=9),C8*1000,"")</f>
        <v/>
      </c>
      <c r="M30" s="16" t="str">
        <f t="shared" si="4"/>
        <v/>
      </c>
    </row>
    <row r="31" spans="1:13" x14ac:dyDescent="0.2">
      <c r="B31" s="7" t="str">
        <f>IF(AND(C4=1,C3&gt;0),C6,"")</f>
        <v/>
      </c>
      <c r="C31" s="6" t="str">
        <f>IF(AND(C4=1,C3&gt;0),"貸付実行日","")</f>
        <v/>
      </c>
      <c r="D31" s="8" t="str">
        <f>IF(AND(C4=1,C3&gt;0),C1*1000,"")</f>
        <v/>
      </c>
      <c r="G31" s="17" t="str">
        <f>IF(AND(C4=2,C3=0,C2&gt;9),IF(J9&gt;6,VALUE(E7&amp;F7&amp;H8+10&amp;"/"&amp;J9-6&amp;"/"&amp;20),VALUE(E7&amp;F7&amp;H8+9&amp;"/"&amp;J9+6&amp;"/"&amp;20)),"")</f>
        <v/>
      </c>
      <c r="H31" s="15" t="str">
        <f>IF(AND(C4=2,C3=0,C2&gt;9),C8*1000,"")</f>
        <v/>
      </c>
      <c r="I31" s="16" t="str">
        <f t="shared" si="2"/>
        <v/>
      </c>
      <c r="K31" s="17" t="str">
        <f>IF(AND(C4=2,C3&gt;0,C2&gt;9),IF(J9&gt;6,VALUE(E7&amp;F7&amp;H8+10&amp;"/"&amp;J9-6&amp;"/"&amp;20),VALUE(E7&amp;F7&amp;H8+9&amp;"/"&amp;J9+6&amp;"/"&amp;20)),"")</f>
        <v/>
      </c>
      <c r="L31" s="15" t="str">
        <f>IF(AND(C4=2,C3&gt;0,C2&gt;9),C8*1000,"")</f>
        <v/>
      </c>
      <c r="M31" s="16" t="str">
        <f t="shared" si="4"/>
        <v/>
      </c>
    </row>
    <row r="32" spans="1:13" x14ac:dyDescent="0.2">
      <c r="A32">
        <v>1</v>
      </c>
      <c r="B32" s="7" t="str">
        <f>IF(AND(C4=1,C3&gt;0),(VALUE(E7&amp;F7&amp;G7&amp;H7)+1)&amp;"/"&amp;J9&amp;"/"&amp;"20","")</f>
        <v/>
      </c>
      <c r="C32" s="6" t="str">
        <f>IF(AND(C4=1,C3&gt;0),"据置①","")</f>
        <v/>
      </c>
      <c r="D32" s="8" t="str">
        <f>D31</f>
        <v/>
      </c>
      <c r="F32">
        <v>10</v>
      </c>
      <c r="G32" s="17" t="str">
        <f>IF(AND(C4=2,C3=0,C2&gt;=10),(VALUE(E7&amp;F7&amp;G7&amp;H7)+10)&amp;"/"&amp;J9&amp;"/"&amp;"20","")</f>
        <v/>
      </c>
      <c r="H32" s="15" t="str">
        <f>IF(AND(C4=2,C3=0,C2&gt;=10),C8*1000,"")</f>
        <v/>
      </c>
      <c r="I32" s="16" t="str">
        <f t="shared" si="2"/>
        <v/>
      </c>
      <c r="J32">
        <v>10</v>
      </c>
      <c r="K32" s="17" t="str">
        <f>IF(AND(C4=2,C3&gt;0,C2&gt;=10),IF(AND(C4=2,C3&gt;0),(VALUE(E7&amp;F7&amp;G7&amp;H7)+10)&amp;"/"&amp;J9&amp;"/"&amp;"20",""),"")</f>
        <v/>
      </c>
      <c r="L32" s="15" t="str">
        <f>IF(AND(C4=2,C3&gt;0,C2&gt;=10),C8*1000,"")</f>
        <v/>
      </c>
      <c r="M32" s="16" t="str">
        <f t="shared" si="4"/>
        <v/>
      </c>
    </row>
    <row r="33" spans="1:13" x14ac:dyDescent="0.2">
      <c r="A33">
        <v>2</v>
      </c>
      <c r="B33" s="7" t="str">
        <f>IF(AND(C4=1,C3&gt;0),(VALUE(E7&amp;F7&amp;G7&amp;H7)+2)&amp;"/"&amp;J9&amp;"/"&amp;"20","")</f>
        <v/>
      </c>
      <c r="C33" s="10" t="str">
        <f>IF(C4=1,IF(C3=1,C7*1000,IF(C3=0,"","据置②")),"")</f>
        <v/>
      </c>
      <c r="D33" s="8" t="str">
        <f>IFERROR(IF(C33="据置②",D32,D32-C33),"")</f>
        <v/>
      </c>
      <c r="G33" s="17" t="str">
        <f>IF(AND(C4=2,C3=0,C2&gt;10),IF(J9&gt;6,VALUE(E7&amp;F7&amp;H8+11&amp;"/"&amp;J9-6&amp;"/"&amp;20),VALUE(E7&amp;F7&amp;H8+10&amp;"/"&amp;J9+6&amp;"/"&amp;20)),"")</f>
        <v/>
      </c>
      <c r="H33" s="15" t="str">
        <f>IF(AND(C4=2,C3=0,C2&gt;10),C8*1000,"")</f>
        <v/>
      </c>
      <c r="I33" s="16" t="str">
        <f t="shared" si="2"/>
        <v/>
      </c>
      <c r="K33" s="17" t="str">
        <f>IF(AND(C4=2,C3&gt;0,C2&gt;10),IF(J9&gt;6,VALUE(E7&amp;F7&amp;H8+11&amp;"/"&amp;J9-6&amp;"/"&amp;20),VALUE(E7&amp;F7&amp;H8+10&amp;"/"&amp;J9+6&amp;"/"&amp;20)),"")</f>
        <v/>
      </c>
      <c r="L33" s="15" t="str">
        <f>IF(AND(C4=2,C3&gt;0,C2&gt;10),C8*1000,"")</f>
        <v/>
      </c>
      <c r="M33" s="16" t="str">
        <f t="shared" si="4"/>
        <v/>
      </c>
    </row>
    <row r="34" spans="1:13" x14ac:dyDescent="0.2">
      <c r="A34">
        <v>3</v>
      </c>
      <c r="B34" s="7" t="str">
        <f>IF(AND(C2&gt;=3,C4=1,C3&gt;0),(VALUE(E7&amp;F7&amp;G7&amp;H7)+3)&amp;"/"&amp;J9&amp;"/"&amp;"20","")</f>
        <v/>
      </c>
      <c r="C34" s="10" t="str">
        <f>IF(C4=1,IF(C3=1,C8*1000,IF(C3=2,C7*1000,IF(C3&gt;=3,"据置③",""))),"")</f>
        <v/>
      </c>
      <c r="D34" s="8" t="str">
        <f>IFERROR(IF(C34="据置③",D32,D33-C34),"")</f>
        <v/>
      </c>
      <c r="F34">
        <v>11</v>
      </c>
      <c r="G34" s="17" t="str">
        <f>IF(AND(C4=2,C3=0,C2&gt;=11),(VALUE(E7&amp;F7&amp;G7&amp;H7)+11)&amp;"/"&amp;J9&amp;"/"&amp;"20","")</f>
        <v/>
      </c>
      <c r="H34" s="15" t="str">
        <f>IF(AND(C4=2,C3=0,C2&gt;=11),C8*1000,"")</f>
        <v/>
      </c>
      <c r="I34" s="16" t="str">
        <f t="shared" si="2"/>
        <v/>
      </c>
      <c r="J34">
        <v>11</v>
      </c>
      <c r="K34" s="17" t="str">
        <f>IF(AND(C4=2,C3&gt;0,C2&gt;=11),IF(AND(C4=2,C3&gt;0),(VALUE(E7&amp;F7&amp;G7&amp;H7)+11)&amp;"/"&amp;J9&amp;"/"&amp;"20",""),"")</f>
        <v/>
      </c>
      <c r="L34" s="15" t="str">
        <f>IF(AND(C4=2,C3&gt;0,C2&gt;=11),C8*1000,"")</f>
        <v/>
      </c>
      <c r="M34" s="16" t="str">
        <f t="shared" si="4"/>
        <v/>
      </c>
    </row>
    <row r="35" spans="1:13" x14ac:dyDescent="0.2">
      <c r="A35">
        <v>4</v>
      </c>
      <c r="B35" s="7" t="str">
        <f>IF(AND(C2&gt;=4,C4=1,C3&gt;0),(VALUE(E7&amp;F7&amp;G7&amp;H7)+4)&amp;"/"&amp;J9&amp;"/"&amp;"20","")</f>
        <v/>
      </c>
      <c r="C35" s="10" t="str">
        <f>IF(C4=1,IF(C3=3,C7*1000,IF(AND(OR(C3=2,C3=1),C2&gt;=4),C8*1000,IF(C3&gt;3,"据置④",""))),"")</f>
        <v/>
      </c>
      <c r="D35" s="8" t="str">
        <f>IFERROR(IF(C35="据置④",D34,D34-C35),"")</f>
        <v/>
      </c>
      <c r="G35" s="17" t="str">
        <f>IF(AND(C4=2,C3=0,C2&gt;11),IF(J9&gt;6,VALUE(E7&amp;F7&amp;H8+12&amp;"/"&amp;J9-6&amp;"/"&amp;20),VALUE(E7&amp;F7&amp;H8+11&amp;"/"&amp;J9+6&amp;"/"&amp;20)),"")</f>
        <v/>
      </c>
      <c r="H35" s="15" t="str">
        <f>IF(AND(C4=2,C3=0,C2&gt;11),C8*1000,"")</f>
        <v/>
      </c>
      <c r="I35" s="16" t="str">
        <f t="shared" si="2"/>
        <v/>
      </c>
      <c r="K35" s="17" t="str">
        <f>IF(AND(C4=2,C3&gt;0,C2&gt;11),IF(J9&gt;6,VALUE(E7&amp;F7&amp;H8+12&amp;"/"&amp;J9-6&amp;"/"&amp;20),VALUE(E7&amp;F7&amp;H8+11&amp;"/"&amp;J9+6&amp;"/"&amp;20)),"")</f>
        <v/>
      </c>
      <c r="L35" s="15" t="str">
        <f>IF(AND(C4=2,C3&gt;0,C2&gt;11),C8*1000,"")</f>
        <v/>
      </c>
      <c r="M35" s="16" t="str">
        <f t="shared" si="4"/>
        <v/>
      </c>
    </row>
    <row r="36" spans="1:13" x14ac:dyDescent="0.2">
      <c r="A36">
        <v>5</v>
      </c>
      <c r="B36" s="7" t="str">
        <f>IF(AND(C2&gt;=5,C4=1,C3&gt;0),(VALUE(E7&amp;F7&amp;G7&amp;H7)+5)&amp;"/"&amp;J9&amp;"/"&amp;"20","")</f>
        <v/>
      </c>
      <c r="C36" s="10" t="str">
        <f>IF(C4=1,IF(C3=4,C7*1000,IF(AND(C2&gt;=5,C3&lt;=3,NOT(C3=0)),C8*1000,IF(C3&gt;4,"据置⑤",""))),"")</f>
        <v/>
      </c>
      <c r="D36" s="8" t="str">
        <f>IFERROR(IF(C36="据置⑤",D35,D35-C36),"")</f>
        <v/>
      </c>
      <c r="F36">
        <v>12</v>
      </c>
      <c r="G36" s="17" t="str">
        <f>IF(AND(C4=2,C3=0,C2&gt;=12),(VALUE(E7&amp;F7&amp;G7&amp;H7)+12)&amp;"/"&amp;J9&amp;"/"&amp;"20","")</f>
        <v/>
      </c>
      <c r="H36" s="15" t="str">
        <f>IF(AND(C4=2,C3=0,C2&gt;=12),C8*1000,"")</f>
        <v/>
      </c>
      <c r="I36" s="16" t="str">
        <f t="shared" si="2"/>
        <v/>
      </c>
      <c r="J36">
        <v>12</v>
      </c>
      <c r="K36" s="17" t="str">
        <f>IF(AND(C4=2,C3&gt;0,C2&gt;=12),IF(AND(C4=2,C3&gt;0),(VALUE(E7&amp;F7&amp;G7&amp;H7)+12)&amp;"/"&amp;J9&amp;"/"&amp;"20",""),"")</f>
        <v/>
      </c>
      <c r="L36" s="15" t="str">
        <f>IF(AND(C4=2,C3&gt;0,C2&gt;=12),C8*1000,"")</f>
        <v/>
      </c>
      <c r="M36" s="16" t="str">
        <f t="shared" si="4"/>
        <v/>
      </c>
    </row>
    <row r="37" spans="1:13" x14ac:dyDescent="0.2">
      <c r="A37">
        <v>6</v>
      </c>
      <c r="B37" s="7" t="str">
        <f>IF(AND(C2&gt;=6,C4=1,C3&gt;0),(VALUE(E7&amp;F7&amp;G7&amp;H7)+6)&amp;"/"&amp;J9&amp;"/"&amp;"20","")</f>
        <v/>
      </c>
      <c r="C37" s="10" t="str">
        <f>IF(C4=1,IF(C3=5,C7*1000,IF(AND(C2&gt;=6,C3&lt;=4,NOT(C3=0)),C8*1000,IF(C3&gt;5,"据置⑥",""))),"")</f>
        <v/>
      </c>
      <c r="D37" s="8" t="str">
        <f>IFERROR(IF(C37="据置⑥",D36,D36-C37),"")</f>
        <v/>
      </c>
      <c r="G37" s="17" t="str">
        <f>IF(AND(C4=2,C3=0,C2&gt;12),IF(J9&gt;6,VALUE(E7&amp;F7&amp;H8+13&amp;"/"&amp;J9-6&amp;"/"&amp;20),VALUE(E7&amp;F7&amp;H8+12&amp;"/"&amp;J9+6&amp;"/"&amp;20)),"")</f>
        <v/>
      </c>
      <c r="H37" s="15" t="str">
        <f>IF(AND(C4=2,C3=0,C2&gt;12),C8*1000,"")</f>
        <v/>
      </c>
      <c r="I37" s="16" t="str">
        <f t="shared" si="2"/>
        <v/>
      </c>
      <c r="K37" s="17" t="str">
        <f>IF(AND(C4=2,C3&gt;0,C2&gt;12),IF(J9&gt;6,VALUE(E7&amp;F7&amp;H8+13&amp;"/"&amp;J9-6&amp;"/"&amp;20),VALUE(E7&amp;F7&amp;H8+12&amp;"/"&amp;J9+6&amp;"/"&amp;20)),"")</f>
        <v/>
      </c>
      <c r="L37" s="15" t="str">
        <f>IF(AND(C4=2,C3&gt;0,C2&gt;12),C8*1000,"")</f>
        <v/>
      </c>
      <c r="M37" s="16" t="str">
        <f t="shared" si="4"/>
        <v/>
      </c>
    </row>
    <row r="38" spans="1:13" x14ac:dyDescent="0.2">
      <c r="A38">
        <v>7</v>
      </c>
      <c r="B38" s="7" t="str">
        <f>IF(AND(C2&gt;=7,C4=1,C3&gt;0),(VALUE(E7&amp;F7&amp;G7&amp;H7)+7)&amp;"/"&amp;J9&amp;"/"&amp;"20","")</f>
        <v/>
      </c>
      <c r="C38" s="10" t="str">
        <f>IF(C4=1,IF(C3=6,C7*1000,IF(AND(C2&gt;=7,C3&lt;=5,NOT(C3=0)),C8*1000,IF(C3&gt;6,"据置⑦",""))),"")</f>
        <v/>
      </c>
      <c r="D38" s="8" t="str">
        <f>IFERROR(IF(C38="据置⑦",D37,D37-C38),"")</f>
        <v/>
      </c>
      <c r="F38">
        <v>13</v>
      </c>
      <c r="G38" s="17" t="str">
        <f>IF(AND(C4=2,C3=0,C2&gt;=13),(VALUE(E7&amp;F7&amp;G7&amp;H7)+13)&amp;"/"&amp;J9&amp;"/"&amp;"20","")</f>
        <v/>
      </c>
      <c r="H38" s="15" t="str">
        <f>IF(AND(C4=2,C3=0,C2&gt;=13),C8*1000,"")</f>
        <v/>
      </c>
      <c r="I38" s="16" t="str">
        <f t="shared" si="2"/>
        <v/>
      </c>
      <c r="J38">
        <v>13</v>
      </c>
      <c r="K38" s="17" t="str">
        <f>IF(AND(C4=2,C3&gt;0,C2&gt;=13),IF(AND(C4=2,C3&gt;0),(VALUE(E7&amp;F7&amp;G7&amp;H7)+13)&amp;"/"&amp;J9&amp;"/"&amp;"20",""),"")</f>
        <v/>
      </c>
      <c r="L38" s="15" t="str">
        <f>IF(AND(C4=2,C3&gt;0,C2&gt;=13),C8*1000,"")</f>
        <v/>
      </c>
      <c r="M38" s="16" t="str">
        <f t="shared" si="4"/>
        <v/>
      </c>
    </row>
    <row r="39" spans="1:13" x14ac:dyDescent="0.2">
      <c r="A39">
        <v>8</v>
      </c>
      <c r="B39" s="7" t="str">
        <f>IF(AND(C2&gt;=8,C4=1,C3&gt;0),(VALUE(E7&amp;F7&amp;G7&amp;H7)+8)&amp;"/"&amp;J9&amp;"/"&amp;"20","")</f>
        <v/>
      </c>
      <c r="C39" s="10" t="str">
        <f>IF(C4=1,IF(C3=7,C7*1000,IF(AND(C2&gt;=8,C3&lt;=6,NOT(C3=0)),C8*1000,"")),"")</f>
        <v/>
      </c>
      <c r="D39" s="8" t="str">
        <f t="shared" ref="D39:D46" si="5">IFERROR(D38-C39,"")</f>
        <v/>
      </c>
      <c r="G39" s="17" t="str">
        <f>IF(AND(C4=2,C3=0,C2&gt;13),IF(J9&gt;6,VALUE(E7&amp;F7&amp;H8+14&amp;"/"&amp;J9-6&amp;"/"&amp;20),VALUE(E7&amp;F7&amp;H8+13&amp;"/"&amp;J9+6&amp;"/"&amp;20)),"")</f>
        <v/>
      </c>
      <c r="H39" s="15" t="str">
        <f>IF(AND(C4=2,C3=0,C2&gt;13),C8*1000,"")</f>
        <v/>
      </c>
      <c r="I39" s="16" t="str">
        <f t="shared" si="2"/>
        <v/>
      </c>
      <c r="K39" s="17" t="str">
        <f>IF(AND(C4=2,C3&gt;0,C2&gt;13),IF(J9&gt;6,VALUE(E7&amp;F7&amp;H8+14&amp;"/"&amp;J9-6&amp;"/"&amp;20),VALUE(E7&amp;F7&amp;H8+13&amp;"/"&amp;J9+6&amp;"/"&amp;20)),"")</f>
        <v/>
      </c>
      <c r="L39" s="15" t="str">
        <f>IF(AND(C4=2,C3&gt;0,C2&gt;13),C8*1000,"")</f>
        <v/>
      </c>
      <c r="M39" s="16" t="str">
        <f t="shared" si="4"/>
        <v/>
      </c>
    </row>
    <row r="40" spans="1:13" x14ac:dyDescent="0.2">
      <c r="A40">
        <v>9</v>
      </c>
      <c r="B40" s="7" t="str">
        <f>IF(AND(C2&gt;=9,C4=1,C3&gt;0),(VALUE(E7&amp;F7&amp;G7&amp;H7)+9)&amp;"/"&amp;J9&amp;"/"&amp;"20","")</f>
        <v/>
      </c>
      <c r="C40" s="10" t="str">
        <f>IF(C4=1,IF(AND(C2&gt;=9,NOT(C3=0)),C8*1000,""),"")</f>
        <v/>
      </c>
      <c r="D40" s="8" t="str">
        <f t="shared" si="5"/>
        <v/>
      </c>
      <c r="F40">
        <v>14</v>
      </c>
      <c r="G40" s="17" t="str">
        <f>IF(AND(C4=2,C3=0,C2&gt;=14),(VALUE(E7&amp;F7&amp;G7&amp;H7)+14)&amp;"/"&amp;J9&amp;"/"&amp;"20","")</f>
        <v/>
      </c>
      <c r="H40" s="15" t="str">
        <f>IF(AND(C4=2,C3=0,C2&gt;=14),C8*1000,"")</f>
        <v/>
      </c>
      <c r="I40" s="16" t="str">
        <f t="shared" si="2"/>
        <v/>
      </c>
      <c r="J40">
        <v>14</v>
      </c>
      <c r="K40" s="17" t="str">
        <f>IF(AND(C4=2,C3&gt;0,C2&gt;=14),IF(AND(C4=2,C3&gt;0),(VALUE(E7&amp;F7&amp;G7&amp;H7)+14)&amp;"/"&amp;J9&amp;"/"&amp;"20",""),"")</f>
        <v/>
      </c>
      <c r="L40" s="15" t="str">
        <f>IF(AND(C4=2,C3&gt;0,C2&gt;=14),C8*1000,"")</f>
        <v/>
      </c>
      <c r="M40" s="16" t="str">
        <f t="shared" si="4"/>
        <v/>
      </c>
    </row>
    <row r="41" spans="1:13" x14ac:dyDescent="0.2">
      <c r="A41">
        <v>10</v>
      </c>
      <c r="B41" s="7" t="str">
        <f>IF(AND(C2&gt;=10,C4=1,C3&gt;0),(VALUE(E7&amp;F7&amp;G7&amp;H7)+10)&amp;"/"&amp;J9&amp;"/"&amp;"20","")</f>
        <v/>
      </c>
      <c r="C41" s="10" t="str">
        <f>IF(C4=1,IF(AND(C2&gt;=10,NOT(C3=0)),C8*1000,""),"")</f>
        <v/>
      </c>
      <c r="D41" s="8" t="str">
        <f t="shared" si="5"/>
        <v/>
      </c>
      <c r="G41" s="17" t="str">
        <f>IF(AND(C4=2,C3=0,C2&gt;14),IF(J9&gt;6,VALUE(E7&amp;F7&amp;H8+15&amp;"/"&amp;J9-6&amp;"/"&amp;20),VALUE(E7&amp;F7&amp;H8+14&amp;"/"&amp;J9+6&amp;"/"&amp;20)),"")</f>
        <v/>
      </c>
      <c r="H41" s="15" t="str">
        <f>IF(AND(C4=2,C3=0,C2&gt;14),C8*1000,"")</f>
        <v/>
      </c>
      <c r="I41" s="16" t="str">
        <f t="shared" si="2"/>
        <v/>
      </c>
      <c r="K41" s="17" t="str">
        <f>IF(AND(C4=2,C3&gt;0,C2&gt;14),IF(J9&gt;6,VALUE(E7&amp;F7&amp;H8+15&amp;"/"&amp;J9-6&amp;"/"&amp;20),VALUE(E7&amp;F7&amp;H8+14&amp;"/"&amp;J9+6&amp;"/"&amp;20)),"")</f>
        <v/>
      </c>
      <c r="L41" s="15" t="str">
        <f>IF(AND(C4=2,C3&gt;0,C2&gt;14),C8*1000,"")</f>
        <v/>
      </c>
      <c r="M41" s="16" t="str">
        <f t="shared" si="4"/>
        <v/>
      </c>
    </row>
    <row r="42" spans="1:13" x14ac:dyDescent="0.2">
      <c r="A42">
        <v>11</v>
      </c>
      <c r="B42" s="7" t="str">
        <f>IF(AND(C2&gt;=11,C4=1,C3&gt;0),(VALUE(E7&amp;F7&amp;G7&amp;H7)+11)&amp;"/"&amp;J9&amp;"/"&amp;"20","")</f>
        <v/>
      </c>
      <c r="C42" s="10" t="str">
        <f>IF(C4=1,IF(AND(C2&gt;=11,NOT(C3=0)),C8*1000,""),"")</f>
        <v/>
      </c>
      <c r="D42" s="8" t="str">
        <f t="shared" si="5"/>
        <v/>
      </c>
      <c r="F42">
        <v>15</v>
      </c>
      <c r="G42" s="17" t="str">
        <f>IF(AND(C4=2,C3=0,C2=15),(VALUE(E7&amp;F7&amp;G7&amp;H7)+15)&amp;"/"&amp;J9&amp;"/"&amp;"20","")</f>
        <v/>
      </c>
      <c r="H42" s="15" t="str">
        <f>IF(AND(C4=2,C3=0,C2=15),C8*1000,"")</f>
        <v/>
      </c>
      <c r="I42" s="16" t="str">
        <f t="shared" si="2"/>
        <v/>
      </c>
      <c r="J42">
        <v>15</v>
      </c>
      <c r="K42" s="17" t="str">
        <f>IF(AND(C4=2,C3&gt;0,C2=15),IF(AND(C4=2,C3&gt;0),(VALUE(E7&amp;F7&amp;G7&amp;H7)+15)&amp;"/"&amp;J9&amp;"/"&amp;"20",""),"")</f>
        <v/>
      </c>
      <c r="L42" s="15" t="str">
        <f>IF(AND(C4=2,C3&gt;0,C2=15),C8*1000,"")</f>
        <v/>
      </c>
      <c r="M42" s="16" t="str">
        <f t="shared" si="4"/>
        <v/>
      </c>
    </row>
    <row r="43" spans="1:13" x14ac:dyDescent="0.2">
      <c r="A43">
        <v>12</v>
      </c>
      <c r="B43" s="7" t="str">
        <f>IF(AND(C2&gt;=12,C4=1,C3&gt;0),(VALUE(E7&amp;F7&amp;G7&amp;H7)+12)&amp;"/"&amp;J9&amp;"/"&amp;"20","")</f>
        <v/>
      </c>
      <c r="C43" s="10" t="str">
        <f>IF(C4=1,IF(AND(C2&gt;=12,NOT(C3=0)),C8*1000,""),"")</f>
        <v/>
      </c>
      <c r="D43" s="8" t="str">
        <f t="shared" si="5"/>
        <v/>
      </c>
      <c r="G43" s="5"/>
      <c r="L43" s="4"/>
    </row>
    <row r="44" spans="1:13" x14ac:dyDescent="0.2">
      <c r="A44">
        <v>13</v>
      </c>
      <c r="B44" s="7" t="str">
        <f>IF(AND(C2&gt;=13,C4=1,C3&gt;0),(VALUE(E7&amp;F7&amp;G7&amp;H7)+13)&amp;"/"&amp;J9&amp;"/"&amp;"20","")</f>
        <v/>
      </c>
      <c r="C44" s="10" t="str">
        <f>IF(C4=1,IF(AND(C2&gt;=13,NOT(C3=0)),C8*1000,""),"")</f>
        <v/>
      </c>
      <c r="D44" s="8" t="str">
        <f t="shared" si="5"/>
        <v/>
      </c>
      <c r="G44" s="4"/>
      <c r="L44" s="4"/>
    </row>
    <row r="45" spans="1:13" x14ac:dyDescent="0.2">
      <c r="A45">
        <v>14</v>
      </c>
      <c r="B45" s="7" t="str">
        <f>IF(AND(C2&gt;=14,C4=1,C3&gt;0),(VALUE(E7&amp;F7&amp;G7&amp;H7)+14)&amp;"/"&amp;J9&amp;"/"&amp;"20","")</f>
        <v/>
      </c>
      <c r="C45" s="10" t="str">
        <f>IF(C4=1,IF(AND(C2&gt;=14,NOT(C3=0)),C8*1000,""),"")</f>
        <v/>
      </c>
      <c r="D45" s="8" t="str">
        <f t="shared" si="5"/>
        <v/>
      </c>
      <c r="G45" s="4"/>
      <c r="L45" s="4"/>
    </row>
    <row r="46" spans="1:13" x14ac:dyDescent="0.2">
      <c r="A46">
        <v>15</v>
      </c>
      <c r="B46" s="7" t="str">
        <f>IF(AND(C2=15,C4=1,C3&gt;0),(VALUE(E7&amp;F7&amp;G7&amp;H7)+15)&amp;"/"&amp;J9&amp;"/"&amp;"20","")</f>
        <v/>
      </c>
      <c r="C46" s="10" t="str">
        <f>IF(C4=1,IF(AND(C2&gt;=15,NOT(C3=0)),C8*1000,""),"")</f>
        <v/>
      </c>
      <c r="D46" s="8" t="str">
        <f t="shared" si="5"/>
        <v/>
      </c>
      <c r="G46" s="4"/>
      <c r="L46" s="4"/>
    </row>
    <row r="47" spans="1:13" x14ac:dyDescent="0.2">
      <c r="B47" s="2"/>
      <c r="G47" s="4"/>
      <c r="L47" s="4"/>
    </row>
    <row r="48" spans="1:13" x14ac:dyDescent="0.2">
      <c r="B48" s="2"/>
      <c r="G48" s="4"/>
      <c r="L48" s="4"/>
    </row>
    <row r="49" spans="1:7" x14ac:dyDescent="0.2">
      <c r="B49" s="2"/>
      <c r="G49" s="4"/>
    </row>
    <row r="50" spans="1:7" x14ac:dyDescent="0.2">
      <c r="A50" t="s">
        <v>678</v>
      </c>
      <c r="B50" s="2"/>
      <c r="G50" s="4"/>
    </row>
    <row r="51" spans="1:7" x14ac:dyDescent="0.2">
      <c r="B51" s="2"/>
      <c r="G51" s="4"/>
    </row>
    <row r="52" spans="1:7" x14ac:dyDescent="0.2">
      <c r="B52" s="2"/>
      <c r="G52" s="4"/>
    </row>
    <row r="53" spans="1:7" x14ac:dyDescent="0.2">
      <c r="B53" s="2"/>
      <c r="G53" s="4"/>
    </row>
    <row r="54" spans="1:7" x14ac:dyDescent="0.2">
      <c r="B54" s="2"/>
      <c r="G54" s="4"/>
    </row>
    <row r="55" spans="1:7" x14ac:dyDescent="0.2">
      <c r="B55" s="2"/>
      <c r="G55" s="4"/>
    </row>
    <row r="56" spans="1:7" x14ac:dyDescent="0.2">
      <c r="B56" s="2"/>
      <c r="G56" s="4"/>
    </row>
    <row r="57" spans="1:7" x14ac:dyDescent="0.2">
      <c r="B57" s="2"/>
      <c r="G57" s="4"/>
    </row>
    <row r="58" spans="1:7" x14ac:dyDescent="0.2">
      <c r="B58" s="2"/>
      <c r="G58" s="4"/>
    </row>
    <row r="59" spans="1:7" x14ac:dyDescent="0.2">
      <c r="B59" s="2"/>
      <c r="G59" s="4"/>
    </row>
    <row r="60" spans="1:7" x14ac:dyDescent="0.2">
      <c r="B60" s="2"/>
      <c r="G60" s="4"/>
    </row>
    <row r="61" spans="1:7" x14ac:dyDescent="0.2">
      <c r="B61" s="2"/>
      <c r="G61" s="4"/>
    </row>
    <row r="62" spans="1:7" x14ac:dyDescent="0.2">
      <c r="B62" s="2"/>
      <c r="G62" s="4"/>
    </row>
    <row r="63" spans="1:7" x14ac:dyDescent="0.2">
      <c r="B63" s="2"/>
      <c r="G63" s="4"/>
    </row>
    <row r="64" spans="1:7" x14ac:dyDescent="0.2">
      <c r="B64" s="2"/>
      <c r="G64" s="4"/>
    </row>
    <row r="65" spans="2:7" x14ac:dyDescent="0.2">
      <c r="B65" s="2"/>
      <c r="G65" s="4"/>
    </row>
    <row r="66" spans="2:7" x14ac:dyDescent="0.2">
      <c r="B66" s="2"/>
      <c r="G66" s="4"/>
    </row>
    <row r="67" spans="2:7" x14ac:dyDescent="0.2">
      <c r="B67" s="2"/>
      <c r="G67" s="4"/>
    </row>
    <row r="68" spans="2:7" x14ac:dyDescent="0.2">
      <c r="B68" s="2"/>
      <c r="G68" s="4"/>
    </row>
    <row r="69" spans="2:7" x14ac:dyDescent="0.2">
      <c r="B69" s="2"/>
    </row>
    <row r="70" spans="2:7" x14ac:dyDescent="0.2">
      <c r="B70" s="2"/>
    </row>
    <row r="71" spans="2:7" x14ac:dyDescent="0.2">
      <c r="B71" s="2"/>
    </row>
    <row r="72" spans="2:7" x14ac:dyDescent="0.2">
      <c r="B72" s="2"/>
    </row>
    <row r="73" spans="2:7" x14ac:dyDescent="0.2">
      <c r="B73" s="2"/>
    </row>
    <row r="74" spans="2:7" x14ac:dyDescent="0.2">
      <c r="B74" s="2"/>
    </row>
    <row r="75" spans="2:7" x14ac:dyDescent="0.2">
      <c r="B75" s="2"/>
    </row>
    <row r="76" spans="2:7" x14ac:dyDescent="0.2">
      <c r="B76" s="2"/>
    </row>
    <row r="77" spans="2:7" x14ac:dyDescent="0.2">
      <c r="B77" s="2"/>
    </row>
    <row r="78" spans="2:7" x14ac:dyDescent="0.2">
      <c r="B78" s="2"/>
    </row>
    <row r="79" spans="2:7" x14ac:dyDescent="0.2">
      <c r="B79" s="2"/>
    </row>
    <row r="80" spans="2:7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</sheetData>
  <mergeCells count="2">
    <mergeCell ref="G1:I2"/>
    <mergeCell ref="A11:A12"/>
  </mergeCells>
  <phoneticPr fontId="2"/>
  <pageMargins left="0.43307086614173229" right="0.23622047244094491" top="0.55118110236220474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【入力ｼｰﾄ】支援課提出用</vt:lpstr>
      <vt:lpstr>ｾﾝﾀｰ控</vt:lpstr>
      <vt:lpstr>市町村控</vt:lpstr>
      <vt:lpstr>融資機関控</vt:lpstr>
      <vt:lpstr>ｺｰﾄﾞ表</vt:lpstr>
      <vt:lpstr>償還表</vt:lpstr>
      <vt:lpstr>【入力ｼｰﾄ】支援課提出用!Print_Area</vt:lpstr>
      <vt:lpstr>ｾﾝﾀｰ控!Print_Area</vt:lpstr>
      <vt:lpstr>市町村控!Print_Area</vt:lpstr>
      <vt:lpstr>償還表!Print_Area</vt:lpstr>
      <vt:lpstr>融資機関控!Print_Area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進藤 進也（農業支援課）</cp:lastModifiedBy>
  <cp:lastPrinted>2025-06-18T00:52:47Z</cp:lastPrinted>
  <dcterms:created xsi:type="dcterms:W3CDTF">2000-04-04T04:40:44Z</dcterms:created>
  <dcterms:modified xsi:type="dcterms:W3CDTF">2025-09-01T06:21:44Z</dcterms:modified>
</cp:coreProperties>
</file>